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isson\Desktop\IPE Strawman\"/>
    </mc:Choice>
  </mc:AlternateContent>
  <bookViews>
    <workbookView xWindow="0" yWindow="0" windowWidth="20490" windowHeight="7155"/>
  </bookViews>
  <sheets>
    <sheet name="Sch 1 - Overall" sheetId="12" r:id="rId1"/>
    <sheet name="Sch 1A- Phased Inc and GRCF" sheetId="10" r:id="rId2"/>
    <sheet name="Sch 4" sheetId="9" r:id="rId3"/>
    <sheet name="Adjustments Examples" sheetId="13" r:id="rId4"/>
    <sheet name="Sch 3 " sheetId="8" r:id="rId5"/>
  </sheets>
  <externalReferences>
    <externalReference r:id="rId6"/>
  </externalReferences>
  <definedNames>
    <definedName name="InterestIncome">'[1]Sch 3 - IS'!$E$44</definedName>
    <definedName name="_xlnm.Print_Area" localSheetId="0">'Sch 1 - Overall'!$A$1:$K$45</definedName>
    <definedName name="_xlnm.Print_Area" localSheetId="1">'Sch 1A- Phased Inc and GRCF'!$A$1:$AH$146</definedName>
    <definedName name="ProformaPresentRateRevenue">'[1]Sch 4'!$M$25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9" l="1"/>
  <c r="G28" i="9"/>
  <c r="O135" i="9"/>
  <c r="G44" i="9"/>
  <c r="M44" i="9" s="1"/>
  <c r="S44" i="9" s="1"/>
  <c r="G98" i="9" s="1"/>
  <c r="M98" i="9" s="1"/>
  <c r="S98" i="9" s="1"/>
  <c r="G149" i="9" s="1"/>
  <c r="M149" i="9" s="1"/>
  <c r="S149" i="9" s="1"/>
  <c r="G43" i="9"/>
  <c r="G42" i="9"/>
  <c r="G41" i="9"/>
  <c r="M41" i="9" s="1"/>
  <c r="S41" i="9" s="1"/>
  <c r="G95" i="9" s="1"/>
  <c r="M95" i="9" s="1"/>
  <c r="S95" i="9" s="1"/>
  <c r="G146" i="9" s="1"/>
  <c r="M146" i="9" s="1"/>
  <c r="S146" i="9" s="1"/>
  <c r="G40" i="9"/>
  <c r="G39" i="9"/>
  <c r="G38" i="9"/>
  <c r="G37" i="9"/>
  <c r="M37" i="9" s="1"/>
  <c r="S37" i="9" s="1"/>
  <c r="G91" i="9" s="1"/>
  <c r="M91" i="9" s="1"/>
  <c r="S91" i="9" s="1"/>
  <c r="G142" i="9" s="1"/>
  <c r="M142" i="9" s="1"/>
  <c r="S142" i="9" s="1"/>
  <c r="G36" i="9"/>
  <c r="M36" i="9" s="1"/>
  <c r="S36" i="9" s="1"/>
  <c r="G90" i="9" s="1"/>
  <c r="M90" i="9" s="1"/>
  <c r="S90" i="9" s="1"/>
  <c r="G141" i="9" s="1"/>
  <c r="M141" i="9" s="1"/>
  <c r="S141" i="9" s="1"/>
  <c r="G35" i="9"/>
  <c r="M35" i="9" s="1"/>
  <c r="S35" i="9" s="1"/>
  <c r="G89" i="9" s="1"/>
  <c r="M89" i="9" s="1"/>
  <c r="S89" i="9" s="1"/>
  <c r="G140" i="9" s="1"/>
  <c r="M140" i="9" s="1"/>
  <c r="S140" i="9" s="1"/>
  <c r="E119" i="10"/>
  <c r="I119" i="10" s="1"/>
  <c r="Z10" i="9"/>
  <c r="A97" i="10"/>
  <c r="A96" i="10"/>
  <c r="A52" i="10"/>
  <c r="E137" i="10"/>
  <c r="I137" i="10"/>
  <c r="E136" i="10"/>
  <c r="E135" i="10"/>
  <c r="I135" i="10" s="1"/>
  <c r="E134" i="10"/>
  <c r="E133" i="10"/>
  <c r="E132" i="10"/>
  <c r="I132" i="10" s="1"/>
  <c r="E130" i="10"/>
  <c r="I130" i="10" s="1"/>
  <c r="E129" i="10"/>
  <c r="I129" i="10" s="1"/>
  <c r="E128" i="10"/>
  <c r="I128" i="10" s="1"/>
  <c r="E127" i="10"/>
  <c r="E125" i="10"/>
  <c r="I125" i="10" s="1"/>
  <c r="E124" i="10"/>
  <c r="E123" i="10"/>
  <c r="I123" i="10" s="1"/>
  <c r="E122" i="10"/>
  <c r="I122" i="10" s="1"/>
  <c r="E121" i="10"/>
  <c r="I121" i="10" s="1"/>
  <c r="E120" i="10"/>
  <c r="E118" i="10"/>
  <c r="I118" i="10" s="1"/>
  <c r="E116" i="10"/>
  <c r="I116" i="10" s="1"/>
  <c r="E113" i="10"/>
  <c r="I113" i="10" s="1"/>
  <c r="F43" i="12"/>
  <c r="D43" i="12"/>
  <c r="F27" i="12"/>
  <c r="F26" i="12"/>
  <c r="F25" i="12"/>
  <c r="F24" i="12"/>
  <c r="F23" i="12"/>
  <c r="F19" i="12"/>
  <c r="F18" i="12"/>
  <c r="F15" i="12"/>
  <c r="D27" i="12"/>
  <c r="D24" i="12"/>
  <c r="J24" i="12" s="1"/>
  <c r="D19" i="12"/>
  <c r="D16" i="12"/>
  <c r="D15" i="12"/>
  <c r="D14" i="12"/>
  <c r="J100" i="13"/>
  <c r="I94" i="13"/>
  <c r="I93" i="13"/>
  <c r="I92" i="13"/>
  <c r="I90" i="13"/>
  <c r="J96" i="13" s="1"/>
  <c r="J99" i="13" s="1"/>
  <c r="K102" i="13" s="1"/>
  <c r="H78" i="13"/>
  <c r="H77" i="13"/>
  <c r="G72" i="13"/>
  <c r="G70" i="13"/>
  <c r="G71" i="13" s="1"/>
  <c r="G73" i="13" s="1"/>
  <c r="I81" i="13" s="1"/>
  <c r="G69" i="13"/>
  <c r="J43" i="13"/>
  <c r="J39" i="13"/>
  <c r="I33" i="13"/>
  <c r="J35" i="13" s="1"/>
  <c r="J52" i="13" s="1"/>
  <c r="K55" i="13" s="1"/>
  <c r="G33" i="13"/>
  <c r="I31" i="13"/>
  <c r="G31" i="13"/>
  <c r="I16" i="13"/>
  <c r="J18" i="13" s="1"/>
  <c r="K21" i="13" s="1"/>
  <c r="G99" i="12"/>
  <c r="A43" i="12"/>
  <c r="C139" i="10"/>
  <c r="J136" i="10"/>
  <c r="I134" i="10"/>
  <c r="J133" i="10"/>
  <c r="I133" i="10"/>
  <c r="J132" i="10"/>
  <c r="J131" i="10"/>
  <c r="J130" i="10"/>
  <c r="J129" i="10"/>
  <c r="J128" i="10"/>
  <c r="J127" i="10"/>
  <c r="I127" i="10"/>
  <c r="J126" i="10"/>
  <c r="J125" i="10"/>
  <c r="J124" i="10"/>
  <c r="I124" i="10"/>
  <c r="J123" i="10"/>
  <c r="I120" i="10"/>
  <c r="J117" i="10"/>
  <c r="J116" i="10"/>
  <c r="C114" i="10"/>
  <c r="C141" i="10" s="1"/>
  <c r="J113" i="10"/>
  <c r="J112" i="10"/>
  <c r="J111" i="10"/>
  <c r="J110" i="10"/>
  <c r="J108" i="10"/>
  <c r="J107" i="10"/>
  <c r="J106" i="10"/>
  <c r="Y63" i="10"/>
  <c r="M63" i="10"/>
  <c r="Y44" i="10"/>
  <c r="M44" i="10"/>
  <c r="C44" i="10"/>
  <c r="A44" i="10"/>
  <c r="J39" i="10"/>
  <c r="K35" i="10"/>
  <c r="C29" i="10"/>
  <c r="D30" i="12" s="1"/>
  <c r="AG26" i="10"/>
  <c r="K26" i="10"/>
  <c r="U26" i="10" s="1"/>
  <c r="I26" i="10"/>
  <c r="W25" i="10"/>
  <c r="AG25" i="10" s="1"/>
  <c r="K25" i="10"/>
  <c r="U25" i="10" s="1"/>
  <c r="I25" i="10"/>
  <c r="W24" i="10"/>
  <c r="AG24" i="10" s="1"/>
  <c r="K24" i="10"/>
  <c r="U24" i="10" s="1"/>
  <c r="I24" i="10"/>
  <c r="W23" i="10"/>
  <c r="AG23" i="10" s="1"/>
  <c r="K23" i="10"/>
  <c r="U23" i="10" s="1"/>
  <c r="W22" i="10"/>
  <c r="AG22" i="10" s="1"/>
  <c r="U22" i="10"/>
  <c r="K22" i="10"/>
  <c r="I22" i="10"/>
  <c r="AG19" i="10"/>
  <c r="U19" i="10"/>
  <c r="K19" i="10"/>
  <c r="K18" i="10" s="1"/>
  <c r="U18" i="10" s="1"/>
  <c r="I19" i="10"/>
  <c r="C19" i="10"/>
  <c r="AG18" i="10"/>
  <c r="W18" i="10"/>
  <c r="D18" i="12" s="1"/>
  <c r="I18" i="10"/>
  <c r="C18" i="10"/>
  <c r="AG17" i="10"/>
  <c r="U17" i="10"/>
  <c r="AC16" i="10"/>
  <c r="AG16" i="10" s="1"/>
  <c r="Q16" i="10"/>
  <c r="U16" i="10" s="1"/>
  <c r="E16" i="10"/>
  <c r="I16" i="10" s="1"/>
  <c r="AG15" i="10"/>
  <c r="U15" i="10"/>
  <c r="I15" i="10"/>
  <c r="W14" i="10"/>
  <c r="K14" i="10"/>
  <c r="C14" i="10"/>
  <c r="M154" i="9"/>
  <c r="S154" i="9" s="1"/>
  <c r="I135" i="9"/>
  <c r="Z125" i="9"/>
  <c r="Z120" i="9"/>
  <c r="Z118" i="9"/>
  <c r="M103" i="9"/>
  <c r="S103" i="9" s="1"/>
  <c r="G154" i="9" s="1"/>
  <c r="I84" i="9"/>
  <c r="Z69" i="9"/>
  <c r="Z67" i="9"/>
  <c r="A62" i="9"/>
  <c r="G53" i="9"/>
  <c r="M53" i="9" s="1"/>
  <c r="I52" i="9"/>
  <c r="G52" i="9"/>
  <c r="M49" i="9"/>
  <c r="S49" i="9" s="1"/>
  <c r="G100" i="9" s="1"/>
  <c r="M100" i="9" s="1"/>
  <c r="S100" i="9" s="1"/>
  <c r="G151" i="9" s="1"/>
  <c r="M151" i="9" s="1"/>
  <c r="S151" i="9" s="1"/>
  <c r="I43" i="9"/>
  <c r="E131" i="10" s="1"/>
  <c r="I131" i="10" s="1"/>
  <c r="M42" i="9"/>
  <c r="S42" i="9" s="1"/>
  <c r="G96" i="9" s="1"/>
  <c r="M96" i="9" s="1"/>
  <c r="M40" i="9"/>
  <c r="S40" i="9" s="1"/>
  <c r="G94" i="9" s="1"/>
  <c r="M94" i="9" s="1"/>
  <c r="S94" i="9" s="1"/>
  <c r="G145" i="9" s="1"/>
  <c r="M145" i="9" s="1"/>
  <c r="S145" i="9" s="1"/>
  <c r="M39" i="9"/>
  <c r="S39" i="9" s="1"/>
  <c r="G93" i="9" s="1"/>
  <c r="M93" i="9" s="1"/>
  <c r="S93" i="9" s="1"/>
  <c r="G144" i="9" s="1"/>
  <c r="M144" i="9" s="1"/>
  <c r="S144" i="9" s="1"/>
  <c r="I38" i="9"/>
  <c r="E126" i="10" s="1"/>
  <c r="I126" i="10" s="1"/>
  <c r="G24" i="9"/>
  <c r="M24" i="9" s="1"/>
  <c r="AC82" i="10" s="1"/>
  <c r="E80" i="10" s="1"/>
  <c r="I22" i="9"/>
  <c r="G22" i="9"/>
  <c r="G21" i="9"/>
  <c r="M21" i="9" s="1"/>
  <c r="I20" i="9"/>
  <c r="E111" i="10" s="1"/>
  <c r="I111" i="10" s="1"/>
  <c r="G19" i="9"/>
  <c r="M19" i="9" s="1"/>
  <c r="I17" i="9"/>
  <c r="E110" i="10" s="1"/>
  <c r="I110" i="10" s="1"/>
  <c r="G17" i="9"/>
  <c r="I16" i="9"/>
  <c r="M16" i="9" s="1"/>
  <c r="G16" i="9"/>
  <c r="I15" i="9"/>
  <c r="E108" i="10" s="1"/>
  <c r="I108" i="10" s="1"/>
  <c r="G15" i="9"/>
  <c r="I14" i="9"/>
  <c r="E107" i="10" s="1"/>
  <c r="I107" i="10" s="1"/>
  <c r="G14" i="9"/>
  <c r="M14" i="9" s="1"/>
  <c r="E82" i="10" s="1"/>
  <c r="I13" i="9"/>
  <c r="E106" i="10" s="1"/>
  <c r="I106" i="10" s="1"/>
  <c r="G13" i="9"/>
  <c r="A63" i="9"/>
  <c r="A113" i="9"/>
  <c r="E59" i="8"/>
  <c r="K59" i="8"/>
  <c r="E45" i="8"/>
  <c r="G41" i="8"/>
  <c r="G36" i="8"/>
  <c r="G27" i="8"/>
  <c r="I25" i="8"/>
  <c r="E22" i="8"/>
  <c r="E21" i="8" s="1"/>
  <c r="E18" i="8"/>
  <c r="E17" i="8" s="1"/>
  <c r="E27" i="8" s="1"/>
  <c r="K17" i="8"/>
  <c r="K27" i="8" s="1"/>
  <c r="I17" i="8"/>
  <c r="J26" i="12" l="1"/>
  <c r="D26" i="12"/>
  <c r="C20" i="10"/>
  <c r="C28" i="10" s="1"/>
  <c r="C31" i="10" s="1"/>
  <c r="C35" i="10" s="1"/>
  <c r="J27" i="12"/>
  <c r="F16" i="12"/>
  <c r="J16" i="12" s="1"/>
  <c r="D23" i="12"/>
  <c r="K20" i="10"/>
  <c r="K28" i="10" s="1"/>
  <c r="D25" i="12"/>
  <c r="J25" i="12" s="1"/>
  <c r="M17" i="9"/>
  <c r="AC83" i="10" s="1"/>
  <c r="AC85" i="10" s="1"/>
  <c r="AC86" i="10" s="1"/>
  <c r="AC77" i="10" s="1"/>
  <c r="AC78" i="10" s="1"/>
  <c r="Z8" i="9"/>
  <c r="M15" i="9"/>
  <c r="M52" i="9"/>
  <c r="S52" i="9" s="1"/>
  <c r="G103" i="9" s="1"/>
  <c r="I103" i="9" s="1"/>
  <c r="I106" i="9" s="1"/>
  <c r="I108" i="9" s="1"/>
  <c r="I80" i="13"/>
  <c r="M20" i="9"/>
  <c r="M38" i="9"/>
  <c r="S38" i="9" s="1"/>
  <c r="G92" i="9" s="1"/>
  <c r="M92" i="9" s="1"/>
  <c r="S92" i="9" s="1"/>
  <c r="G143" i="9" s="1"/>
  <c r="M143" i="9" s="1"/>
  <c r="S143" i="9" s="1"/>
  <c r="Z126" i="9"/>
  <c r="E109" i="10"/>
  <c r="I109" i="10" s="1"/>
  <c r="I114" i="10" s="1"/>
  <c r="M13" i="9"/>
  <c r="I25" i="9"/>
  <c r="S24" i="9"/>
  <c r="E23" i="10"/>
  <c r="I23" i="10" s="1"/>
  <c r="E112" i="10"/>
  <c r="I112" i="10" s="1"/>
  <c r="I55" i="9"/>
  <c r="I57" i="9" s="1"/>
  <c r="I154" i="9"/>
  <c r="I157" i="9" s="1"/>
  <c r="I159" i="9" s="1"/>
  <c r="K83" i="13"/>
  <c r="M29" i="9"/>
  <c r="S29" i="9" s="1"/>
  <c r="G88" i="9" s="1"/>
  <c r="M88" i="9" s="1"/>
  <c r="S88" i="9" s="1"/>
  <c r="G139" i="9" s="1"/>
  <c r="M139" i="9" s="1"/>
  <c r="S139" i="9" s="1"/>
  <c r="J43" i="12"/>
  <c r="J19" i="12"/>
  <c r="J18" i="12"/>
  <c r="J23" i="12"/>
  <c r="D21" i="12"/>
  <c r="D29" i="12" s="1"/>
  <c r="D32" i="12" s="1"/>
  <c r="D35" i="12" s="1"/>
  <c r="J15" i="12"/>
  <c r="I139" i="10"/>
  <c r="W20" i="10"/>
  <c r="W28" i="10" s="1"/>
  <c r="E139" i="10"/>
  <c r="G59" i="8"/>
  <c r="K42" i="8"/>
  <c r="K49" i="8" s="1"/>
  <c r="K51" i="8" s="1"/>
  <c r="K61" i="8" s="1"/>
  <c r="E42" i="8"/>
  <c r="E49" i="8" s="1"/>
  <c r="E51" i="8" s="1"/>
  <c r="E61" i="8" s="1"/>
  <c r="I27" i="8"/>
  <c r="G42" i="8"/>
  <c r="G49" i="8" s="1"/>
  <c r="G51" i="8" s="1"/>
  <c r="I59" i="8"/>
  <c r="I42" i="8"/>
  <c r="I49" i="8" s="1"/>
  <c r="M43" i="9"/>
  <c r="G55" i="9"/>
  <c r="G25" i="9"/>
  <c r="M22" i="9"/>
  <c r="M28" i="9"/>
  <c r="A114" i="9"/>
  <c r="E114" i="10" l="1"/>
  <c r="Z15" i="9"/>
  <c r="Z16" i="9" s="1"/>
  <c r="E14" i="10"/>
  <c r="E20" i="10" s="1"/>
  <c r="E28" i="10" s="1"/>
  <c r="M25" i="9"/>
  <c r="E29" i="10"/>
  <c r="E81" i="10"/>
  <c r="E83" i="10" s="1"/>
  <c r="E84" i="10" s="1"/>
  <c r="E77" i="10" s="1"/>
  <c r="E78" i="10" s="1"/>
  <c r="C64" i="10" s="1"/>
  <c r="W64" i="10" s="1"/>
  <c r="G83" i="9"/>
  <c r="M83" i="9" s="1"/>
  <c r="Z74" i="9" s="1"/>
  <c r="Z75" i="9" s="1"/>
  <c r="G57" i="9"/>
  <c r="I141" i="10"/>
  <c r="E141" i="10"/>
  <c r="AC89" i="10"/>
  <c r="AC90" i="10" s="1"/>
  <c r="G61" i="8"/>
  <c r="I51" i="8"/>
  <c r="I61" i="8" s="1"/>
  <c r="S28" i="9"/>
  <c r="M55" i="9"/>
  <c r="M57" i="9" s="1"/>
  <c r="S83" i="9" l="1"/>
  <c r="G134" i="9" s="1"/>
  <c r="M134" i="9" s="1"/>
  <c r="S134" i="9" s="1"/>
  <c r="F14" i="12"/>
  <c r="I14" i="10"/>
  <c r="I20" i="10" s="1"/>
  <c r="C66" i="10"/>
  <c r="K64" i="10"/>
  <c r="K66" i="10" s="1"/>
  <c r="I29" i="10"/>
  <c r="I144" i="10" s="1"/>
  <c r="F30" i="12"/>
  <c r="J30" i="12" s="1"/>
  <c r="I145" i="10"/>
  <c r="J14" i="12"/>
  <c r="J21" i="12" s="1"/>
  <c r="J29" i="12" s="1"/>
  <c r="F21" i="12"/>
  <c r="F29" i="12" s="1"/>
  <c r="E31" i="10"/>
  <c r="I31" i="10" s="1"/>
  <c r="I28" i="10"/>
  <c r="M64" i="10"/>
  <c r="W66" i="10"/>
  <c r="Y64" i="10"/>
  <c r="AC79" i="10"/>
  <c r="AC80" i="10" s="1"/>
  <c r="C67" i="10" s="1"/>
  <c r="C69" i="10" s="1"/>
  <c r="C71" i="10" s="1"/>
  <c r="F33" i="12" s="1"/>
  <c r="G87" i="9"/>
  <c r="F32" i="12" l="1"/>
  <c r="F35" i="12" s="1"/>
  <c r="F37" i="12" s="1"/>
  <c r="J32" i="12"/>
  <c r="W67" i="10"/>
  <c r="K67" i="10"/>
  <c r="K69" i="10" s="1"/>
  <c r="K71" i="10" s="1"/>
  <c r="E32" i="10"/>
  <c r="Q32" i="10"/>
  <c r="M87" i="9"/>
  <c r="Y67" i="10" l="1"/>
  <c r="Y69" i="10" s="1"/>
  <c r="W69" i="10"/>
  <c r="W71" i="10" s="1"/>
  <c r="AC32" i="10"/>
  <c r="E35" i="10"/>
  <c r="M67" i="10"/>
  <c r="M69" i="10" s="1"/>
  <c r="S87" i="9"/>
  <c r="E63" i="10" l="1"/>
  <c r="G138" i="9"/>
  <c r="E64" i="10" l="1"/>
  <c r="E67" i="10"/>
  <c r="M138" i="9"/>
  <c r="E69" i="10" l="1"/>
  <c r="S138" i="9"/>
  <c r="O25" i="9" l="1"/>
  <c r="O16" i="9" l="1"/>
  <c r="S16" i="9" s="1"/>
  <c r="G75" i="9" s="1"/>
  <c r="M75" i="9" s="1"/>
  <c r="O21" i="9"/>
  <c r="S21" i="9" s="1"/>
  <c r="G80" i="9" s="1"/>
  <c r="M80" i="9" s="1"/>
  <c r="O15" i="9"/>
  <c r="S15" i="9" s="1"/>
  <c r="G74" i="9" s="1"/>
  <c r="M74" i="9" s="1"/>
  <c r="O20" i="9"/>
  <c r="S20" i="9" s="1"/>
  <c r="G79" i="9" s="1"/>
  <c r="M79" i="9" s="1"/>
  <c r="O14" i="9"/>
  <c r="S14" i="9" s="1"/>
  <c r="G73" i="9" s="1"/>
  <c r="M73" i="9" s="1"/>
  <c r="O17" i="9"/>
  <c r="S17" i="9" s="1"/>
  <c r="G76" i="9" s="1"/>
  <c r="M76" i="9" s="1"/>
  <c r="O22" i="9"/>
  <c r="S22" i="9" s="1"/>
  <c r="G81" i="9" s="1"/>
  <c r="M81" i="9" s="1"/>
  <c r="O19" i="9"/>
  <c r="S19" i="9" s="1"/>
  <c r="G78" i="9" s="1"/>
  <c r="M78" i="9" s="1"/>
  <c r="O43" i="9"/>
  <c r="S43" i="9" l="1"/>
  <c r="O13" i="9"/>
  <c r="S13" i="9" l="1"/>
  <c r="G72" i="9" s="1"/>
  <c r="E37" i="10"/>
  <c r="G97" i="9"/>
  <c r="O53" i="9"/>
  <c r="S25" i="9" l="1"/>
  <c r="S53" i="9"/>
  <c r="O55" i="9"/>
  <c r="O57" i="9" s="1"/>
  <c r="M97" i="9"/>
  <c r="M72" i="9"/>
  <c r="Q29" i="10" s="1"/>
  <c r="G84" i="9"/>
  <c r="S97" i="9" l="1"/>
  <c r="G148" i="9" s="1"/>
  <c r="M148" i="9" s="1"/>
  <c r="S148" i="9" s="1"/>
  <c r="M84" i="9"/>
  <c r="G104" i="9"/>
  <c r="S55" i="9"/>
  <c r="S57" i="9" s="1"/>
  <c r="Z17" i="9" s="1"/>
  <c r="Z18" i="9" s="1"/>
  <c r="I44" i="10" l="1"/>
  <c r="M104" i="9"/>
  <c r="Q14" i="10" s="1"/>
  <c r="G106" i="9"/>
  <c r="G108" i="9" s="1"/>
  <c r="U14" i="10" l="1"/>
  <c r="Q20" i="10"/>
  <c r="M106" i="9"/>
  <c r="M108" i="9" s="1"/>
  <c r="U20" i="10" l="1"/>
  <c r="Q28" i="10"/>
  <c r="O84" i="9"/>
  <c r="U28" i="10" l="1"/>
  <c r="Q31" i="10"/>
  <c r="Q35" i="10" s="1"/>
  <c r="Q37" i="10" s="1"/>
  <c r="O104" i="9"/>
  <c r="S104" i="9" s="1"/>
  <c r="G155" i="9" s="1"/>
  <c r="M155" i="9" s="1"/>
  <c r="O75" i="9"/>
  <c r="S75" i="9" s="1"/>
  <c r="G126" i="9" s="1"/>
  <c r="M126" i="9" s="1"/>
  <c r="O80" i="9"/>
  <c r="S80" i="9" s="1"/>
  <c r="G131" i="9" s="1"/>
  <c r="M131" i="9" s="1"/>
  <c r="O79" i="9"/>
  <c r="S79" i="9" s="1"/>
  <c r="G130" i="9" s="1"/>
  <c r="M130" i="9" s="1"/>
  <c r="O76" i="9"/>
  <c r="S76" i="9" s="1"/>
  <c r="G127" i="9" s="1"/>
  <c r="M127" i="9" s="1"/>
  <c r="O73" i="9"/>
  <c r="S73" i="9" s="1"/>
  <c r="G124" i="9" s="1"/>
  <c r="M124" i="9" s="1"/>
  <c r="O74" i="9"/>
  <c r="S74" i="9" s="1"/>
  <c r="G125" i="9" s="1"/>
  <c r="M125" i="9" s="1"/>
  <c r="O81" i="9"/>
  <c r="S81" i="9" s="1"/>
  <c r="G132" i="9" s="1"/>
  <c r="M132" i="9" s="1"/>
  <c r="O78" i="9"/>
  <c r="S78" i="9" s="1"/>
  <c r="G129" i="9" s="1"/>
  <c r="M129" i="9" s="1"/>
  <c r="O96" i="9"/>
  <c r="U35" i="10" l="1"/>
  <c r="Q63" i="10"/>
  <c r="Q67" i="10" s="1"/>
  <c r="O106" i="9"/>
  <c r="O108" i="9" s="1"/>
  <c r="S96" i="9"/>
  <c r="U44" i="10"/>
  <c r="O72" i="9"/>
  <c r="S72" i="9" s="1"/>
  <c r="Q64" i="10" l="1"/>
  <c r="Q69" i="10" s="1"/>
  <c r="G123" i="9"/>
  <c r="S84" i="9"/>
  <c r="G147" i="9"/>
  <c r="S106" i="9"/>
  <c r="M147" i="9" l="1"/>
  <c r="AC14" i="10" s="1"/>
  <c r="G157" i="9"/>
  <c r="S108" i="9"/>
  <c r="Z76" i="9" s="1"/>
  <c r="Z77" i="9" s="1"/>
  <c r="G135" i="9"/>
  <c r="G159" i="9" s="1"/>
  <c r="M123" i="9"/>
  <c r="AC29" i="10" s="1"/>
  <c r="M135" i="9" l="1"/>
  <c r="AC20" i="10"/>
  <c r="AG14" i="10"/>
  <c r="M157" i="9"/>
  <c r="AG20" i="10" l="1"/>
  <c r="AC28" i="10"/>
  <c r="M159" i="9"/>
  <c r="AC31" i="10" l="1"/>
  <c r="AG28" i="10"/>
  <c r="AC35" i="10" l="1"/>
  <c r="AC63" i="10" l="1"/>
  <c r="AC37" i="10"/>
  <c r="AC64" i="10" l="1"/>
  <c r="O147" i="9" s="1"/>
  <c r="S147" i="9" s="1"/>
  <c r="AC67" i="10"/>
  <c r="O155" i="9" s="1"/>
  <c r="AC69" i="10" l="1"/>
  <c r="AG44" i="10"/>
  <c r="O157" i="9" l="1"/>
  <c r="S155" i="9"/>
  <c r="S157" i="9" s="1"/>
  <c r="J35" i="12" l="1"/>
  <c r="D37" i="12"/>
  <c r="J37" i="12" s="1"/>
  <c r="J33" i="12" l="1"/>
  <c r="I35" i="10"/>
  <c r="C37" i="10"/>
  <c r="I37" i="10" s="1"/>
  <c r="C32" i="10"/>
  <c r="K29" i="10"/>
  <c r="K31" i="10" s="1"/>
  <c r="K32" i="10" l="1"/>
  <c r="U32" i="10" s="1"/>
  <c r="U31" i="10"/>
  <c r="K37" i="10"/>
  <c r="U37" i="10" s="1"/>
  <c r="I32" i="10"/>
  <c r="U29" i="10"/>
  <c r="W29" i="10"/>
  <c r="AG29" i="10" l="1"/>
  <c r="W31" i="10"/>
  <c r="AG31" i="10" l="1"/>
  <c r="W35" i="10"/>
  <c r="W37" i="10" l="1"/>
  <c r="AG37" i="10" s="1"/>
  <c r="W32" i="10"/>
  <c r="AG32" i="10" s="1"/>
  <c r="AG35" i="10"/>
  <c r="O159" i="9"/>
  <c r="S129" i="9"/>
  <c r="S126" i="9"/>
  <c r="S130" i="9"/>
  <c r="S125" i="9"/>
  <c r="S127" i="9"/>
  <c r="S131" i="9"/>
  <c r="S132" i="9"/>
  <c r="S124" i="9"/>
  <c r="S123" i="9" l="1"/>
  <c r="S135" i="9" s="1"/>
  <c r="S159" i="9" s="1"/>
  <c r="Z127" i="9" s="1"/>
  <c r="Z128" i="9" s="1"/>
</calcChain>
</file>

<file path=xl/sharedStrings.xml><?xml version="1.0" encoding="utf-8"?>
<sst xmlns="http://schemas.openxmlformats.org/spreadsheetml/2006/main" count="615" uniqueCount="265">
  <si>
    <t>Schedule 1</t>
  </si>
  <si>
    <t>Page 1 of 2</t>
  </si>
  <si>
    <t>OUCC</t>
  </si>
  <si>
    <t>Existing Debt</t>
  </si>
  <si>
    <t>New Debt</t>
  </si>
  <si>
    <t>Total Revenue Requirements</t>
  </si>
  <si>
    <t>Less Revenue Requirement Offsets:</t>
  </si>
  <si>
    <t>Interest Income</t>
  </si>
  <si>
    <t>Other Operating Income</t>
  </si>
  <si>
    <t>Other Non-Operating Income</t>
  </si>
  <si>
    <t>Sewer Portion of General Expenses</t>
  </si>
  <si>
    <t>Fixed Capacity Payments from Wholesaler</t>
  </si>
  <si>
    <t>Net Revenue Requirements</t>
  </si>
  <si>
    <t>Less:</t>
  </si>
  <si>
    <t>Net Revenue Increase Required</t>
  </si>
  <si>
    <t>Gross Revenue Conversion Factor</t>
  </si>
  <si>
    <t>Recommended Revenue  Increase</t>
  </si>
  <si>
    <t>Recommended Percentage Rate Increase</t>
  </si>
  <si>
    <t>Ref</t>
  </si>
  <si>
    <t>Proposed</t>
  </si>
  <si>
    <t>Petitioner</t>
  </si>
  <si>
    <t>More (Less)</t>
  </si>
  <si>
    <t>Operating Expenses</t>
  </si>
  <si>
    <t>Extensions and Replacements</t>
  </si>
  <si>
    <t>Payment in Lieu of Taxes</t>
  </si>
  <si>
    <t>Debt Service</t>
  </si>
  <si>
    <t>Sch</t>
  </si>
  <si>
    <t>PET</t>
  </si>
  <si>
    <t>Phase II</t>
  </si>
  <si>
    <t>Phase III</t>
  </si>
  <si>
    <t>Page 2 of 4</t>
  </si>
  <si>
    <t>Phased-in Revenue Requirement</t>
  </si>
  <si>
    <t>Gross Revenue Change</t>
  </si>
  <si>
    <t>Subtotal</t>
  </si>
  <si>
    <t>Less: Bad Debt Expense</t>
  </si>
  <si>
    <t>Change in Operating Income</t>
  </si>
  <si>
    <t>Phase I</t>
  </si>
  <si>
    <t>Less: Utility Receipts Tax (See Calculation Below)</t>
  </si>
  <si>
    <t>Schedule 3</t>
  </si>
  <si>
    <t>Page 1 of 1</t>
  </si>
  <si>
    <t>COMPARATIVE INCOME STATEMENT</t>
  </si>
  <si>
    <t>Twelve Months Ended</t>
  </si>
  <si>
    <t>September 30,</t>
  </si>
  <si>
    <t>December 31,</t>
  </si>
  <si>
    <t>Operating Revenues</t>
  </si>
  <si>
    <t>Water Sales</t>
  </si>
  <si>
    <t>Residential</t>
  </si>
  <si>
    <t>Commercial</t>
  </si>
  <si>
    <t>Industrial</t>
  </si>
  <si>
    <t>Sales for Resale</t>
  </si>
  <si>
    <t>Public Authorities</t>
  </si>
  <si>
    <t>Fire Protection</t>
  </si>
  <si>
    <t>Public</t>
  </si>
  <si>
    <t>Private</t>
  </si>
  <si>
    <t>Late Fees</t>
  </si>
  <si>
    <t>Other</t>
  </si>
  <si>
    <t>Sewer Utility Portion of General Expenses</t>
  </si>
  <si>
    <t>Total Operating Revenues</t>
  </si>
  <si>
    <t>Salaries and Wages</t>
  </si>
  <si>
    <t>Employee Benefits</t>
  </si>
  <si>
    <t>Purchased Power</t>
  </si>
  <si>
    <t>Chemicals</t>
  </si>
  <si>
    <t>Materials and Supplies</t>
  </si>
  <si>
    <t>Repairs and Maintenance</t>
  </si>
  <si>
    <t>(A)</t>
  </si>
  <si>
    <t>Contractual Services</t>
  </si>
  <si>
    <t>Rents</t>
  </si>
  <si>
    <t>Transportation</t>
  </si>
  <si>
    <t>Insurance</t>
  </si>
  <si>
    <t>Bad Debt Expense</t>
  </si>
  <si>
    <t>Miscellaneous Expense</t>
  </si>
  <si>
    <t>Total O&amp;M Expense</t>
  </si>
  <si>
    <t>Depreciation Expense</t>
  </si>
  <si>
    <t>Amortization Expense</t>
  </si>
  <si>
    <t>Taxes Other than Income</t>
  </si>
  <si>
    <t>Payments in Lieu of Property Taxes</t>
  </si>
  <si>
    <t>Utility Receipts Tax</t>
  </si>
  <si>
    <t>Total Operating Expenses</t>
  </si>
  <si>
    <t>Net Operating Income</t>
  </si>
  <si>
    <t>Other Income (Expense)</t>
  </si>
  <si>
    <t>Other Income</t>
  </si>
  <si>
    <t>Interest Expense</t>
  </si>
  <si>
    <t>Interest Expense Amortization</t>
  </si>
  <si>
    <t>Other Expense</t>
  </si>
  <si>
    <t>Total Other Income (Expense)</t>
  </si>
  <si>
    <t>Net Income</t>
  </si>
  <si>
    <t>As presented in Petitioner's 2017 IURC annual report. Comparable information to that presented for test year and calendar years 2016 and 2015 was unavailable.</t>
  </si>
  <si>
    <t>Difference</t>
  </si>
  <si>
    <t xml:space="preserve">     Percent Related to Bad Debt Rate</t>
  </si>
  <si>
    <t>Schedule 4</t>
  </si>
  <si>
    <t>Page 1 of 3</t>
  </si>
  <si>
    <r>
      <t>Pro Forma</t>
    </r>
    <r>
      <rPr>
        <b/>
        <sz val="12"/>
        <rFont val="Times New Roman"/>
        <family val="1"/>
      </rPr>
      <t xml:space="preserve"> Net Operating Income Statement - Phase I</t>
    </r>
  </si>
  <si>
    <t>Check:</t>
  </si>
  <si>
    <t>E&amp;R Over Depreciation</t>
  </si>
  <si>
    <t>Year Ended</t>
  </si>
  <si>
    <t>Pro Forma</t>
  </si>
  <si>
    <t>September 30</t>
  </si>
  <si>
    <t>Present</t>
  </si>
  <si>
    <t>Adjustments</t>
  </si>
  <si>
    <t>Rates</t>
  </si>
  <si>
    <t>Debt Service Reserve</t>
  </si>
  <si>
    <t>Residential Water Sales</t>
  </si>
  <si>
    <t>5-Sum</t>
  </si>
  <si>
    <t>Less: Amort Expenses</t>
  </si>
  <si>
    <t>Commercial Water Sales</t>
  </si>
  <si>
    <t>Industrial Water Sales</t>
  </si>
  <si>
    <t>Less:  Other Income</t>
  </si>
  <si>
    <t>Public Authorities Water Sales</t>
  </si>
  <si>
    <t>Compare to NOI</t>
  </si>
  <si>
    <t>Public Fire Protection - Inside</t>
  </si>
  <si>
    <t>Public Fire Protection - Outside</t>
  </si>
  <si>
    <t>5-4</t>
  </si>
  <si>
    <t>Private Fire Protection</t>
  </si>
  <si>
    <t>Other Operating Revenues</t>
  </si>
  <si>
    <t>O&amp;M Expense</t>
  </si>
  <si>
    <t>FICA</t>
  </si>
  <si>
    <t>PERF</t>
  </si>
  <si>
    <t>Health and Life Insurance</t>
  </si>
  <si>
    <t>Workman's Compensation</t>
  </si>
  <si>
    <t>Teamster's Scholarship Fund</t>
  </si>
  <si>
    <t>Non-Recurring Expenses</t>
  </si>
  <si>
    <t>Reclassification of YE Adjustment</t>
  </si>
  <si>
    <t>Additional Sewer O&amp;M Expenses</t>
  </si>
  <si>
    <t>Payment in Lieu of Property Taxes</t>
  </si>
  <si>
    <t>Page 2 of 3</t>
  </si>
  <si>
    <r>
      <t>Pro Forma</t>
    </r>
    <r>
      <rPr>
        <b/>
        <sz val="12"/>
        <rFont val="Times New Roman"/>
        <family val="1"/>
      </rPr>
      <t xml:space="preserve"> Net Operating Income Statement - Phase II</t>
    </r>
  </si>
  <si>
    <t>Taxes Other Than Income</t>
  </si>
  <si>
    <t>Working Capital</t>
  </si>
  <si>
    <t>Page 3 of 3</t>
  </si>
  <si>
    <r>
      <t>Pro Forma</t>
    </r>
    <r>
      <rPr>
        <b/>
        <sz val="12"/>
        <rFont val="Times New Roman"/>
        <family val="1"/>
      </rPr>
      <t xml:space="preserve"> Net Operating Income Statement - Phase III</t>
    </r>
  </si>
  <si>
    <t>Payroll Taxes</t>
  </si>
  <si>
    <t>Comparison of Petitioner's and OUCC's</t>
  </si>
  <si>
    <t>Revenues at Current Rates Subject to Increase</t>
  </si>
  <si>
    <t>Recommended Increase</t>
  </si>
  <si>
    <t>Recommended Percentage Increase</t>
  </si>
  <si>
    <t>Overall Rate Increase</t>
  </si>
  <si>
    <t>Page 3 of 4</t>
  </si>
  <si>
    <t>Phased Revenue Requirements</t>
  </si>
  <si>
    <t>Calculation of Bad Debt Expense</t>
  </si>
  <si>
    <t>Calculation of Utility Receipts Tax Rate:</t>
  </si>
  <si>
    <t xml:space="preserve">     Test Year Expense Rate</t>
  </si>
  <si>
    <t xml:space="preserve">     Statutory Rate</t>
  </si>
  <si>
    <t xml:space="preserve">     Times: Portion of Revenues Subject to Bad Debt Rate</t>
  </si>
  <si>
    <t xml:space="preserve">     Times: Portion of Revenues Subject to URT</t>
  </si>
  <si>
    <t xml:space="preserve">     Effective Bad Debt Expense Rate</t>
  </si>
  <si>
    <t xml:space="preserve">     Subtotal</t>
  </si>
  <si>
    <t xml:space="preserve">     Times: Line 3 </t>
  </si>
  <si>
    <t xml:space="preserve">     Total Revenues Subject to Increase</t>
  </si>
  <si>
    <t xml:space="preserve">     Effective Utility Receipts Tax Rate</t>
  </si>
  <si>
    <r>
      <t xml:space="preserve">     Pro forma </t>
    </r>
    <r>
      <rPr>
        <sz val="12"/>
        <rFont val="Times New Roman"/>
        <family val="1"/>
      </rPr>
      <t>Residential Revenues</t>
    </r>
  </si>
  <si>
    <r>
      <t xml:space="preserve">     Pro forma </t>
    </r>
    <r>
      <rPr>
        <sz val="12"/>
        <rFont val="Times New Roman"/>
        <family val="1"/>
      </rPr>
      <t>Commercial Revenues</t>
    </r>
  </si>
  <si>
    <t>(B)</t>
  </si>
  <si>
    <r>
      <rPr>
        <i/>
        <sz val="12"/>
        <rFont val="Times New Roman"/>
        <family val="1"/>
      </rPr>
      <t xml:space="preserve">     Pro forma </t>
    </r>
    <r>
      <rPr>
        <sz val="12"/>
        <rFont val="Times New Roman"/>
        <family val="1"/>
      </rPr>
      <t xml:space="preserve">Sales for Resale </t>
    </r>
  </si>
  <si>
    <t>(B) / (A)</t>
  </si>
  <si>
    <r>
      <rPr>
        <i/>
        <sz val="12"/>
        <rFont val="Times New Roman"/>
        <family val="1"/>
      </rPr>
      <t xml:space="preserve">     Pro Forma</t>
    </r>
    <r>
      <rPr>
        <sz val="12"/>
        <rFont val="Times New Roman"/>
        <family val="1"/>
      </rPr>
      <t xml:space="preserve"> Other Exempt Revenues</t>
    </r>
  </si>
  <si>
    <t xml:space="preserve">          Total Exempt Revenues</t>
  </si>
  <si>
    <t xml:space="preserve">     Percent Related to Sales for Resale</t>
  </si>
  <si>
    <t xml:space="preserve">     Total Revenues</t>
  </si>
  <si>
    <t xml:space="preserve">     Less: Revenues Exempt from URT</t>
  </si>
  <si>
    <t xml:space="preserve">     Portion of Revenues Subject to URT</t>
  </si>
  <si>
    <t>Page 4 of 4</t>
  </si>
  <si>
    <t>Reconciliation of Net Operating Income Statement Adjustments</t>
  </si>
  <si>
    <r>
      <t>Pro-forma</t>
    </r>
    <r>
      <rPr>
        <b/>
        <sz val="12"/>
        <rFont val="Times New Roman"/>
        <family val="1"/>
      </rPr>
      <t xml:space="preserve"> Present Rates</t>
    </r>
  </si>
  <si>
    <t>Per</t>
  </si>
  <si>
    <t xml:space="preserve">     Residential </t>
  </si>
  <si>
    <t xml:space="preserve">     Commercial </t>
  </si>
  <si>
    <t xml:space="preserve">     Industrial </t>
  </si>
  <si>
    <t xml:space="preserve">     Public Authorities</t>
  </si>
  <si>
    <t xml:space="preserve">     Sales for Resale</t>
  </si>
  <si>
    <t>Forfeited Discounts</t>
  </si>
  <si>
    <t xml:space="preserve">     FICA</t>
  </si>
  <si>
    <t xml:space="preserve">     PERF</t>
  </si>
  <si>
    <t xml:space="preserve">     Health and Life Insurance</t>
  </si>
  <si>
    <t xml:space="preserve">     Workman's Compensation</t>
  </si>
  <si>
    <t xml:space="preserve">     Teamster's Scholarship Fund</t>
  </si>
  <si>
    <t>Revenues Check Number</t>
  </si>
  <si>
    <t>Operating Expense Check Number</t>
  </si>
  <si>
    <t>Page 1 of 4</t>
  </si>
  <si>
    <t>Overall Revenue Requirement</t>
  </si>
  <si>
    <t>Schedule 6</t>
  </si>
  <si>
    <t>OUCC Expense Adjustments</t>
  </si>
  <si>
    <t>(1)</t>
  </si>
  <si>
    <r>
      <t xml:space="preserve">To adjust test year PERF expense to reflect </t>
    </r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salaries and wages expense, which includes an increase in PERF rate to 14.20%.</t>
    </r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</si>
  <si>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Salaries and Wages Expense</t>
    </r>
  </si>
  <si>
    <t>Less:  Payroll Applicable to Board Members</t>
  </si>
  <si>
    <t>Net Salaries and Wages Expense</t>
  </si>
  <si>
    <t>Times:  PERF Rate of 14.20% (11.2$ + 3.0%)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</si>
  <si>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PErF Expense</t>
    </r>
  </si>
  <si>
    <t>Less:  Test Year PERF Expense</t>
  </si>
  <si>
    <t>Adjustment Increase (Decrease)</t>
  </si>
  <si>
    <t>(2)</t>
  </si>
  <si>
    <t>Periodic Maintenance</t>
  </si>
  <si>
    <t>To adjust the test year to allow for periodic maintenance expense.</t>
  </si>
  <si>
    <t xml:space="preserve">Number of </t>
  </si>
  <si>
    <t xml:space="preserve">Serviced </t>
  </si>
  <si>
    <t>Interval of</t>
  </si>
  <si>
    <t>Average</t>
  </si>
  <si>
    <t>Pump Maintenance</t>
  </si>
  <si>
    <t>Pumps</t>
  </si>
  <si>
    <t>Per Year</t>
  </si>
  <si>
    <t>Service</t>
  </si>
  <si>
    <t>Cost Each</t>
  </si>
  <si>
    <t>Annual Cost</t>
  </si>
  <si>
    <t>High Service Pumps</t>
  </si>
  <si>
    <t>Low Service Pumps</t>
  </si>
  <si>
    <t>Annual Pump Maintenance</t>
  </si>
  <si>
    <t>Filter Media</t>
  </si>
  <si>
    <t>Filter Media Replacement</t>
  </si>
  <si>
    <t>Dredging in Front of Intake Structure</t>
  </si>
  <si>
    <t>(per Petitioner)</t>
  </si>
  <si>
    <t>Tank Maintenance</t>
  </si>
  <si>
    <t>Booster Stations</t>
  </si>
  <si>
    <t>(3 pumps per year @ $20,637 Each)</t>
  </si>
  <si>
    <t>Traveling Screens Maintenance</t>
  </si>
  <si>
    <t>Leak Detection and Distribution System Maintenance</t>
  </si>
  <si>
    <t>Pro forma Periodic Maintenance Expense</t>
  </si>
  <si>
    <t>Less: Test Year Periodic Maintenance Expense</t>
  </si>
  <si>
    <t>Page 2 of 2</t>
  </si>
  <si>
    <t>(3)</t>
  </si>
  <si>
    <t>To adjust operating and maintenance expenses for bad debt expense on additional present rate water sales revenues.</t>
  </si>
  <si>
    <t>Test Year Residential Water Sales</t>
  </si>
  <si>
    <t>Test Year Commercial Water Sales</t>
  </si>
  <si>
    <t>Total</t>
  </si>
  <si>
    <t>Divide by: Test Year Bad Debt Expense</t>
  </si>
  <si>
    <t>Bad Debt Expense Rate</t>
  </si>
  <si>
    <t>Adjustments to Test Year Operating Revenues</t>
  </si>
  <si>
    <t>Increase in Residential and Commercial Revenues</t>
  </si>
  <si>
    <t>Times:  Bad Debt % for Test Year</t>
  </si>
  <si>
    <t>(4)</t>
  </si>
  <si>
    <t>To adjust the test year to normalize Utility Receipts Tax expense.</t>
  </si>
  <si>
    <t>Normalized Operating Revenues for Test Year Ended 9/30/2017</t>
  </si>
  <si>
    <t xml:space="preserve">Less:  </t>
  </si>
  <si>
    <t>Exemption</t>
  </si>
  <si>
    <t>Other Exempt Sales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</si>
  <si>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Revenues Subject to URT</t>
    </r>
  </si>
  <si>
    <t xml:space="preserve">Times:  </t>
  </si>
  <si>
    <t>URT Rate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</si>
  <si>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URT Expense</t>
    </r>
  </si>
  <si>
    <t>Less:  Test Year URT Expense</t>
  </si>
  <si>
    <t xml:space="preserve"> MUNICIPAL WATER</t>
  </si>
  <si>
    <t>Municipal Water</t>
  </si>
  <si>
    <t>8 DS</t>
  </si>
  <si>
    <t>7 E&amp;R</t>
  </si>
  <si>
    <t>9 RO</t>
  </si>
  <si>
    <t>CAUSE NUMBER XXXXX</t>
  </si>
  <si>
    <t>6-4 Ex Adj</t>
  </si>
  <si>
    <t>6-3 Ex Adj</t>
  </si>
  <si>
    <t>6-2 Ex Adj</t>
  </si>
  <si>
    <t>6-1 Ex Adj</t>
  </si>
  <si>
    <t>1A</t>
  </si>
  <si>
    <t>Average Monthly Bill for Residential Customer:</t>
  </si>
  <si>
    <t>(Note: Also include all normal applicable charges including</t>
  </si>
  <si>
    <t>service charge, fire protection charge, etc.)</t>
  </si>
  <si>
    <t>MUNICIPAL WATER</t>
  </si>
  <si>
    <t>Cause Number XXXXX</t>
  </si>
  <si>
    <t>Scroll Down for Gross Revenue Conversion Factor</t>
  </si>
  <si>
    <t>GRCF</t>
  </si>
  <si>
    <t>Linked to Sch. 1A</t>
  </si>
  <si>
    <t>Ref.</t>
  </si>
  <si>
    <t>Sch. 4</t>
  </si>
  <si>
    <t>Linked to GRCF</t>
  </si>
  <si>
    <t>Ties to GRCF</t>
  </si>
  <si>
    <t>PET 5</t>
  </si>
  <si>
    <t>PET 6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</si>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</sst>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0_);_(* \(#,##0.000000\);_(* &quot;-&quot;??_);_(@_)"/>
    <numFmt numFmtId="167" formatCode="0.00000%"/>
    <numFmt numFmtId="168" formatCode="0.000000%"/>
    <numFmt numFmtId="169" formatCode="_(* #,##0.000_);_(* \(#,##0.000\);_(* &quot;-&quot;??_);_(@_)"/>
    <numFmt numFmtId="170" formatCode="_(* #,##0.000000000_);_(* \(#,##0.000000000\);_(* &quot;-&quot;??_);_(@_)"/>
    <numFmt numFmtId="171" formatCode="0.0000000%"/>
    <numFmt numFmtId="172" formatCode="_(* #,##0.0000_);_(* \(#,##0.0000\);_(* &quot;-&quot;??_);_(@_)"/>
    <numFmt numFmtId="173" formatCode="0.0000%"/>
    <numFmt numFmtId="174" formatCode="_(* #,##0.00000000_);_(* \(#,##0.00000000\);_(* &quot;-&quot;??_);_(@_)"/>
    <numFmt numFmtId="175" formatCode="0.000000"/>
    <numFmt numFmtId="176" formatCode="_(* #,##0.00000_);_(* \(#,##0.0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u/>
      <sz val="12"/>
      <color rgb="FF0000FF"/>
      <name val="Times New Roman"/>
      <family val="1"/>
    </font>
    <font>
      <b/>
      <sz val="11"/>
      <name val="Times New Roman"/>
      <family val="1"/>
    </font>
    <font>
      <b/>
      <sz val="11"/>
      <color rgb="FFFFFF00"/>
      <name val="Times New Roman"/>
      <family val="1"/>
    </font>
    <font>
      <b/>
      <vertAlign val="superscript"/>
      <sz val="11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"/>
      <family val="1"/>
    </font>
    <font>
      <sz val="11"/>
      <name val="Times"/>
      <family val="1"/>
    </font>
    <font>
      <sz val="10"/>
      <name val="Times New Roman"/>
      <family val="1"/>
    </font>
    <font>
      <sz val="8"/>
      <name val="Times New Roman"/>
      <family val="1"/>
    </font>
    <font>
      <b/>
      <u/>
      <sz val="11"/>
      <name val="Times New Roman"/>
      <family val="1"/>
    </font>
    <font>
      <b/>
      <sz val="12"/>
      <color rgb="FFFFFF00"/>
      <name val="Times New Roman"/>
      <family val="1"/>
    </font>
    <font>
      <i/>
      <sz val="12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u/>
      <sz val="12"/>
      <name val="Times New Roman"/>
      <family val="1"/>
    </font>
    <font>
      <i/>
      <u val="singleAccounting"/>
      <sz val="12"/>
      <name val="Times New Roman"/>
      <family val="1"/>
    </font>
    <font>
      <u val="singleAccounting"/>
      <sz val="12"/>
      <name val="Times New Roman"/>
      <family val="1"/>
    </font>
    <font>
      <b/>
      <i/>
      <u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5" xfId="0" applyFont="1" applyFill="1" applyBorder="1"/>
    <xf numFmtId="0" fontId="4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2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2" xfId="0" applyNumberFormat="1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0" xfId="0" applyFont="1" applyFill="1" applyBorder="1" applyProtection="1"/>
    <xf numFmtId="0" fontId="4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1" applyNumberFormat="1" applyFont="1" applyFill="1"/>
    <xf numFmtId="165" fontId="5" fillId="0" borderId="0" xfId="2" applyNumberFormat="1" applyFont="1" applyFill="1"/>
    <xf numFmtId="0" fontId="9" fillId="0" borderId="0" xfId="0" applyFont="1" applyFill="1" applyAlignment="1">
      <alignment horizontal="center"/>
    </xf>
    <xf numFmtId="164" fontId="5" fillId="0" borderId="0" xfId="5" applyNumberFormat="1" applyFont="1" applyFill="1"/>
    <xf numFmtId="16" fontId="9" fillId="0" borderId="0" xfId="0" quotePrefix="1" applyNumberFormat="1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quotePrefix="1" applyFont="1" applyFill="1" applyBorder="1" applyAlignment="1">
      <alignment horizontal="center"/>
    </xf>
    <xf numFmtId="165" fontId="5" fillId="0" borderId="0" xfId="0" applyNumberFormat="1" applyFont="1" applyFill="1"/>
    <xf numFmtId="10" fontId="5" fillId="0" borderId="0" xfId="4" applyNumberFormat="1" applyFont="1" applyFill="1"/>
    <xf numFmtId="164" fontId="5" fillId="0" borderId="0" xfId="0" applyNumberFormat="1" applyFont="1" applyFill="1"/>
    <xf numFmtId="165" fontId="5" fillId="0" borderId="0" xfId="6" applyNumberFormat="1" applyFont="1" applyFill="1"/>
    <xf numFmtId="9" fontId="5" fillId="0" borderId="0" xfId="4" applyFont="1" applyFill="1"/>
    <xf numFmtId="164" fontId="5" fillId="0" borderId="8" xfId="5" applyNumberFormat="1" applyFont="1" applyFill="1" applyBorder="1"/>
    <xf numFmtId="166" fontId="5" fillId="0" borderId="0" xfId="5" applyNumberFormat="1" applyFont="1" applyFill="1"/>
    <xf numFmtId="0" fontId="5" fillId="0" borderId="0" xfId="0" applyFont="1"/>
    <xf numFmtId="164" fontId="11" fillId="0" borderId="0" xfId="5" quotePrefix="1" applyNumberFormat="1" applyFont="1" applyFill="1" applyAlignment="1">
      <alignment horizontal="center"/>
    </xf>
    <xf numFmtId="164" fontId="5" fillId="0" borderId="0" xfId="5" applyNumberFormat="1" applyFont="1" applyFill="1" applyBorder="1"/>
    <xf numFmtId="164" fontId="5" fillId="0" borderId="22" xfId="5" applyNumberFormat="1" applyFont="1" applyFill="1" applyBorder="1"/>
    <xf numFmtId="164" fontId="5" fillId="0" borderId="8" xfId="0" applyNumberFormat="1" applyFont="1" applyFill="1" applyBorder="1"/>
    <xf numFmtId="165" fontId="5" fillId="0" borderId="14" xfId="6" applyNumberFormat="1" applyFont="1" applyFill="1" applyBorder="1"/>
    <xf numFmtId="165" fontId="5" fillId="0" borderId="0" xfId="6" applyNumberFormat="1" applyFont="1" applyFill="1" applyBorder="1"/>
    <xf numFmtId="164" fontId="11" fillId="0" borderId="0" xfId="5" quotePrefix="1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43" fontId="5" fillId="0" borderId="0" xfId="1" applyNumberFormat="1" applyFont="1" applyFill="1"/>
    <xf numFmtId="43" fontId="10" fillId="0" borderId="0" xfId="1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ill="1" applyBorder="1"/>
    <xf numFmtId="0" fontId="12" fillId="0" borderId="0" xfId="0" applyFont="1" applyFill="1" applyAlignment="1">
      <alignment horizontal="center"/>
    </xf>
    <xf numFmtId="165" fontId="0" fillId="0" borderId="0" xfId="6" applyNumberFormat="1" applyFont="1" applyFill="1"/>
    <xf numFmtId="164" fontId="4" fillId="0" borderId="10" xfId="5" applyNumberFormat="1" applyFont="1" applyFill="1" applyBorder="1"/>
    <xf numFmtId="16" fontId="7" fillId="0" borderId="0" xfId="0" quotePrefix="1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0" fillId="0" borderId="0" xfId="5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0" fillId="0" borderId="0" xfId="0" applyNumberFormat="1" applyFill="1"/>
    <xf numFmtId="164" fontId="0" fillId="0" borderId="0" xfId="5" applyNumberFormat="1" applyFont="1" applyFill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16" fontId="4" fillId="0" borderId="0" xfId="0" quotePrefix="1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164" fontId="0" fillId="0" borderId="0" xfId="0" applyNumberFormat="1" applyFill="1"/>
    <xf numFmtId="164" fontId="4" fillId="0" borderId="0" xfId="5" applyNumberFormat="1" applyFont="1" applyFill="1"/>
    <xf numFmtId="0" fontId="4" fillId="0" borderId="0" xfId="7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2" fillId="0" borderId="15" xfId="5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64" fontId="2" fillId="0" borderId="6" xfId="5" applyNumberFormat="1" applyFont="1" applyFill="1" applyBorder="1"/>
    <xf numFmtId="164" fontId="2" fillId="0" borderId="10" xfId="5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2" xfId="5" applyNumberFormat="1" applyFont="1" applyFill="1" applyBorder="1"/>
    <xf numFmtId="165" fontId="2" fillId="0" borderId="0" xfId="6" applyNumberFormat="1" applyFont="1" applyFill="1"/>
    <xf numFmtId="164" fontId="2" fillId="0" borderId="0" xfId="5" applyNumberFormat="1" applyFont="1" applyFill="1" applyBorder="1"/>
    <xf numFmtId="165" fontId="2" fillId="0" borderId="0" xfId="0" applyNumberFormat="1" applyFont="1" applyFill="1"/>
    <xf numFmtId="164" fontId="2" fillId="0" borderId="0" xfId="5" applyNumberFormat="1" applyFont="1" applyFill="1"/>
    <xf numFmtId="0" fontId="2" fillId="0" borderId="10" xfId="0" applyFont="1" applyFill="1" applyBorder="1"/>
    <xf numFmtId="164" fontId="2" fillId="0" borderId="9" xfId="5" applyNumberFormat="1" applyFont="1" applyFill="1" applyBorder="1"/>
    <xf numFmtId="165" fontId="2" fillId="0" borderId="25" xfId="6" applyNumberFormat="1" applyFont="1" applyFill="1" applyBorder="1"/>
    <xf numFmtId="164" fontId="2" fillId="0" borderId="26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164" fontId="2" fillId="0" borderId="8" xfId="5" applyNumberFormat="1" applyFont="1" applyFill="1" applyBorder="1"/>
    <xf numFmtId="164" fontId="2" fillId="0" borderId="0" xfId="0" applyNumberFormat="1" applyFont="1" applyFill="1"/>
    <xf numFmtId="167" fontId="2" fillId="0" borderId="0" xfId="4" applyNumberFormat="1" applyFont="1" applyFill="1"/>
    <xf numFmtId="0" fontId="2" fillId="0" borderId="0" xfId="0" quotePrefix="1" applyFont="1" applyFill="1" applyAlignment="1">
      <alignment horizontal="center"/>
    </xf>
    <xf numFmtId="43" fontId="3" fillId="0" borderId="0" xfId="8" applyFont="1" applyFill="1" applyBorder="1"/>
    <xf numFmtId="164" fontId="3" fillId="0" borderId="0" xfId="5" applyNumberFormat="1" applyFont="1" applyFill="1" applyBorder="1"/>
    <xf numFmtId="43" fontId="2" fillId="0" borderId="0" xfId="5" applyNumberFormat="1" applyFont="1" applyFill="1"/>
    <xf numFmtId="165" fontId="2" fillId="0" borderId="14" xfId="6" applyNumberFormat="1" applyFont="1" applyFill="1" applyBorder="1"/>
    <xf numFmtId="164" fontId="2" fillId="0" borderId="0" xfId="5" applyNumberFormat="1" applyFont="1" applyFill="1" applyAlignment="1">
      <alignment horizontal="center"/>
    </xf>
    <xf numFmtId="165" fontId="2" fillId="0" borderId="26" xfId="6" applyNumberFormat="1" applyFont="1" applyFill="1" applyBorder="1"/>
    <xf numFmtId="164" fontId="2" fillId="0" borderId="12" xfId="5" applyNumberFormat="1" applyFont="1" applyFill="1" applyBorder="1"/>
    <xf numFmtId="0" fontId="2" fillId="0" borderId="12" xfId="0" applyFont="1" applyFill="1" applyBorder="1" applyAlignment="1">
      <alignment horizontal="center"/>
    </xf>
    <xf numFmtId="3" fontId="5" fillId="0" borderId="0" xfId="0" applyNumberFormat="1" applyFont="1" applyFill="1"/>
    <xf numFmtId="0" fontId="9" fillId="0" borderId="0" xfId="0" applyFont="1" applyFill="1"/>
    <xf numFmtId="0" fontId="5" fillId="0" borderId="0" xfId="9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Border="1" applyAlignment="1"/>
    <xf numFmtId="0" fontId="20" fillId="0" borderId="16" xfId="0" applyFont="1" applyFill="1" applyBorder="1" applyAlignment="1"/>
    <xf numFmtId="0" fontId="20" fillId="0" borderId="17" xfId="0" applyFont="1" applyFill="1" applyBorder="1" applyAlignment="1"/>
    <xf numFmtId="0" fontId="20" fillId="0" borderId="17" xfId="0" applyFont="1" applyFill="1" applyBorder="1" applyAlignment="1">
      <alignment horizontal="center"/>
    </xf>
    <xf numFmtId="0" fontId="21" fillId="0" borderId="18" xfId="0" applyFont="1" applyFill="1" applyBorder="1"/>
    <xf numFmtId="0" fontId="21" fillId="0" borderId="0" xfId="0" applyFont="1" applyFill="1" applyBorder="1"/>
    <xf numFmtId="0" fontId="20" fillId="0" borderId="1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15" xfId="0" applyFont="1" applyFill="1" applyBorder="1" applyAlignment="1"/>
    <xf numFmtId="0" fontId="20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1" fillId="0" borderId="12" xfId="0" applyFont="1" applyFill="1" applyBorder="1"/>
    <xf numFmtId="0" fontId="7" fillId="0" borderId="12" xfId="0" applyFont="1" applyFill="1" applyBorder="1" applyAlignment="1">
      <alignment horizontal="center"/>
    </xf>
    <xf numFmtId="164" fontId="4" fillId="0" borderId="0" xfId="0" applyNumberFormat="1" applyFont="1" applyFill="1"/>
    <xf numFmtId="164" fontId="4" fillId="0" borderId="15" xfId="0" applyNumberFormat="1" applyFont="1" applyFill="1" applyBorder="1"/>
    <xf numFmtId="43" fontId="4" fillId="0" borderId="5" xfId="0" applyNumberFormat="1" applyFont="1" applyFill="1" applyBorder="1"/>
    <xf numFmtId="0" fontId="4" fillId="0" borderId="6" xfId="0" applyFont="1" applyFill="1" applyBorder="1"/>
    <xf numFmtId="165" fontId="4" fillId="0" borderId="5" xfId="0" applyNumberFormat="1" applyFont="1" applyFill="1" applyBorder="1"/>
    <xf numFmtId="0" fontId="22" fillId="0" borderId="0" xfId="0" applyFont="1" applyFill="1" applyBorder="1"/>
    <xf numFmtId="165" fontId="4" fillId="0" borderId="10" xfId="6" applyNumberFormat="1" applyFont="1" applyFill="1" applyBorder="1"/>
    <xf numFmtId="165" fontId="4" fillId="0" borderId="0" xfId="6" applyNumberFormat="1" applyFont="1" applyFill="1" applyBorder="1"/>
    <xf numFmtId="0" fontId="5" fillId="0" borderId="0" xfId="6" applyNumberFormat="1" applyFont="1" applyFill="1" applyBorder="1" applyAlignment="1">
      <alignment horizontal="center"/>
    </xf>
    <xf numFmtId="165" fontId="5" fillId="0" borderId="2" xfId="6" applyNumberFormat="1" applyFont="1" applyFill="1" applyBorder="1"/>
    <xf numFmtId="165" fontId="5" fillId="0" borderId="10" xfId="6" applyNumberFormat="1" applyFont="1" applyFill="1" applyBorder="1"/>
    <xf numFmtId="164" fontId="4" fillId="0" borderId="0" xfId="5" applyNumberFormat="1" applyFont="1" applyFill="1" applyBorder="1"/>
    <xf numFmtId="0" fontId="5" fillId="0" borderId="0" xfId="5" applyNumberFormat="1" applyFont="1" applyFill="1" applyBorder="1" applyAlignment="1">
      <alignment horizontal="center"/>
    </xf>
    <xf numFmtId="164" fontId="5" fillId="0" borderId="2" xfId="5" applyNumberFormat="1" applyFont="1" applyFill="1" applyBorder="1"/>
    <xf numFmtId="164" fontId="5" fillId="0" borderId="10" xfId="5" applyNumberFormat="1" applyFont="1" applyFill="1" applyBorder="1"/>
    <xf numFmtId="164" fontId="4" fillId="0" borderId="19" xfId="5" applyNumberFormat="1" applyFont="1" applyFill="1" applyBorder="1"/>
    <xf numFmtId="164" fontId="5" fillId="0" borderId="9" xfId="5" applyNumberFormat="1" applyFont="1" applyFill="1" applyBorder="1"/>
    <xf numFmtId="164" fontId="5" fillId="0" borderId="19" xfId="5" applyNumberFormat="1" applyFont="1" applyFill="1" applyBorder="1"/>
    <xf numFmtId="164" fontId="4" fillId="0" borderId="22" xfId="5" applyNumberFormat="1" applyFont="1" applyFill="1" applyBorder="1"/>
    <xf numFmtId="164" fontId="5" fillId="0" borderId="0" xfId="10" applyNumberFormat="1" applyFont="1" applyFill="1" applyBorder="1"/>
    <xf numFmtId="0" fontId="22" fillId="0" borderId="0" xfId="0" applyFont="1" applyFill="1"/>
    <xf numFmtId="164" fontId="22" fillId="0" borderId="0" xfId="0" applyNumberFormat="1" applyFont="1" applyFill="1" applyBorder="1"/>
    <xf numFmtId="164" fontId="4" fillId="0" borderId="1" xfId="5" applyNumberFormat="1" applyFont="1" applyFill="1" applyBorder="1"/>
    <xf numFmtId="164" fontId="0" fillId="0" borderId="19" xfId="5" applyNumberFormat="1" applyFont="1" applyFill="1" applyBorder="1"/>
    <xf numFmtId="164" fontId="23" fillId="0" borderId="0" xfId="5" applyNumberFormat="1" applyFont="1" applyFill="1" applyBorder="1"/>
    <xf numFmtId="164" fontId="4" fillId="0" borderId="27" xfId="5" applyNumberFormat="1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168" fontId="4" fillId="0" borderId="10" xfId="4" applyNumberFormat="1" applyFont="1" applyFill="1" applyBorder="1"/>
    <xf numFmtId="169" fontId="4" fillId="0" borderId="0" xfId="5" applyNumberFormat="1" applyFont="1" applyFill="1" applyBorder="1"/>
    <xf numFmtId="168" fontId="4" fillId="0" borderId="0" xfId="4" applyNumberFormat="1" applyFont="1" applyFill="1" applyBorder="1"/>
    <xf numFmtId="169" fontId="5" fillId="0" borderId="0" xfId="5" applyNumberFormat="1" applyFont="1" applyFill="1" applyBorder="1"/>
    <xf numFmtId="168" fontId="5" fillId="0" borderId="2" xfId="4" applyNumberFormat="1" applyFont="1" applyFill="1" applyBorder="1"/>
    <xf numFmtId="168" fontId="5" fillId="0" borderId="10" xfId="4" applyNumberFormat="1" applyFont="1" applyFill="1" applyBorder="1"/>
    <xf numFmtId="170" fontId="5" fillId="0" borderId="2" xfId="5" applyNumberFormat="1" applyFont="1" applyFill="1" applyBorder="1"/>
    <xf numFmtId="171" fontId="5" fillId="0" borderId="2" xfId="4" applyNumberFormat="1" applyFont="1" applyFill="1" applyBorder="1"/>
    <xf numFmtId="43" fontId="4" fillId="0" borderId="19" xfId="5" applyFont="1" applyFill="1" applyBorder="1"/>
    <xf numFmtId="43" fontId="4" fillId="0" borderId="0" xfId="0" applyNumberFormat="1" applyFont="1" applyFill="1" applyBorder="1"/>
    <xf numFmtId="43" fontId="5" fillId="0" borderId="0" xfId="0" applyNumberFormat="1" applyFont="1" applyFill="1" applyBorder="1"/>
    <xf numFmtId="43" fontId="5" fillId="0" borderId="9" xfId="0" applyNumberFormat="1" applyFont="1" applyFill="1" applyBorder="1"/>
    <xf numFmtId="164" fontId="5" fillId="0" borderId="19" xfId="0" applyNumberFormat="1" applyFont="1" applyFill="1" applyBorder="1"/>
    <xf numFmtId="10" fontId="22" fillId="0" borderId="0" xfId="4" applyNumberFormat="1" applyFont="1" applyFill="1" applyBorder="1"/>
    <xf numFmtId="164" fontId="4" fillId="0" borderId="10" xfId="0" applyNumberFormat="1" applyFont="1" applyFill="1" applyBorder="1"/>
    <xf numFmtId="164" fontId="4" fillId="0" borderId="22" xfId="0" applyNumberFormat="1" applyFont="1" applyFill="1" applyBorder="1"/>
    <xf numFmtId="0" fontId="5" fillId="0" borderId="2" xfId="0" applyFont="1" applyFill="1" applyBorder="1"/>
    <xf numFmtId="0" fontId="5" fillId="0" borderId="10" xfId="0" applyFont="1" applyFill="1" applyBorder="1"/>
    <xf numFmtId="164" fontId="5" fillId="0" borderId="10" xfId="0" applyNumberFormat="1" applyFont="1" applyFill="1" applyBorder="1"/>
    <xf numFmtId="165" fontId="4" fillId="0" borderId="14" xfId="6" applyNumberFormat="1" applyFont="1" applyFill="1" applyBorder="1"/>
    <xf numFmtId="165" fontId="5" fillId="0" borderId="21" xfId="6" applyNumberFormat="1" applyFont="1" applyFill="1" applyBorder="1"/>
    <xf numFmtId="43" fontId="4" fillId="0" borderId="0" xfId="5" applyFont="1" applyFill="1" applyBorder="1"/>
    <xf numFmtId="164" fontId="5" fillId="0" borderId="2" xfId="0" applyNumberFormat="1" applyFont="1" applyFill="1" applyBorder="1"/>
    <xf numFmtId="43" fontId="5" fillId="0" borderId="10" xfId="5" applyFont="1" applyFill="1" applyBorder="1"/>
    <xf numFmtId="165" fontId="5" fillId="0" borderId="0" xfId="0" applyNumberFormat="1" applyFont="1" applyFill="1" applyBorder="1"/>
    <xf numFmtId="10" fontId="4" fillId="0" borderId="11" xfId="4" applyNumberFormat="1" applyFont="1" applyFill="1" applyBorder="1"/>
    <xf numFmtId="10" fontId="4" fillId="0" borderId="12" xfId="4" applyNumberFormat="1" applyFont="1" applyFill="1" applyBorder="1"/>
    <xf numFmtId="10" fontId="5" fillId="0" borderId="12" xfId="4" applyNumberFormat="1" applyFont="1" applyFill="1" applyBorder="1"/>
    <xf numFmtId="10" fontId="23" fillId="0" borderId="12" xfId="4" applyNumberFormat="1" applyFont="1" applyFill="1" applyBorder="1"/>
    <xf numFmtId="10" fontId="5" fillId="0" borderId="13" xfId="4" applyNumberFormat="1" applyFont="1" applyFill="1" applyBorder="1"/>
    <xf numFmtId="10" fontId="5" fillId="0" borderId="0" xfId="4" applyNumberFormat="1" applyFont="1" applyFill="1" applyBorder="1"/>
    <xf numFmtId="10" fontId="5" fillId="0" borderId="11" xfId="4" applyNumberFormat="1" applyFont="1" applyFill="1" applyBorder="1"/>
    <xf numFmtId="10" fontId="22" fillId="0" borderId="0" xfId="5" applyNumberFormat="1" applyFont="1" applyFill="1" applyBorder="1" applyAlignment="1">
      <alignment horizontal="right"/>
    </xf>
    <xf numFmtId="10" fontId="4" fillId="0" borderId="0" xfId="0" applyNumberFormat="1" applyFont="1" applyFill="1" applyBorder="1"/>
    <xf numFmtId="10" fontId="4" fillId="0" borderId="0" xfId="0" applyNumberFormat="1" applyFont="1" applyFill="1"/>
    <xf numFmtId="10" fontId="5" fillId="0" borderId="0" xfId="0" applyNumberFormat="1" applyFont="1" applyFill="1" applyBorder="1"/>
    <xf numFmtId="172" fontId="22" fillId="0" borderId="0" xfId="0" applyNumberFormat="1" applyFont="1" applyFill="1"/>
    <xf numFmtId="165" fontId="22" fillId="0" borderId="0" xfId="0" applyNumberFormat="1" applyFont="1" applyFill="1"/>
    <xf numFmtId="10" fontId="22" fillId="0" borderId="0" xfId="4" applyNumberFormat="1" applyFont="1" applyFill="1"/>
    <xf numFmtId="164" fontId="22" fillId="0" borderId="0" xfId="5" applyNumberFormat="1" applyFont="1" applyFill="1"/>
    <xf numFmtId="43" fontId="22" fillId="0" borderId="0" xfId="5" applyFont="1" applyFill="1" applyBorder="1"/>
    <xf numFmtId="0" fontId="9" fillId="0" borderId="0" xfId="0" applyFont="1" applyFill="1" applyBorder="1" applyAlignment="1"/>
    <xf numFmtId="164" fontId="5" fillId="0" borderId="0" xfId="5" applyNumberFormat="1" applyFont="1" applyFill="1" applyBorder="1" applyAlignment="1"/>
    <xf numFmtId="164" fontId="9" fillId="0" borderId="0" xfId="0" applyNumberFormat="1" applyFont="1" applyFill="1" applyBorder="1" applyAlignment="1"/>
    <xf numFmtId="0" fontId="5" fillId="0" borderId="5" xfId="0" applyFont="1" applyFill="1" applyBorder="1"/>
    <xf numFmtId="0" fontId="5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2" xfId="0" applyFont="1" applyFill="1" applyBorder="1"/>
    <xf numFmtId="0" fontId="9" fillId="0" borderId="7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NumberFormat="1" applyFont="1" applyFill="1" applyBorder="1" applyAlignment="1">
      <alignment horizontal="center"/>
    </xf>
    <xf numFmtId="0" fontId="5" fillId="0" borderId="22" xfId="0" applyFont="1" applyFill="1" applyBorder="1"/>
    <xf numFmtId="44" fontId="5" fillId="0" borderId="2" xfId="6" quotePrefix="1" applyFont="1" applyFill="1" applyBorder="1" applyAlignment="1">
      <alignment horizontal="right"/>
    </xf>
    <xf numFmtId="44" fontId="5" fillId="0" borderId="10" xfId="6" applyFont="1" applyFill="1" applyBorder="1"/>
    <xf numFmtId="44" fontId="5" fillId="0" borderId="0" xfId="6" applyFont="1" applyFill="1" applyBorder="1"/>
    <xf numFmtId="44" fontId="5" fillId="0" borderId="2" xfId="6" applyFont="1" applyFill="1" applyBorder="1"/>
    <xf numFmtId="0" fontId="5" fillId="0" borderId="0" xfId="0" applyFont="1" applyFill="1" applyBorder="1" applyAlignment="1">
      <alignment horizontal="center"/>
    </xf>
    <xf numFmtId="44" fontId="0" fillId="0" borderId="0" xfId="0" applyNumberFormat="1" applyFill="1"/>
    <xf numFmtId="0" fontId="5" fillId="0" borderId="2" xfId="0" applyFont="1" applyFill="1" applyBorder="1" applyAlignment="1">
      <alignment vertical="center"/>
    </xf>
    <xf numFmtId="10" fontId="0" fillId="0" borderId="0" xfId="4" applyNumberFormat="1" applyFont="1" applyFill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/>
    <xf numFmtId="168" fontId="0" fillId="0" borderId="0" xfId="4" applyNumberFormat="1" applyFont="1" applyFill="1"/>
    <xf numFmtId="9" fontId="0" fillId="0" borderId="0" xfId="4" applyFont="1" applyFill="1"/>
    <xf numFmtId="0" fontId="4" fillId="0" borderId="0" xfId="0" applyFont="1" applyFill="1" applyBorder="1" applyAlignment="1"/>
    <xf numFmtId="10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164" fontId="10" fillId="0" borderId="0" xfId="5" applyNumberFormat="1" applyFont="1" applyFill="1" applyBorder="1" applyAlignment="1"/>
    <xf numFmtId="0" fontId="4" fillId="0" borderId="0" xfId="9" applyFont="1" applyFill="1"/>
    <xf numFmtId="164" fontId="4" fillId="0" borderId="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4" fontId="25" fillId="0" borderId="0" xfId="5" applyNumberFormat="1" applyFont="1" applyFill="1" applyBorder="1"/>
    <xf numFmtId="0" fontId="0" fillId="0" borderId="1" xfId="0" applyFill="1" applyBorder="1"/>
    <xf numFmtId="0" fontId="4" fillId="0" borderId="0" xfId="9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applyFont="1" applyFill="1"/>
    <xf numFmtId="173" fontId="4" fillId="0" borderId="0" xfId="4" applyNumberFormat="1" applyFont="1" applyFill="1"/>
    <xf numFmtId="0" fontId="4" fillId="0" borderId="15" xfId="0" applyFont="1" applyFill="1" applyBorder="1"/>
    <xf numFmtId="0" fontId="6" fillId="0" borderId="10" xfId="0" applyFont="1" applyFill="1" applyBorder="1"/>
    <xf numFmtId="168" fontId="4" fillId="0" borderId="2" xfId="4" applyNumberFormat="1" applyFont="1" applyFill="1" applyBorder="1"/>
    <xf numFmtId="168" fontId="4" fillId="0" borderId="9" xfId="0" applyNumberFormat="1" applyFont="1" applyFill="1" applyBorder="1"/>
    <xf numFmtId="168" fontId="4" fillId="0" borderId="26" xfId="4" applyNumberFormat="1" applyFont="1" applyFill="1" applyBorder="1"/>
    <xf numFmtId="168" fontId="4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26" fillId="0" borderId="10" xfId="0" applyFont="1" applyFill="1" applyBorder="1"/>
    <xf numFmtId="168" fontId="0" fillId="0" borderId="0" xfId="4" applyNumberFormat="1" applyFont="1" applyFill="1" applyBorder="1"/>
    <xf numFmtId="168" fontId="0" fillId="0" borderId="13" xfId="0" applyNumberFormat="1" applyFill="1" applyBorder="1"/>
    <xf numFmtId="0" fontId="4" fillId="0" borderId="0" xfId="9" applyFont="1" applyFill="1" applyAlignment="1">
      <alignment horizontal="right"/>
    </xf>
    <xf numFmtId="0" fontId="4" fillId="0" borderId="0" xfId="0" applyFont="1" applyBorder="1"/>
    <xf numFmtId="0" fontId="7" fillId="0" borderId="0" xfId="9" applyFont="1" applyFill="1" applyAlignment="1"/>
    <xf numFmtId="175" fontId="4" fillId="0" borderId="0" xfId="0" applyNumberFormat="1" applyFont="1" applyBorder="1"/>
    <xf numFmtId="0" fontId="12" fillId="0" borderId="0" xfId="9" applyFont="1" applyFill="1" applyAlignment="1"/>
    <xf numFmtId="166" fontId="4" fillId="0" borderId="0" xfId="0" applyNumberFormat="1" applyFont="1" applyBorder="1"/>
    <xf numFmtId="10" fontId="4" fillId="0" borderId="0" xfId="0" applyNumberFormat="1" applyFont="1" applyBorder="1"/>
    <xf numFmtId="0" fontId="7" fillId="0" borderId="0" xfId="9" applyFont="1" applyFill="1" applyAlignment="1">
      <alignment horizontal="center"/>
    </xf>
    <xf numFmtId="176" fontId="4" fillId="0" borderId="0" xfId="0" applyNumberFormat="1" applyFont="1" applyBorder="1"/>
    <xf numFmtId="0" fontId="7" fillId="0" borderId="1" xfId="9" applyFont="1" applyFill="1" applyBorder="1" applyAlignment="1">
      <alignment horizontal="center"/>
    </xf>
    <xf numFmtId="0" fontId="7" fillId="0" borderId="0" xfId="9" applyFont="1" applyFill="1" applyBorder="1" applyAlignment="1">
      <alignment horizontal="center"/>
    </xf>
    <xf numFmtId="0" fontId="4" fillId="0" borderId="0" xfId="9" applyFont="1"/>
    <xf numFmtId="165" fontId="4" fillId="0" borderId="0" xfId="6" applyNumberFormat="1" applyFont="1"/>
    <xf numFmtId="165" fontId="4" fillId="0" borderId="0" xfId="6" applyNumberFormat="1" applyFont="1" applyBorder="1"/>
    <xf numFmtId="0" fontId="4" fillId="0" borderId="0" xfId="9" applyFont="1" applyBorder="1"/>
    <xf numFmtId="165" fontId="4" fillId="0" borderId="0" xfId="0" applyNumberFormat="1" applyFont="1" applyBorder="1"/>
    <xf numFmtId="164" fontId="4" fillId="0" borderId="0" xfId="5" applyNumberFormat="1" applyFont="1"/>
    <xf numFmtId="164" fontId="4" fillId="0" borderId="0" xfId="5" applyNumberFormat="1" applyFont="1" applyBorder="1"/>
    <xf numFmtId="164" fontId="4" fillId="0" borderId="8" xfId="5" applyNumberFormat="1" applyFont="1" applyBorder="1"/>
    <xf numFmtId="164" fontId="4" fillId="0" borderId="8" xfId="0" applyNumberFormat="1" applyFont="1" applyBorder="1"/>
    <xf numFmtId="164" fontId="4" fillId="0" borderId="0" xfId="0" applyNumberFormat="1" applyFont="1"/>
    <xf numFmtId="164" fontId="4" fillId="0" borderId="0" xfId="0" applyNumberFormat="1" applyFont="1" applyBorder="1"/>
    <xf numFmtId="165" fontId="4" fillId="0" borderId="14" xfId="6" applyNumberFormat="1" applyFont="1" applyBorder="1"/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6" applyNumberFormat="1" applyFont="1" applyFill="1" applyBorder="1" applyAlignment="1">
      <alignment horizontal="center"/>
    </xf>
    <xf numFmtId="0" fontId="4" fillId="0" borderId="0" xfId="5" applyNumberFormat="1" applyFont="1" applyFill="1" applyBorder="1" applyAlignment="1">
      <alignment horizontal="center"/>
    </xf>
    <xf numFmtId="37" fontId="4" fillId="0" borderId="0" xfId="3" applyNumberFormat="1" applyFont="1" applyFill="1" applyBorder="1" applyAlignment="1" applyProtection="1"/>
    <xf numFmtId="10" fontId="4" fillId="0" borderId="0" xfId="4" applyNumberFormat="1" applyFont="1" applyFill="1" applyBorder="1"/>
    <xf numFmtId="176" fontId="4" fillId="0" borderId="0" xfId="4" applyNumberFormat="1" applyFont="1" applyFill="1" applyBorder="1"/>
    <xf numFmtId="0" fontId="4" fillId="0" borderId="22" xfId="0" applyFont="1" applyFill="1" applyBorder="1"/>
    <xf numFmtId="173" fontId="4" fillId="0" borderId="0" xfId="4" applyNumberFormat="1" applyFont="1" applyFill="1" applyBorder="1"/>
    <xf numFmtId="164" fontId="4" fillId="0" borderId="0" xfId="4" applyNumberFormat="1" applyFont="1" applyFill="1" applyBorder="1"/>
    <xf numFmtId="10" fontId="4" fillId="0" borderId="14" xfId="4" applyNumberFormat="1" applyFont="1" applyBorder="1"/>
    <xf numFmtId="0" fontId="4" fillId="0" borderId="0" xfId="4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4" fillId="0" borderId="0" xfId="0" applyNumberFormat="1" applyFont="1" applyFill="1" applyAlignment="1">
      <alignment horizontal="center"/>
    </xf>
    <xf numFmtId="173" fontId="4" fillId="0" borderId="0" xfId="4" applyNumberFormat="1" applyFont="1"/>
    <xf numFmtId="173" fontId="7" fillId="0" borderId="0" xfId="0" applyNumberFormat="1" applyFont="1" applyFill="1" applyBorder="1" applyAlignment="1">
      <alignment horizontal="center"/>
    </xf>
    <xf numFmtId="173" fontId="4" fillId="0" borderId="0" xfId="0" applyNumberFormat="1" applyFont="1" applyFill="1" applyBorder="1"/>
    <xf numFmtId="37" fontId="4" fillId="0" borderId="0" xfId="0" applyNumberFormat="1" applyFont="1" applyFill="1" applyBorder="1"/>
    <xf numFmtId="44" fontId="4" fillId="0" borderId="10" xfId="6" applyFont="1" applyFill="1" applyBorder="1"/>
    <xf numFmtId="44" fontId="4" fillId="0" borderId="0" xfId="6" applyFont="1" applyFill="1" applyBorder="1"/>
    <xf numFmtId="44" fontId="4" fillId="0" borderId="2" xfId="6" applyFont="1" applyFill="1" applyBorder="1"/>
    <xf numFmtId="173" fontId="4" fillId="0" borderId="0" xfId="6" applyNumberFormat="1" applyFont="1" applyFill="1" applyBorder="1"/>
    <xf numFmtId="44" fontId="4" fillId="0" borderId="0" xfId="0" applyNumberFormat="1" applyFont="1"/>
    <xf numFmtId="0" fontId="27" fillId="0" borderId="0" xfId="0" applyFont="1"/>
    <xf numFmtId="0" fontId="28" fillId="0" borderId="0" xfId="0" applyFont="1"/>
    <xf numFmtId="0" fontId="4" fillId="0" borderId="0" xfId="0" applyFont="1" applyFill="1" applyAlignment="1"/>
    <xf numFmtId="165" fontId="4" fillId="0" borderId="0" xfId="0" applyNumberFormat="1" applyFont="1" applyFill="1"/>
    <xf numFmtId="10" fontId="4" fillId="0" borderId="0" xfId="11" applyNumberFormat="1" applyFont="1" applyFill="1" applyBorder="1"/>
    <xf numFmtId="165" fontId="4" fillId="0" borderId="0" xfId="11" applyNumberFormat="1" applyFont="1" applyFill="1" applyBorder="1"/>
    <xf numFmtId="10" fontId="4" fillId="0" borderId="1" xfId="11" applyNumberFormat="1" applyFont="1" applyFill="1" applyBorder="1"/>
    <xf numFmtId="165" fontId="4" fillId="0" borderId="0" xfId="6" applyNumberFormat="1" applyFont="1" applyFill="1"/>
    <xf numFmtId="0" fontId="7" fillId="0" borderId="0" xfId="0" applyFont="1"/>
    <xf numFmtId="165" fontId="7" fillId="0" borderId="14" xfId="6" applyNumberFormat="1" applyFont="1" applyBorder="1"/>
    <xf numFmtId="165" fontId="7" fillId="0" borderId="0" xfId="6" applyNumberFormat="1" applyFont="1" applyBorder="1"/>
    <xf numFmtId="0" fontId="29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Fill="1" applyBorder="1"/>
    <xf numFmtId="0" fontId="1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quotePrefix="1" applyFont="1" applyBorder="1" applyAlignment="1">
      <alignment horizontal="center"/>
    </xf>
    <xf numFmtId="164" fontId="7" fillId="0" borderId="0" xfId="5" applyNumberFormat="1" applyFont="1" applyBorder="1"/>
    <xf numFmtId="164" fontId="4" fillId="0" borderId="1" xfId="5" applyNumberFormat="1" applyFont="1" applyBorder="1"/>
    <xf numFmtId="0" fontId="7" fillId="0" borderId="0" xfId="0" applyFont="1" applyFill="1" applyBorder="1"/>
    <xf numFmtId="164" fontId="4" fillId="0" borderId="0" xfId="5" applyNumberFormat="1" applyFont="1" applyAlignment="1">
      <alignment horizontal="center"/>
    </xf>
    <xf numFmtId="14" fontId="4" fillId="0" borderId="0" xfId="0" applyNumberFormat="1" applyFont="1" applyFill="1" applyBorder="1"/>
    <xf numFmtId="164" fontId="4" fillId="0" borderId="22" xfId="5" applyNumberFormat="1" applyFont="1" applyBorder="1"/>
    <xf numFmtId="173" fontId="4" fillId="0" borderId="24" xfId="11" applyNumberFormat="1" applyFont="1" applyBorder="1"/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73" fontId="4" fillId="0" borderId="1" xfId="0" applyNumberFormat="1" applyFont="1" applyBorder="1"/>
    <xf numFmtId="173" fontId="4" fillId="0" borderId="0" xfId="0" applyNumberFormat="1" applyFont="1" applyBorder="1"/>
    <xf numFmtId="165" fontId="7" fillId="0" borderId="14" xfId="6" applyNumberFormat="1" applyFont="1" applyFill="1" applyBorder="1"/>
    <xf numFmtId="164" fontId="14" fillId="0" borderId="0" xfId="5" applyNumberFormat="1" applyFont="1"/>
    <xf numFmtId="0" fontId="4" fillId="0" borderId="0" xfId="0" applyFont="1" applyAlignment="1"/>
    <xf numFmtId="0" fontId="32" fillId="0" borderId="0" xfId="0" applyFont="1" applyAlignment="1">
      <alignment horizontal="center"/>
    </xf>
    <xf numFmtId="10" fontId="4" fillId="0" borderId="0" xfId="11" applyNumberFormat="1" applyFont="1"/>
    <xf numFmtId="10" fontId="4" fillId="0" borderId="1" xfId="0" applyNumberFormat="1" applyFont="1" applyFill="1" applyBorder="1"/>
    <xf numFmtId="165" fontId="7" fillId="0" borderId="0" xfId="6" applyNumberFormat="1" applyFont="1" applyFill="1" applyBorder="1"/>
    <xf numFmtId="0" fontId="4" fillId="0" borderId="0" xfId="0" applyFont="1" applyBorder="1" applyAlignment="1">
      <alignment horizontal="right"/>
    </xf>
    <xf numFmtId="165" fontId="14" fillId="0" borderId="0" xfId="0" applyNumberFormat="1" applyFont="1"/>
    <xf numFmtId="0" fontId="4" fillId="0" borderId="0" xfId="0" applyFont="1" applyFill="1" applyAlignment="1">
      <alignment wrapText="1"/>
    </xf>
    <xf numFmtId="173" fontId="4" fillId="0" borderId="0" xfId="11" applyNumberFormat="1" applyFont="1" applyFill="1" applyBorder="1"/>
    <xf numFmtId="164" fontId="11" fillId="0" borderId="0" xfId="5" quotePrefix="1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164" fontId="11" fillId="0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5" fillId="0" borderId="0" xfId="1" applyNumberFormat="1" applyFont="1" applyFill="1" applyBorder="1"/>
    <xf numFmtId="0" fontId="7" fillId="0" borderId="0" xfId="0" applyFont="1" applyFill="1"/>
    <xf numFmtId="164" fontId="2" fillId="4" borderId="8" xfId="5" applyNumberFormat="1" applyFont="1" applyFill="1" applyBorder="1"/>
    <xf numFmtId="165" fontId="4" fillId="4" borderId="14" xfId="6" applyNumberFormat="1" applyFont="1" applyFill="1" applyBorder="1"/>
    <xf numFmtId="165" fontId="4" fillId="0" borderId="20" xfId="6" applyNumberFormat="1" applyFont="1" applyFill="1" applyBorder="1"/>
    <xf numFmtId="165" fontId="5" fillId="0" borderId="20" xfId="6" applyNumberFormat="1" applyFont="1" applyFill="1" applyBorder="1"/>
    <xf numFmtId="0" fontId="4" fillId="5" borderId="28" xfId="0" applyFont="1" applyFill="1" applyBorder="1"/>
    <xf numFmtId="164" fontId="4" fillId="7" borderId="0" xfId="5" applyNumberFormat="1" applyFont="1" applyFill="1" applyBorder="1"/>
    <xf numFmtId="164" fontId="4" fillId="7" borderId="1" xfId="5" applyNumberFormat="1" applyFont="1" applyFill="1" applyBorder="1" applyAlignment="1">
      <alignment horizontal="right"/>
    </xf>
    <xf numFmtId="164" fontId="2" fillId="6" borderId="0" xfId="5" applyNumberFormat="1" applyFont="1" applyFill="1"/>
    <xf numFmtId="164" fontId="4" fillId="6" borderId="0" xfId="5" applyNumberFormat="1" applyFont="1" applyFill="1"/>
    <xf numFmtId="0" fontId="20" fillId="2" borderId="5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165" fontId="2" fillId="8" borderId="14" xfId="6" applyNumberFormat="1" applyFont="1" applyFill="1" applyBorder="1"/>
    <xf numFmtId="165" fontId="4" fillId="8" borderId="14" xfId="6" applyNumberFormat="1" applyFont="1" applyFill="1" applyBorder="1"/>
    <xf numFmtId="164" fontId="4" fillId="0" borderId="9" xfId="0" applyNumberFormat="1" applyFont="1" applyFill="1" applyBorder="1"/>
    <xf numFmtId="164" fontId="4" fillId="0" borderId="23" xfId="0" applyNumberFormat="1" applyFont="1" applyFill="1" applyBorder="1"/>
    <xf numFmtId="174" fontId="3" fillId="0" borderId="2" xfId="4" applyNumberFormat="1" applyFont="1" applyFill="1" applyBorder="1"/>
    <xf numFmtId="164" fontId="3" fillId="0" borderId="2" xfId="5" applyNumberFormat="1" applyFont="1" applyFill="1" applyBorder="1"/>
    <xf numFmtId="164" fontId="3" fillId="0" borderId="23" xfId="5" applyNumberFormat="1" applyFont="1" applyFill="1" applyBorder="1"/>
    <xf numFmtId="168" fontId="3" fillId="0" borderId="2" xfId="4" applyNumberFormat="1" applyFont="1" applyFill="1" applyBorder="1"/>
    <xf numFmtId="168" fontId="3" fillId="0" borderId="23" xfId="4" applyNumberFormat="1" applyFont="1" applyFill="1" applyBorder="1"/>
    <xf numFmtId="168" fontId="4" fillId="3" borderId="0" xfId="4" applyNumberFormat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9" applyFont="1" applyFill="1" applyAlignment="1">
      <alignment horizontal="center"/>
    </xf>
    <xf numFmtId="0" fontId="12" fillId="0" borderId="0" xfId="9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7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5" fillId="0" borderId="0" xfId="1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0" fontId="4" fillId="0" borderId="10" xfId="4" applyNumberFormat="1" applyFont="1" applyFill="1" applyBorder="1"/>
    <xf numFmtId="0" fontId="4" fillId="0" borderId="2" xfId="0" applyFont="1" applyFill="1" applyBorder="1" applyAlignment="1">
      <alignment horizontal="center"/>
    </xf>
    <xf numFmtId="168" fontId="4" fillId="0" borderId="19" xfId="4" applyNumberFormat="1" applyFont="1" applyFill="1" applyBorder="1"/>
    <xf numFmtId="10" fontId="4" fillId="0" borderId="10" xfId="0" applyNumberFormat="1" applyFont="1" applyFill="1" applyBorder="1" applyAlignment="1"/>
    <xf numFmtId="168" fontId="4" fillId="0" borderId="10" xfId="0" applyNumberFormat="1" applyFont="1" applyFill="1" applyBorder="1" applyAlignment="1"/>
    <xf numFmtId="0" fontId="4" fillId="0" borderId="0" xfId="9" applyFont="1" applyFill="1" applyBorder="1"/>
    <xf numFmtId="0" fontId="4" fillId="0" borderId="10" xfId="9" applyFont="1" applyFill="1" applyBorder="1"/>
    <xf numFmtId="0" fontId="0" fillId="0" borderId="2" xfId="0" applyFill="1" applyBorder="1"/>
    <xf numFmtId="168" fontId="4" fillId="0" borderId="20" xfId="4" applyNumberFormat="1" applyFont="1" applyFill="1" applyBorder="1"/>
    <xf numFmtId="168" fontId="4" fillId="3" borderId="11" xfId="4" applyNumberFormat="1" applyFont="1" applyFill="1" applyBorder="1"/>
    <xf numFmtId="164" fontId="4" fillId="0" borderId="12" xfId="0" applyNumberFormat="1" applyFont="1" applyFill="1" applyBorder="1"/>
    <xf numFmtId="0" fontId="20" fillId="0" borderId="2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165" fontId="4" fillId="0" borderId="2" xfId="0" applyNumberFormat="1" applyFont="1" applyFill="1" applyBorder="1"/>
    <xf numFmtId="164" fontId="4" fillId="0" borderId="2" xfId="5" applyNumberFormat="1" applyFont="1" applyFill="1" applyBorder="1"/>
    <xf numFmtId="10" fontId="4" fillId="0" borderId="2" xfId="0" applyNumberFormat="1" applyFont="1" applyFill="1" applyBorder="1" applyAlignment="1"/>
    <xf numFmtId="164" fontId="4" fillId="0" borderId="9" xfId="5" applyNumberFormat="1" applyFont="1" applyFill="1" applyBorder="1" applyAlignment="1">
      <alignment horizontal="right"/>
    </xf>
    <xf numFmtId="0" fontId="4" fillId="0" borderId="2" xfId="9" applyFont="1" applyFill="1" applyBorder="1" applyAlignment="1">
      <alignment horizontal="right"/>
    </xf>
    <xf numFmtId="165" fontId="4" fillId="0" borderId="21" xfId="6" applyNumberFormat="1" applyFont="1" applyFill="1" applyBorder="1"/>
    <xf numFmtId="165" fontId="4" fillId="0" borderId="2" xfId="6" applyNumberFormat="1" applyFont="1" applyFill="1" applyBorder="1"/>
    <xf numFmtId="168" fontId="4" fillId="0" borderId="11" xfId="4" applyNumberFormat="1" applyFont="1" applyFill="1" applyBorder="1"/>
    <xf numFmtId="0" fontId="7" fillId="0" borderId="15" xfId="9" applyFont="1" applyFill="1" applyBorder="1" applyAlignment="1">
      <alignment horizontal="center"/>
    </xf>
    <xf numFmtId="0" fontId="4" fillId="0" borderId="5" xfId="0" applyFont="1" applyBorder="1"/>
    <xf numFmtId="0" fontId="7" fillId="0" borderId="5" xfId="9" applyFont="1" applyFill="1" applyBorder="1" applyAlignment="1">
      <alignment horizontal="center"/>
    </xf>
    <xf numFmtId="0" fontId="7" fillId="0" borderId="6" xfId="9" applyFont="1" applyFill="1" applyBorder="1" applyAlignment="1">
      <alignment horizontal="center"/>
    </xf>
    <xf numFmtId="0" fontId="7" fillId="0" borderId="19" xfId="9" applyFont="1" applyFill="1" applyBorder="1" applyAlignment="1">
      <alignment horizontal="center"/>
    </xf>
    <xf numFmtId="0" fontId="7" fillId="0" borderId="9" xfId="9" applyFont="1" applyFill="1" applyBorder="1" applyAlignment="1">
      <alignment horizontal="center"/>
    </xf>
    <xf numFmtId="165" fontId="4" fillId="0" borderId="10" xfId="6" applyNumberFormat="1" applyFont="1" applyBorder="1"/>
    <xf numFmtId="165" fontId="4" fillId="0" borderId="2" xfId="6" applyNumberFormat="1" applyFont="1" applyBorder="1"/>
    <xf numFmtId="164" fontId="4" fillId="0" borderId="10" xfId="5" applyNumberFormat="1" applyFont="1" applyBorder="1"/>
    <xf numFmtId="164" fontId="4" fillId="0" borderId="2" xfId="5" applyNumberFormat="1" applyFont="1" applyBorder="1"/>
    <xf numFmtId="164" fontId="4" fillId="0" borderId="7" xfId="5" applyNumberFormat="1" applyFont="1" applyBorder="1"/>
    <xf numFmtId="164" fontId="4" fillId="0" borderId="23" xfId="0" applyNumberFormat="1" applyFont="1" applyBorder="1"/>
    <xf numFmtId="164" fontId="4" fillId="0" borderId="23" xfId="5" applyNumberFormat="1" applyFont="1" applyBorder="1"/>
    <xf numFmtId="165" fontId="4" fillId="0" borderId="20" xfId="6" applyNumberFormat="1" applyFont="1" applyBorder="1"/>
    <xf numFmtId="165" fontId="4" fillId="0" borderId="21" xfId="6" applyNumberFormat="1" applyFont="1" applyBorder="1"/>
    <xf numFmtId="0" fontId="4" fillId="0" borderId="11" xfId="0" applyFont="1" applyBorder="1"/>
    <xf numFmtId="0" fontId="4" fillId="0" borderId="12" xfId="0" applyFont="1" applyBorder="1"/>
    <xf numFmtId="164" fontId="4" fillId="0" borderId="12" xfId="5" applyNumberFormat="1" applyFont="1" applyBorder="1"/>
    <xf numFmtId="164" fontId="4" fillId="0" borderId="13" xfId="5" applyNumberFormat="1" applyFont="1" applyBorder="1"/>
    <xf numFmtId="0" fontId="4" fillId="0" borderId="12" xfId="9" applyFont="1" applyBorder="1"/>
    <xf numFmtId="0" fontId="4" fillId="0" borderId="13" xfId="9" applyFont="1" applyBorder="1"/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2" xfId="0" applyFont="1" applyBorder="1"/>
    <xf numFmtId="164" fontId="4" fillId="0" borderId="25" xfId="5" applyNumberFormat="1" applyFont="1" applyFill="1" applyBorder="1"/>
    <xf numFmtId="37" fontId="4" fillId="0" borderId="10" xfId="3" applyNumberFormat="1" applyFont="1" applyFill="1" applyBorder="1" applyAlignment="1" applyProtection="1"/>
    <xf numFmtId="0" fontId="4" fillId="0" borderId="27" xfId="0" applyFont="1" applyFill="1" applyBorder="1"/>
    <xf numFmtId="0" fontId="4" fillId="0" borderId="25" xfId="0" applyFont="1" applyFill="1" applyBorder="1"/>
    <xf numFmtId="10" fontId="4" fillId="0" borderId="20" xfId="4" applyNumberFormat="1" applyFont="1" applyBorder="1"/>
    <xf numFmtId="10" fontId="4" fillId="0" borderId="21" xfId="4" applyNumberFormat="1" applyFont="1" applyFill="1" applyBorder="1"/>
    <xf numFmtId="164" fontId="4" fillId="0" borderId="11" xfId="5" applyNumberFormat="1" applyFont="1" applyFill="1" applyBorder="1"/>
    <xf numFmtId="10" fontId="4" fillId="0" borderId="13" xfId="4" applyNumberFormat="1" applyFont="1" applyFill="1" applyBorder="1"/>
  </cellXfs>
  <cellStyles count="12">
    <cellStyle name="Comma" xfId="1" builtinId="3"/>
    <cellStyle name="Comma 2" xfId="5"/>
    <cellStyle name="Comma 3" xfId="10"/>
    <cellStyle name="Comma 4" xfId="8"/>
    <cellStyle name="Currency" xfId="2" builtinId="4"/>
    <cellStyle name="Currency 2" xfId="6"/>
    <cellStyle name="Hyperlink 2" xfId="3"/>
    <cellStyle name="Normal" xfId="0" builtinId="0"/>
    <cellStyle name="Normal 2" xfId="7"/>
    <cellStyle name="Normal 3" xfId="9"/>
    <cellStyle name="Percent" xfId="4" builtinId="5"/>
    <cellStyle name="Percent 2" xfId="1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073%20Evansville%203%20Phase%20Sche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ch 1 - Overall"/>
      <sheetName val="Sch 1A - Phased Increases"/>
      <sheetName val="Sch 2 - BS"/>
      <sheetName val="Sch 3 - IS"/>
      <sheetName val="Sch 3A -O&amp;M by Exp Type"/>
      <sheetName val="Sch 4"/>
      <sheetName val="Sch 5 - Summary"/>
      <sheetName val="Sch 5 - Inc Adj"/>
      <sheetName val="Sch 6 - Exp Adj"/>
      <sheetName val="Sch 7 - E&amp;R"/>
      <sheetName val="Sch 8- Debt Service"/>
      <sheetName val="Sch 9- Revenue Offsets"/>
      <sheetName val="Sch 10 - Tariff"/>
      <sheetName val="Pet Revenue Adj. Analysis"/>
      <sheetName val="DNU Sch 7 - PILOT"/>
    </sheetNames>
    <sheetDataSet>
      <sheetData sheetId="0">
        <row r="18">
          <cell r="E18">
            <v>28.87</v>
          </cell>
        </row>
      </sheetData>
      <sheetData sheetId="1"/>
      <sheetData sheetId="2">
        <row r="15">
          <cell r="Q15">
            <v>5960944</v>
          </cell>
          <cell r="AC15">
            <v>6154201</v>
          </cell>
        </row>
        <row r="16">
          <cell r="E16">
            <v>1882300</v>
          </cell>
          <cell r="Q16">
            <v>2509100</v>
          </cell>
          <cell r="AC16">
            <v>3112900</v>
          </cell>
        </row>
        <row r="18">
          <cell r="Q18">
            <v>10132501</v>
          </cell>
          <cell r="AC18">
            <v>10134195</v>
          </cell>
        </row>
        <row r="19">
          <cell r="Q19">
            <v>5403575</v>
          </cell>
          <cell r="AC19">
            <v>7691575</v>
          </cell>
        </row>
        <row r="22">
          <cell r="Q22">
            <v>-334862</v>
          </cell>
          <cell r="AC22">
            <v>-203420</v>
          </cell>
        </row>
        <row r="23">
          <cell r="Q23">
            <v>-524476</v>
          </cell>
          <cell r="AC23">
            <v>-524476</v>
          </cell>
        </row>
        <row r="24">
          <cell r="Q24">
            <v>-377928</v>
          </cell>
          <cell r="AC24">
            <v>-377928</v>
          </cell>
        </row>
        <row r="25">
          <cell r="Q25">
            <v>-7371586</v>
          </cell>
          <cell r="AC25">
            <v>-7371586</v>
          </cell>
        </row>
        <row r="26">
          <cell r="Q26">
            <v>0</v>
          </cell>
          <cell r="AC26">
            <v>-191144</v>
          </cell>
        </row>
        <row r="35">
          <cell r="E35">
            <v>913245</v>
          </cell>
          <cell r="Q35">
            <v>4191142</v>
          </cell>
        </row>
        <row r="37">
          <cell r="M37"/>
        </row>
        <row r="44">
          <cell r="AB44"/>
        </row>
        <row r="64">
          <cell r="E64">
            <v>4391</v>
          </cell>
          <cell r="Q64">
            <v>20153</v>
          </cell>
        </row>
        <row r="67">
          <cell r="E67">
            <v>10678</v>
          </cell>
          <cell r="Q67">
            <v>49004</v>
          </cell>
        </row>
        <row r="139">
          <cell r="E139">
            <v>3273708</v>
          </cell>
        </row>
        <row r="141">
          <cell r="C141">
            <v>213564</v>
          </cell>
        </row>
      </sheetData>
      <sheetData sheetId="3"/>
      <sheetData sheetId="4">
        <row r="15">
          <cell r="E15">
            <v>13696042</v>
          </cell>
        </row>
        <row r="16">
          <cell r="E16">
            <v>6197076</v>
          </cell>
        </row>
        <row r="17">
          <cell r="E17">
            <v>2120285</v>
          </cell>
        </row>
        <row r="18">
          <cell r="E18">
            <v>1655288</v>
          </cell>
        </row>
        <row r="19">
          <cell r="E19">
            <v>929528</v>
          </cell>
        </row>
        <row r="21">
          <cell r="E21">
            <v>3447899</v>
          </cell>
        </row>
        <row r="22">
          <cell r="E22">
            <v>526780</v>
          </cell>
        </row>
        <row r="24">
          <cell r="E24">
            <v>147946</v>
          </cell>
        </row>
        <row r="25">
          <cell r="E25">
            <v>457282</v>
          </cell>
        </row>
        <row r="44">
          <cell r="E44">
            <v>3845446</v>
          </cell>
        </row>
        <row r="47">
          <cell r="E47">
            <v>1135896</v>
          </cell>
        </row>
        <row r="48">
          <cell r="E48">
            <v>354798</v>
          </cell>
        </row>
      </sheetData>
      <sheetData sheetId="5"/>
      <sheetData sheetId="6">
        <row r="13">
          <cell r="G13">
            <v>13696042</v>
          </cell>
          <cell r="I13">
            <v>2625043</v>
          </cell>
        </row>
        <row r="14">
          <cell r="G14">
            <v>6197076</v>
          </cell>
          <cell r="I14">
            <v>1167851</v>
          </cell>
        </row>
        <row r="17">
          <cell r="M17">
            <v>1235161</v>
          </cell>
        </row>
        <row r="25">
          <cell r="M25">
            <v>34316686</v>
          </cell>
        </row>
        <row r="43">
          <cell r="G43">
            <v>136416</v>
          </cell>
          <cell r="M43">
            <v>162424</v>
          </cell>
        </row>
        <row r="52">
          <cell r="G52">
            <v>1135896</v>
          </cell>
        </row>
        <row r="53">
          <cell r="G53">
            <v>354798</v>
          </cell>
        </row>
        <row r="100">
          <cell r="S100">
            <v>3845446</v>
          </cell>
        </row>
        <row r="134">
          <cell r="M134">
            <v>524476</v>
          </cell>
        </row>
        <row r="151">
          <cell r="S151">
            <v>3845446</v>
          </cell>
        </row>
      </sheetData>
      <sheetData sheetId="7">
        <row r="11">
          <cell r="L11">
            <v>1655288</v>
          </cell>
        </row>
        <row r="21">
          <cell r="D21">
            <v>2625043</v>
          </cell>
          <cell r="F21">
            <v>1167851</v>
          </cell>
          <cell r="H21">
            <v>380346</v>
          </cell>
          <cell r="J21">
            <v>202618</v>
          </cell>
          <cell r="L21">
            <v>305633</v>
          </cell>
          <cell r="P21">
            <v>26979</v>
          </cell>
        </row>
      </sheetData>
      <sheetData sheetId="8">
        <row r="113">
          <cell r="O113">
            <v>-134963</v>
          </cell>
        </row>
      </sheetData>
      <sheetData sheetId="9">
        <row r="55">
          <cell r="K55">
            <v>999227</v>
          </cell>
        </row>
        <row r="83">
          <cell r="K83">
            <v>26008</v>
          </cell>
        </row>
      </sheetData>
      <sheetData sheetId="10"/>
      <sheetData sheetId="11"/>
      <sheetData sheetId="12"/>
      <sheetData sheetId="13">
        <row r="13">
          <cell r="I13">
            <v>7.69</v>
          </cell>
        </row>
        <row r="29">
          <cell r="I29">
            <v>5.33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="110" zoomScaleNormal="100" zoomScaleSheetLayoutView="110" workbookViewId="0">
      <selection activeCell="O14" sqref="O14"/>
    </sheetView>
  </sheetViews>
  <sheetFormatPr defaultColWidth="10.28515625" defaultRowHeight="15.75" x14ac:dyDescent="0.25"/>
  <cols>
    <col min="1" max="1" width="5.85546875" style="19" customWidth="1"/>
    <col min="2" max="2" width="3" style="19" customWidth="1"/>
    <col min="3" max="3" width="52.140625" style="19" customWidth="1"/>
    <col min="4" max="4" width="15" style="19" customWidth="1"/>
    <col min="5" max="5" width="1.85546875" style="19" customWidth="1"/>
    <col min="6" max="6" width="15" style="19" customWidth="1"/>
    <col min="7" max="7" width="1.85546875" style="19" customWidth="1"/>
    <col min="8" max="8" width="5.7109375" style="19" customWidth="1"/>
    <col min="9" max="9" width="1.5703125" style="19" customWidth="1"/>
    <col min="10" max="10" width="15.28515625" style="19" customWidth="1"/>
    <col min="11" max="11" width="1.85546875" style="19" customWidth="1"/>
    <col min="12" max="12" width="19.42578125" style="19" customWidth="1"/>
    <col min="13" max="13" width="1.5703125" style="19" customWidth="1"/>
    <col min="14" max="14" width="14.42578125" style="19" customWidth="1"/>
    <col min="15" max="15" width="10.42578125" style="19" customWidth="1"/>
    <col min="16" max="16" width="5.28515625" style="19" customWidth="1"/>
    <col min="17" max="17" width="1.28515625" style="19" customWidth="1"/>
    <col min="18" max="18" width="13.7109375" style="19" customWidth="1"/>
    <col min="19" max="19" width="3.28515625" style="19" customWidth="1"/>
    <col min="20" max="16384" width="10.28515625" style="19"/>
  </cols>
  <sheetData>
    <row r="1" spans="1:19" x14ac:dyDescent="0.25">
      <c r="H1" s="287"/>
      <c r="J1" s="286" t="s">
        <v>2</v>
      </c>
    </row>
    <row r="2" spans="1:19" x14ac:dyDescent="0.25">
      <c r="H2" s="287"/>
      <c r="J2" s="286" t="s">
        <v>0</v>
      </c>
    </row>
    <row r="3" spans="1:19" x14ac:dyDescent="0.25">
      <c r="A3" s="62"/>
      <c r="B3" s="62"/>
      <c r="C3" s="62"/>
      <c r="D3" s="62"/>
      <c r="E3" s="62"/>
      <c r="F3" s="62"/>
      <c r="G3" s="62"/>
      <c r="H3" s="63"/>
      <c r="I3" s="62"/>
      <c r="J3" s="52" t="s">
        <v>177</v>
      </c>
    </row>
    <row r="4" spans="1:19" ht="20.25" x14ac:dyDescent="0.3">
      <c r="A4" s="394" t="s">
        <v>239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231"/>
      <c r="M4" s="231"/>
      <c r="N4" s="231"/>
      <c r="O4" s="231"/>
      <c r="P4" s="231"/>
      <c r="Q4" s="231"/>
      <c r="R4" s="231"/>
      <c r="S4" s="231"/>
    </row>
    <row r="5" spans="1:19" ht="18.75" x14ac:dyDescent="0.3">
      <c r="A5" s="395" t="s">
        <v>244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231"/>
      <c r="M5" s="231"/>
      <c r="N5" s="231"/>
      <c r="O5" s="231"/>
      <c r="P5" s="231"/>
      <c r="Q5" s="231"/>
      <c r="R5" s="231"/>
      <c r="S5" s="231"/>
    </row>
    <row r="6" spans="1:19" x14ac:dyDescent="0.25">
      <c r="H6" s="287"/>
    </row>
    <row r="7" spans="1:19" x14ac:dyDescent="0.25">
      <c r="A7" s="396" t="s">
        <v>131</v>
      </c>
      <c r="B7" s="396"/>
      <c r="C7" s="396"/>
      <c r="D7" s="396"/>
      <c r="E7" s="396"/>
      <c r="F7" s="396"/>
      <c r="G7" s="396"/>
      <c r="H7" s="396"/>
      <c r="I7" s="396"/>
      <c r="J7" s="396"/>
      <c r="K7" s="288"/>
      <c r="L7" s="288"/>
      <c r="M7" s="288"/>
      <c r="N7" s="288"/>
      <c r="O7" s="288"/>
      <c r="P7" s="288"/>
      <c r="Q7" s="288"/>
      <c r="R7" s="288"/>
      <c r="S7" s="288"/>
    </row>
    <row r="8" spans="1:19" x14ac:dyDescent="0.25">
      <c r="A8" s="396" t="s">
        <v>178</v>
      </c>
      <c r="B8" s="396"/>
      <c r="C8" s="396"/>
      <c r="D8" s="396"/>
      <c r="E8" s="396"/>
      <c r="F8" s="396"/>
      <c r="G8" s="396"/>
      <c r="H8" s="396"/>
      <c r="I8" s="396"/>
      <c r="J8" s="396"/>
      <c r="K8" s="288"/>
      <c r="L8" s="288"/>
      <c r="M8" s="288"/>
      <c r="N8" s="288"/>
      <c r="O8" s="288"/>
      <c r="P8" s="288"/>
      <c r="Q8" s="288"/>
      <c r="R8" s="288"/>
      <c r="S8" s="288"/>
    </row>
    <row r="9" spans="1:19" x14ac:dyDescent="0.25">
      <c r="A9" s="289"/>
      <c r="B9" s="289"/>
      <c r="C9" s="289"/>
      <c r="D9" s="289"/>
      <c r="E9" s="289"/>
      <c r="F9" s="289"/>
      <c r="G9" s="289"/>
      <c r="H9" s="289"/>
      <c r="I9" s="289"/>
      <c r="J9" s="289"/>
      <c r="L9" s="263"/>
      <c r="M9" s="263"/>
      <c r="N9" s="263"/>
      <c r="O9" s="263"/>
      <c r="P9" s="263"/>
      <c r="Q9" s="263"/>
      <c r="R9" s="263"/>
    </row>
    <row r="10" spans="1:19" ht="16.5" thickBot="1" x14ac:dyDescent="0.3">
      <c r="A10" s="289"/>
      <c r="B10" s="289"/>
      <c r="C10" s="289"/>
      <c r="D10" s="389"/>
      <c r="E10" s="389"/>
      <c r="F10" s="389"/>
      <c r="G10" s="389"/>
      <c r="H10" s="389"/>
      <c r="I10" s="389"/>
      <c r="J10" s="389"/>
      <c r="L10" s="389"/>
      <c r="M10" s="389"/>
      <c r="N10" s="389"/>
      <c r="O10" s="389"/>
      <c r="P10" s="389"/>
      <c r="Q10" s="389"/>
      <c r="R10" s="389"/>
    </row>
    <row r="11" spans="1:19" x14ac:dyDescent="0.25">
      <c r="C11" s="282"/>
      <c r="D11" s="469" t="s">
        <v>163</v>
      </c>
      <c r="E11" s="470"/>
      <c r="F11" s="470" t="s">
        <v>163</v>
      </c>
      <c r="G11" s="449"/>
      <c r="H11" s="470" t="s">
        <v>26</v>
      </c>
      <c r="I11" s="449"/>
      <c r="J11" s="471" t="s">
        <v>2</v>
      </c>
      <c r="L11" s="290"/>
      <c r="M11" s="290"/>
      <c r="N11" s="290"/>
      <c r="O11" s="263"/>
      <c r="P11" s="290"/>
      <c r="Q11" s="263"/>
      <c r="R11" s="290"/>
    </row>
    <row r="12" spans="1:19" x14ac:dyDescent="0.25">
      <c r="D12" s="472" t="s">
        <v>20</v>
      </c>
      <c r="E12" s="388"/>
      <c r="F12" s="291" t="s">
        <v>2</v>
      </c>
      <c r="G12" s="263"/>
      <c r="H12" s="291" t="s">
        <v>18</v>
      </c>
      <c r="I12" s="263"/>
      <c r="J12" s="473" t="s">
        <v>21</v>
      </c>
      <c r="K12" s="263"/>
      <c r="L12" s="290"/>
      <c r="M12" s="290"/>
      <c r="N12" s="290"/>
      <c r="O12" s="263"/>
      <c r="P12" s="290"/>
      <c r="Q12" s="263"/>
      <c r="R12" s="290"/>
    </row>
    <row r="13" spans="1:19" x14ac:dyDescent="0.25">
      <c r="C13" s="282"/>
      <c r="D13" s="474"/>
      <c r="E13" s="263"/>
      <c r="F13" s="263"/>
      <c r="G13" s="263"/>
      <c r="H13" s="292"/>
      <c r="I13" s="263"/>
      <c r="J13" s="475"/>
      <c r="L13" s="263"/>
      <c r="M13" s="263"/>
      <c r="N13" s="263"/>
      <c r="O13" s="263"/>
      <c r="P13" s="292"/>
      <c r="Q13" s="263"/>
      <c r="R13" s="263"/>
    </row>
    <row r="14" spans="1:19" x14ac:dyDescent="0.25">
      <c r="A14" s="62" t="s">
        <v>22</v>
      </c>
      <c r="C14" s="62"/>
      <c r="D14" s="138">
        <f>+'Sch 1A- Phased Inc and GRCF'!C14</f>
        <v>24779946</v>
      </c>
      <c r="E14" s="139"/>
      <c r="F14" s="139">
        <f>+'Sch 1A- Phased Inc and GRCF'!E14</f>
        <v>23415103</v>
      </c>
      <c r="G14" s="139"/>
      <c r="H14" s="140">
        <v>4</v>
      </c>
      <c r="I14" s="139"/>
      <c r="J14" s="446">
        <f>+F14-D14</f>
        <v>-1364843</v>
      </c>
      <c r="K14" s="62"/>
      <c r="L14" s="139"/>
      <c r="M14" s="139"/>
      <c r="N14" s="139"/>
      <c r="O14" s="139"/>
      <c r="P14" s="293"/>
      <c r="Q14" s="139"/>
      <c r="R14" s="139"/>
      <c r="S14" s="62"/>
    </row>
    <row r="15" spans="1:19" x14ac:dyDescent="0.25">
      <c r="A15" s="62" t="s">
        <v>23</v>
      </c>
      <c r="C15" s="62"/>
      <c r="D15" s="57">
        <f>+'Sch 1A- Phased Inc and GRCF'!W15</f>
        <v>9544100</v>
      </c>
      <c r="E15" s="143"/>
      <c r="F15" s="143">
        <f>+'Sch 1A- Phased Inc and GRCF'!AC15</f>
        <v>6154201</v>
      </c>
      <c r="G15" s="143"/>
      <c r="H15" s="144">
        <v>7</v>
      </c>
      <c r="I15" s="143"/>
      <c r="J15" s="441">
        <f>+F15-D15</f>
        <v>-3389899</v>
      </c>
      <c r="K15" s="62"/>
      <c r="L15" s="143"/>
      <c r="M15" s="143"/>
      <c r="N15" s="143"/>
      <c r="O15" s="143"/>
      <c r="P15" s="294"/>
      <c r="Q15" s="143"/>
      <c r="R15" s="143"/>
      <c r="S15" s="62"/>
    </row>
    <row r="16" spans="1:19" x14ac:dyDescent="0.25">
      <c r="A16" s="62" t="s">
        <v>24</v>
      </c>
      <c r="C16" s="62"/>
      <c r="D16" s="57">
        <f>+'Sch 1A- Phased Inc and GRCF'!W16</f>
        <v>3112900</v>
      </c>
      <c r="E16" s="143"/>
      <c r="F16" s="143">
        <f>+'Sch 1A- Phased Inc and GRCF'!AC16</f>
        <v>3112900</v>
      </c>
      <c r="G16" s="143"/>
      <c r="H16" s="144" t="s">
        <v>27</v>
      </c>
      <c r="I16" s="143"/>
      <c r="J16" s="441">
        <f>+F16-D16</f>
        <v>0</v>
      </c>
      <c r="K16" s="62"/>
      <c r="L16" s="143"/>
      <c r="M16" s="143"/>
      <c r="N16" s="143"/>
      <c r="O16" s="143"/>
      <c r="P16" s="294"/>
      <c r="Q16" s="143"/>
      <c r="R16" s="143"/>
      <c r="S16" s="62"/>
    </row>
    <row r="17" spans="1:19" x14ac:dyDescent="0.25">
      <c r="A17" s="62" t="s">
        <v>25</v>
      </c>
      <c r="C17" s="62"/>
      <c r="D17" s="57"/>
      <c r="E17" s="143"/>
      <c r="F17" s="143"/>
      <c r="G17" s="143"/>
      <c r="H17" s="144"/>
      <c r="I17" s="143"/>
      <c r="J17" s="441"/>
      <c r="K17" s="62"/>
      <c r="L17" s="143"/>
      <c r="M17" s="143"/>
      <c r="N17" s="143"/>
      <c r="O17" s="143"/>
      <c r="P17" s="294"/>
      <c r="Q17" s="143"/>
      <c r="R17" s="143"/>
      <c r="S17" s="62"/>
    </row>
    <row r="18" spans="1:19" x14ac:dyDescent="0.25">
      <c r="A18" s="62"/>
      <c r="B18" s="2" t="s">
        <v>3</v>
      </c>
      <c r="C18" s="62"/>
      <c r="D18" s="57">
        <f>+'Sch 1A- Phased Inc and GRCF'!W18</f>
        <v>10134195</v>
      </c>
      <c r="E18" s="143"/>
      <c r="F18" s="143">
        <f>+'Sch 1A- Phased Inc and GRCF'!AC18</f>
        <v>10134195</v>
      </c>
      <c r="G18" s="143"/>
      <c r="H18" s="144">
        <v>8</v>
      </c>
      <c r="I18" s="143"/>
      <c r="J18" s="441">
        <f t="shared" ref="J18" si="0">+D18-F18</f>
        <v>0</v>
      </c>
      <c r="K18" s="62"/>
      <c r="L18" s="143"/>
      <c r="M18" s="143"/>
      <c r="N18" s="143"/>
      <c r="O18" s="143"/>
      <c r="P18" s="294"/>
      <c r="Q18" s="143"/>
      <c r="R18" s="143"/>
      <c r="S18" s="62"/>
    </row>
    <row r="19" spans="1:19" x14ac:dyDescent="0.25">
      <c r="A19" s="62"/>
      <c r="B19" s="2" t="s">
        <v>4</v>
      </c>
      <c r="C19" s="62"/>
      <c r="D19" s="57">
        <f>+'Sch 1A- Phased Inc and GRCF'!W19</f>
        <v>10551613</v>
      </c>
      <c r="E19" s="143"/>
      <c r="F19" s="143">
        <f>+'Sch 1A- Phased Inc and GRCF'!AC19</f>
        <v>7691575</v>
      </c>
      <c r="G19" s="143"/>
      <c r="H19" s="144">
        <v>8</v>
      </c>
      <c r="I19" s="143"/>
      <c r="J19" s="441">
        <f>+F19-D19</f>
        <v>-2860038</v>
      </c>
      <c r="K19" s="62"/>
      <c r="L19" s="143"/>
      <c r="M19" s="143"/>
      <c r="N19" s="143"/>
      <c r="O19" s="143"/>
      <c r="P19" s="294"/>
      <c r="Q19" s="143"/>
      <c r="R19" s="143"/>
      <c r="S19" s="62"/>
    </row>
    <row r="20" spans="1:19" x14ac:dyDescent="0.25">
      <c r="C20" s="62"/>
      <c r="D20" s="157"/>
      <c r="E20" s="143"/>
      <c r="F20" s="150"/>
      <c r="G20" s="143"/>
      <c r="H20" s="144"/>
      <c r="I20" s="143"/>
      <c r="J20" s="476"/>
      <c r="L20" s="143"/>
      <c r="M20" s="143"/>
      <c r="N20" s="143"/>
      <c r="O20" s="143"/>
      <c r="P20" s="294"/>
      <c r="Q20" s="143"/>
      <c r="R20" s="143"/>
    </row>
    <row r="21" spans="1:19" x14ac:dyDescent="0.25">
      <c r="A21" s="19" t="s">
        <v>5</v>
      </c>
      <c r="C21" s="62"/>
      <c r="D21" s="57">
        <f>SUM(D14:D19)</f>
        <v>58122754</v>
      </c>
      <c r="E21" s="143"/>
      <c r="F21" s="143">
        <f>SUM(F14:F19)</f>
        <v>50507974</v>
      </c>
      <c r="G21" s="143"/>
      <c r="H21" s="54"/>
      <c r="I21" s="143"/>
      <c r="J21" s="441">
        <f>SUM(J14:J19)</f>
        <v>-7614780</v>
      </c>
      <c r="L21" s="143"/>
      <c r="M21" s="143"/>
      <c r="N21" s="143"/>
      <c r="O21" s="143"/>
      <c r="P21" s="294"/>
      <c r="Q21" s="143"/>
      <c r="R21" s="143"/>
    </row>
    <row r="22" spans="1:19" x14ac:dyDescent="0.25">
      <c r="A22" s="20" t="s">
        <v>6</v>
      </c>
      <c r="C22" s="62"/>
      <c r="D22" s="57"/>
      <c r="E22" s="143"/>
      <c r="F22" s="143"/>
      <c r="G22" s="143"/>
      <c r="H22" s="54"/>
      <c r="I22" s="143"/>
      <c r="J22" s="441"/>
      <c r="L22" s="143"/>
      <c r="M22" s="143"/>
      <c r="N22" s="143"/>
      <c r="O22" s="143"/>
      <c r="P22" s="294"/>
      <c r="Q22" s="143"/>
      <c r="R22" s="143"/>
    </row>
    <row r="23" spans="1:19" x14ac:dyDescent="0.25">
      <c r="B23" s="2" t="s">
        <v>7</v>
      </c>
      <c r="D23" s="57">
        <f>+'Sch 1A- Phased Inc and GRCF'!W22</f>
        <v>-203420</v>
      </c>
      <c r="E23" s="143"/>
      <c r="F23" s="143">
        <f>+'Sch 1A- Phased Inc and GRCF'!AC22</f>
        <v>-203420</v>
      </c>
      <c r="G23" s="143"/>
      <c r="H23" s="144" t="s">
        <v>27</v>
      </c>
      <c r="I23" s="143"/>
      <c r="J23" s="441">
        <f>+F23-D23</f>
        <v>0</v>
      </c>
      <c r="L23" s="143"/>
      <c r="M23" s="143"/>
      <c r="N23" s="143"/>
      <c r="O23" s="143"/>
      <c r="P23" s="294"/>
      <c r="Q23" s="143"/>
      <c r="R23" s="143"/>
    </row>
    <row r="24" spans="1:19" x14ac:dyDescent="0.25">
      <c r="A24" s="20"/>
      <c r="B24" s="2" t="s">
        <v>8</v>
      </c>
      <c r="C24" s="62"/>
      <c r="D24" s="57">
        <f>+'Sch 1A- Phased Inc and GRCF'!W23</f>
        <v>-524476</v>
      </c>
      <c r="E24" s="143"/>
      <c r="F24" s="143">
        <f>+'Sch 1A- Phased Inc and GRCF'!AC23</f>
        <v>-524476</v>
      </c>
      <c r="G24" s="143"/>
      <c r="H24" s="144" t="s">
        <v>27</v>
      </c>
      <c r="I24" s="143"/>
      <c r="J24" s="441">
        <f>+F24-D24</f>
        <v>0</v>
      </c>
      <c r="K24" s="62"/>
      <c r="L24" s="143"/>
      <c r="M24" s="143"/>
      <c r="N24" s="143"/>
      <c r="O24" s="143"/>
      <c r="P24" s="294"/>
      <c r="Q24" s="143"/>
      <c r="R24" s="143"/>
      <c r="S24" s="62"/>
    </row>
    <row r="25" spans="1:19" x14ac:dyDescent="0.25">
      <c r="A25" s="20"/>
      <c r="B25" s="2" t="s">
        <v>9</v>
      </c>
      <c r="C25" s="62"/>
      <c r="D25" s="57">
        <f>+'Sch 1A- Phased Inc and GRCF'!W24</f>
        <v>-377928</v>
      </c>
      <c r="E25" s="143"/>
      <c r="F25" s="143">
        <f>+'Sch 1A- Phased Inc and GRCF'!AC24</f>
        <v>-377928</v>
      </c>
      <c r="G25" s="143"/>
      <c r="H25" s="144" t="s">
        <v>27</v>
      </c>
      <c r="I25" s="143"/>
      <c r="J25" s="441">
        <f>+F25-D25</f>
        <v>0</v>
      </c>
      <c r="K25" s="62"/>
      <c r="L25" s="143"/>
      <c r="M25" s="143"/>
      <c r="N25" s="143"/>
      <c r="O25" s="143"/>
      <c r="P25" s="294"/>
      <c r="Q25" s="143"/>
      <c r="R25" s="143"/>
      <c r="S25" s="62"/>
    </row>
    <row r="26" spans="1:19" x14ac:dyDescent="0.25">
      <c r="A26" s="20"/>
      <c r="B26" s="62" t="s">
        <v>10</v>
      </c>
      <c r="C26" s="62"/>
      <c r="D26" s="57">
        <f>+'Sch 1A- Phased Inc and GRCF'!W25</f>
        <v>-7371586</v>
      </c>
      <c r="E26" s="143"/>
      <c r="F26" s="143">
        <f>+'Sch 1A- Phased Inc and GRCF'!AC25</f>
        <v>-7371586</v>
      </c>
      <c r="G26" s="143"/>
      <c r="H26" s="144" t="s">
        <v>27</v>
      </c>
      <c r="I26" s="143"/>
      <c r="J26" s="441">
        <f>+F26-D26</f>
        <v>0</v>
      </c>
      <c r="K26" s="62"/>
      <c r="L26" s="143"/>
      <c r="M26" s="143"/>
      <c r="N26" s="143"/>
      <c r="O26" s="143"/>
      <c r="P26" s="294"/>
      <c r="Q26" s="143"/>
      <c r="R26" s="143"/>
      <c r="S26" s="62"/>
    </row>
    <row r="27" spans="1:19" x14ac:dyDescent="0.25">
      <c r="A27" s="20"/>
      <c r="B27" s="2" t="s">
        <v>11</v>
      </c>
      <c r="C27" s="62"/>
      <c r="D27" s="57">
        <f>+'Sch 1A- Phased Inc and GRCF'!W26</f>
        <v>-191144</v>
      </c>
      <c r="E27" s="143"/>
      <c r="F27" s="143">
        <f>+'Sch 1A- Phased Inc and GRCF'!AC26</f>
        <v>-191144</v>
      </c>
      <c r="G27" s="143"/>
      <c r="H27" s="144" t="s">
        <v>27</v>
      </c>
      <c r="I27" s="143"/>
      <c r="J27" s="441">
        <f>+F27-D27</f>
        <v>0</v>
      </c>
      <c r="K27" s="62"/>
      <c r="L27" s="143"/>
      <c r="M27" s="143"/>
      <c r="N27" s="143"/>
      <c r="O27" s="143"/>
      <c r="P27" s="294"/>
      <c r="Q27" s="143"/>
      <c r="R27" s="143"/>
      <c r="S27" s="62"/>
    </row>
    <row r="28" spans="1:19" x14ac:dyDescent="0.25">
      <c r="B28" s="62"/>
      <c r="C28" s="62"/>
      <c r="D28" s="157"/>
      <c r="E28" s="143"/>
      <c r="F28" s="150"/>
      <c r="G28" s="143"/>
      <c r="H28" s="144"/>
      <c r="I28" s="143"/>
      <c r="J28" s="476"/>
      <c r="K28" s="62"/>
      <c r="L28" s="143"/>
      <c r="M28" s="143"/>
      <c r="N28" s="143"/>
      <c r="O28" s="143"/>
      <c r="P28" s="294"/>
      <c r="Q28" s="143"/>
      <c r="R28" s="143"/>
      <c r="S28" s="62"/>
    </row>
    <row r="29" spans="1:19" x14ac:dyDescent="0.25">
      <c r="A29" s="19" t="s">
        <v>12</v>
      </c>
      <c r="B29" s="62"/>
      <c r="C29" s="62"/>
      <c r="D29" s="57">
        <f>ROUND(+SUM(D21:D27),0)</f>
        <v>49454200</v>
      </c>
      <c r="E29" s="143"/>
      <c r="F29" s="143">
        <f>ROUND(+SUM(F21:F27),0)</f>
        <v>41839420</v>
      </c>
      <c r="G29" s="143"/>
      <c r="H29" s="144"/>
      <c r="I29" s="143"/>
      <c r="J29" s="441">
        <f>SUM(J21:J27)</f>
        <v>-7614780</v>
      </c>
      <c r="K29" s="62"/>
      <c r="L29" s="143"/>
      <c r="M29" s="143"/>
      <c r="N29" s="143"/>
      <c r="O29" s="143"/>
      <c r="P29" s="294"/>
      <c r="Q29" s="143"/>
      <c r="R29" s="143"/>
      <c r="S29" s="62"/>
    </row>
    <row r="30" spans="1:19" x14ac:dyDescent="0.25">
      <c r="A30" s="19" t="s">
        <v>13</v>
      </c>
      <c r="B30" s="18" t="s">
        <v>132</v>
      </c>
      <c r="C30" s="62"/>
      <c r="D30" s="477">
        <f>+'Sch 1A- Phased Inc and GRCF'!C29</f>
        <v>-33505765</v>
      </c>
      <c r="E30" s="143"/>
      <c r="F30" s="143">
        <f>+'Sch 1A- Phased Inc and GRCF'!E29</f>
        <v>-33792210</v>
      </c>
      <c r="G30" s="143"/>
      <c r="H30" s="144">
        <v>4</v>
      </c>
      <c r="I30" s="143"/>
      <c r="J30" s="441">
        <f>+F30-D30</f>
        <v>-286445</v>
      </c>
      <c r="K30" s="62"/>
      <c r="L30" s="295"/>
      <c r="M30" s="143"/>
      <c r="N30" s="295"/>
      <c r="O30" s="143"/>
      <c r="P30" s="294"/>
      <c r="Q30" s="143"/>
      <c r="R30" s="143"/>
      <c r="S30" s="62"/>
    </row>
    <row r="31" spans="1:19" x14ac:dyDescent="0.25">
      <c r="B31" s="62"/>
      <c r="C31" s="62"/>
      <c r="D31" s="157"/>
      <c r="E31" s="143"/>
      <c r="F31" s="150"/>
      <c r="G31" s="143"/>
      <c r="H31" s="160"/>
      <c r="I31" s="143"/>
      <c r="J31" s="476"/>
      <c r="K31" s="62"/>
      <c r="L31" s="296"/>
      <c r="M31" s="143"/>
      <c r="N31" s="143"/>
      <c r="O31" s="143"/>
      <c r="P31" s="294"/>
      <c r="Q31" s="143"/>
      <c r="R31" s="143"/>
      <c r="S31" s="62"/>
    </row>
    <row r="32" spans="1:19" x14ac:dyDescent="0.25">
      <c r="A32" s="19" t="s">
        <v>14</v>
      </c>
      <c r="B32" s="62"/>
      <c r="C32" s="62"/>
      <c r="D32" s="175">
        <f>+D29+D30</f>
        <v>15948435</v>
      </c>
      <c r="E32" s="2"/>
      <c r="F32" s="158">
        <f>+F29+F30</f>
        <v>8047210</v>
      </c>
      <c r="G32" s="2"/>
      <c r="H32" s="263"/>
      <c r="I32" s="2"/>
      <c r="J32" s="258">
        <f>+J29+J30</f>
        <v>-7901225</v>
      </c>
      <c r="K32" s="62"/>
      <c r="L32" s="296"/>
      <c r="M32" s="2"/>
      <c r="N32" s="297"/>
      <c r="O32" s="2"/>
      <c r="P32" s="10"/>
      <c r="Q32" s="2"/>
      <c r="R32" s="158"/>
      <c r="S32" s="62"/>
    </row>
    <row r="33" spans="1:19" x14ac:dyDescent="0.25">
      <c r="A33" s="19" t="s">
        <v>15</v>
      </c>
      <c r="B33" s="62"/>
      <c r="C33" s="62"/>
      <c r="D33" s="161">
        <v>1.0147386199999999</v>
      </c>
      <c r="E33" s="2"/>
      <c r="F33" s="163">
        <f>+'Sch 1A- Phased Inc and GRCF'!C71</f>
        <v>1.01677762</v>
      </c>
      <c r="G33" s="2"/>
      <c r="H33" s="160">
        <v>1</v>
      </c>
      <c r="I33" s="2"/>
      <c r="J33" s="253">
        <f>+F33-D33</f>
        <v>2.039000000000124E-3</v>
      </c>
      <c r="K33" s="62"/>
      <c r="L33" s="296"/>
      <c r="M33" s="2"/>
      <c r="N33" s="296"/>
      <c r="O33" s="2"/>
      <c r="P33" s="10"/>
      <c r="Q33" s="2"/>
      <c r="R33" s="162"/>
      <c r="S33" s="62"/>
    </row>
    <row r="34" spans="1:19" x14ac:dyDescent="0.25">
      <c r="B34" s="62"/>
      <c r="C34" s="62"/>
      <c r="D34" s="478"/>
      <c r="E34" s="2"/>
      <c r="F34" s="298"/>
      <c r="G34" s="2"/>
      <c r="H34" s="10"/>
      <c r="I34" s="2"/>
      <c r="J34" s="479"/>
      <c r="K34" s="62"/>
      <c r="L34" s="299"/>
      <c r="M34" s="2"/>
      <c r="N34" s="139"/>
      <c r="O34" s="194"/>
      <c r="P34" s="10"/>
      <c r="Q34" s="2"/>
      <c r="R34" s="2"/>
      <c r="S34" s="62"/>
    </row>
    <row r="35" spans="1:19" ht="16.5" thickBot="1" x14ac:dyDescent="0.3">
      <c r="A35" s="19" t="s">
        <v>16</v>
      </c>
      <c r="B35" s="62"/>
      <c r="C35" s="62"/>
      <c r="D35" s="369">
        <f>ROUND(+D32*D33,0)</f>
        <v>16183493</v>
      </c>
      <c r="E35" s="2"/>
      <c r="F35" s="180">
        <f>ROUND(+F32*F33,0)</f>
        <v>8182223</v>
      </c>
      <c r="G35" s="2"/>
      <c r="H35" s="10"/>
      <c r="I35" s="2"/>
      <c r="J35" s="445">
        <f>+F35-D35</f>
        <v>-8001270</v>
      </c>
      <c r="K35" s="62"/>
      <c r="L35" s="139"/>
      <c r="M35" s="296"/>
      <c r="N35" s="300"/>
      <c r="O35" s="194"/>
      <c r="P35" s="10"/>
      <c r="Q35" s="2"/>
      <c r="R35" s="139"/>
      <c r="S35" s="62"/>
    </row>
    <row r="36" spans="1:19" ht="16.5" thickTop="1" x14ac:dyDescent="0.25">
      <c r="B36" s="62"/>
      <c r="C36" s="62"/>
      <c r="D36" s="175"/>
      <c r="E36" s="2"/>
      <c r="F36" s="296"/>
      <c r="G36" s="2"/>
      <c r="H36" s="10"/>
      <c r="I36" s="2"/>
      <c r="J36" s="13"/>
      <c r="K36" s="62"/>
      <c r="L36" s="299"/>
      <c r="M36" s="2"/>
      <c r="N36" s="235"/>
      <c r="O36" s="2"/>
      <c r="P36" s="10"/>
      <c r="Q36" s="2"/>
      <c r="R36" s="2"/>
      <c r="S36" s="62"/>
    </row>
    <row r="37" spans="1:19" ht="16.5" thickBot="1" x14ac:dyDescent="0.3">
      <c r="A37" s="19" t="s">
        <v>17</v>
      </c>
      <c r="B37" s="62"/>
      <c r="C37" s="62"/>
      <c r="D37" s="480">
        <f>ROUND(D35/D30*-1,4)</f>
        <v>0.48299999999999998</v>
      </c>
      <c r="E37" s="263"/>
      <c r="F37" s="301">
        <f>ROUND(F35/F30*-1,4)</f>
        <v>0.24210000000000001</v>
      </c>
      <c r="G37" s="263"/>
      <c r="H37" s="263"/>
      <c r="I37" s="263"/>
      <c r="J37" s="481">
        <f>+F37-D37</f>
        <v>-0.24089999999999998</v>
      </c>
      <c r="K37" s="62"/>
      <c r="L37" s="299"/>
      <c r="M37" s="296"/>
      <c r="N37" s="296"/>
      <c r="O37" s="299"/>
      <c r="P37" s="302"/>
      <c r="Q37" s="296"/>
      <c r="R37" s="296"/>
      <c r="S37" s="62"/>
    </row>
    <row r="38" spans="1:19" ht="17.25" thickTop="1" thickBot="1" x14ac:dyDescent="0.3">
      <c r="B38" s="62"/>
      <c r="C38" s="132"/>
      <c r="D38" s="482"/>
      <c r="E38" s="15"/>
      <c r="F38" s="187"/>
      <c r="G38" s="15"/>
      <c r="H38" s="16"/>
      <c r="I38" s="15"/>
      <c r="J38" s="483"/>
      <c r="K38" s="62"/>
      <c r="L38" s="299"/>
      <c r="M38" s="2"/>
      <c r="N38" s="296"/>
      <c r="O38" s="299"/>
      <c r="P38" s="10"/>
      <c r="Q38" s="2"/>
      <c r="R38" s="2"/>
      <c r="S38" s="62"/>
    </row>
    <row r="39" spans="1:19" ht="16.5" thickBot="1" x14ac:dyDescent="0.3">
      <c r="B39" s="62"/>
      <c r="C39" s="72"/>
      <c r="D39" s="303"/>
      <c r="E39" s="62"/>
      <c r="F39" s="195"/>
      <c r="G39" s="62"/>
      <c r="H39" s="304"/>
      <c r="I39" s="62"/>
      <c r="J39" s="62"/>
      <c r="K39" s="62"/>
      <c r="L39" s="305"/>
      <c r="M39" s="2"/>
      <c r="N39" s="296"/>
      <c r="O39" s="305"/>
      <c r="P39" s="10"/>
      <c r="Q39" s="2"/>
      <c r="R39" s="2"/>
      <c r="S39" s="62"/>
    </row>
    <row r="40" spans="1:19" x14ac:dyDescent="0.25">
      <c r="A40" s="2"/>
      <c r="B40" s="2"/>
      <c r="C40" s="2"/>
      <c r="D40" s="390" t="s">
        <v>19</v>
      </c>
      <c r="E40" s="391"/>
      <c r="F40" s="391"/>
      <c r="G40" s="4"/>
      <c r="H40" s="5"/>
      <c r="I40" s="4"/>
      <c r="J40" s="6" t="s">
        <v>2</v>
      </c>
      <c r="K40" s="62"/>
      <c r="L40" s="299"/>
      <c r="M40" s="232"/>
      <c r="N40" s="232"/>
      <c r="O40" s="299"/>
      <c r="P40" s="10"/>
      <c r="Q40" s="2"/>
      <c r="R40" s="59"/>
      <c r="S40" s="62"/>
    </row>
    <row r="41" spans="1:19" x14ac:dyDescent="0.25">
      <c r="B41" s="366" t="s">
        <v>250</v>
      </c>
      <c r="C41" s="2"/>
      <c r="D41" s="7" t="s">
        <v>20</v>
      </c>
      <c r="E41" s="8"/>
      <c r="F41" s="9" t="s">
        <v>2</v>
      </c>
      <c r="G41" s="2"/>
      <c r="H41" s="10"/>
      <c r="I41" s="2"/>
      <c r="J41" s="11" t="s">
        <v>21</v>
      </c>
      <c r="K41" s="62"/>
      <c r="L41" s="306"/>
      <c r="M41" s="8"/>
      <c r="N41" s="59"/>
      <c r="O41" s="2"/>
      <c r="P41" s="10"/>
      <c r="Q41" s="2"/>
      <c r="R41" s="8"/>
      <c r="S41" s="62"/>
    </row>
    <row r="42" spans="1:19" x14ac:dyDescent="0.25">
      <c r="D42" s="12"/>
      <c r="E42" s="2"/>
      <c r="F42" s="2"/>
      <c r="G42" s="2"/>
      <c r="H42" s="10"/>
      <c r="I42" s="2"/>
      <c r="J42" s="13"/>
      <c r="K42" s="62"/>
      <c r="L42" s="307"/>
      <c r="M42" s="2"/>
      <c r="N42" s="308"/>
      <c r="O42" s="307"/>
      <c r="P42" s="10"/>
      <c r="Q42" s="2"/>
      <c r="R42" s="2"/>
      <c r="S42" s="62"/>
    </row>
    <row r="43" spans="1:19" s="62" customFormat="1" x14ac:dyDescent="0.25">
      <c r="A43" s="392" t="str">
        <f>"Current Rate for 5,000 Gallons = $"&amp;+[1]Inputs!E18</f>
        <v>Current Rate for 5,000 Gallons = $28.87</v>
      </c>
      <c r="B43" s="392"/>
      <c r="C43" s="393"/>
      <c r="D43" s="309">
        <f>+'Sch 1A- Phased Inc and GRCF'!W44</f>
        <v>42.84</v>
      </c>
      <c r="E43" s="2"/>
      <c r="F43" s="310">
        <f>+'Sch 1A- Phased Inc and GRCF'!AC44</f>
        <v>35.880000000000003</v>
      </c>
      <c r="G43" s="2"/>
      <c r="H43" s="10">
        <v>10</v>
      </c>
      <c r="I43" s="2"/>
      <c r="J43" s="311">
        <f>+F43-D43</f>
        <v>-6.9600000000000009</v>
      </c>
      <c r="L43" s="312"/>
      <c r="M43" s="2"/>
      <c r="N43" s="310"/>
      <c r="O43" s="2"/>
      <c r="P43" s="10"/>
      <c r="Q43" s="2"/>
      <c r="R43" s="310"/>
    </row>
    <row r="44" spans="1:19" ht="16.5" thickBot="1" x14ac:dyDescent="0.3">
      <c r="A44" s="62"/>
      <c r="B44" s="62" t="s">
        <v>251</v>
      </c>
      <c r="C44" s="62"/>
      <c r="D44" s="14"/>
      <c r="E44" s="15"/>
      <c r="F44" s="15"/>
      <c r="G44" s="15"/>
      <c r="H44" s="16"/>
      <c r="I44" s="15"/>
      <c r="J44" s="17"/>
      <c r="K44" s="62"/>
      <c r="L44" s="2"/>
      <c r="M44" s="2"/>
      <c r="N44" s="2"/>
      <c r="O44" s="2"/>
      <c r="P44" s="2"/>
      <c r="Q44" s="2"/>
      <c r="R44" s="2"/>
      <c r="S44" s="62"/>
    </row>
    <row r="45" spans="1:19" x14ac:dyDescent="0.25">
      <c r="B45" s="62" t="s">
        <v>252</v>
      </c>
      <c r="L45" s="263"/>
      <c r="M45" s="263"/>
      <c r="N45" s="263"/>
      <c r="O45" s="263"/>
      <c r="P45" s="263"/>
      <c r="Q45" s="263"/>
      <c r="R45" s="263"/>
    </row>
    <row r="47" spans="1:19" x14ac:dyDescent="0.25">
      <c r="D47" s="313"/>
      <c r="F47" s="313"/>
    </row>
    <row r="99" spans="7:12" x14ac:dyDescent="0.25">
      <c r="G99" s="285">
        <f>+'[1]Sch 1A - Phased Increases'!C141-'[1]Sch 1A - Phased Increases'!E139</f>
        <v>-3060144</v>
      </c>
      <c r="L99" s="285"/>
    </row>
  </sheetData>
  <mergeCells count="8">
    <mergeCell ref="L10:R10"/>
    <mergeCell ref="D40:F40"/>
    <mergeCell ref="A43:C43"/>
    <mergeCell ref="A4:K4"/>
    <mergeCell ref="A5:K5"/>
    <mergeCell ref="A7:J7"/>
    <mergeCell ref="A8:J8"/>
    <mergeCell ref="D10:J10"/>
  </mergeCells>
  <pageMargins left="0.7" right="0.7" top="0.75" bottom="0.75" header="0.3" footer="0.3"/>
  <pageSetup scale="75" orientation="portrait" r:id="rId1"/>
  <rowBreaks count="1" manualBreakCount="1">
    <brk id="45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3"/>
  <sheetViews>
    <sheetView view="pageBreakPreview" zoomScale="70" zoomScaleNormal="60" zoomScaleSheetLayoutView="70" workbookViewId="0">
      <selection activeCell="S105" sqref="S105"/>
    </sheetView>
  </sheetViews>
  <sheetFormatPr defaultColWidth="10.28515625" defaultRowHeight="15" x14ac:dyDescent="0.25"/>
  <cols>
    <col min="1" max="1" width="5" style="51" customWidth="1"/>
    <col min="2" max="2" width="51.85546875" style="51" customWidth="1"/>
    <col min="3" max="3" width="15" style="51" customWidth="1"/>
    <col min="4" max="4" width="1.5703125" style="51" customWidth="1"/>
    <col min="5" max="5" width="15.140625" style="51" customWidth="1"/>
    <col min="6" max="6" width="1.85546875" style="51" customWidth="1"/>
    <col min="7" max="7" width="7" style="51" customWidth="1"/>
    <col min="8" max="8" width="1.5703125" style="51" customWidth="1"/>
    <col min="9" max="9" width="13.85546875" style="51" customWidth="1"/>
    <col min="10" max="10" width="1.28515625" style="51" customWidth="1"/>
    <col min="11" max="11" width="14.7109375" style="51" customWidth="1"/>
    <col min="12" max="15" width="1.28515625" style="51" hidden="1" customWidth="1"/>
    <col min="16" max="16" width="1.85546875" style="51" customWidth="1"/>
    <col min="17" max="17" width="16" style="51" customWidth="1"/>
    <col min="18" max="18" width="1.5703125" style="51" customWidth="1"/>
    <col min="19" max="19" width="6.28515625" style="51" customWidth="1"/>
    <col min="20" max="20" width="1.5703125" style="51" customWidth="1"/>
    <col min="21" max="21" width="15.42578125" style="51" customWidth="1"/>
    <col min="22" max="22" width="1.28515625" style="51" customWidth="1"/>
    <col min="23" max="23" width="15.7109375" style="51" customWidth="1"/>
    <col min="24" max="27" width="1.28515625" style="51" hidden="1" customWidth="1"/>
    <col min="28" max="28" width="1.85546875" style="51" customWidth="1"/>
    <col min="29" max="29" width="16.140625" style="51" customWidth="1"/>
    <col min="30" max="30" width="1.5703125" style="51" customWidth="1"/>
    <col min="31" max="31" width="6.5703125" style="51" customWidth="1"/>
    <col min="32" max="32" width="1.5703125" style="51" customWidth="1"/>
    <col min="33" max="33" width="15.140625" style="51" customWidth="1"/>
    <col min="34" max="34" width="1.28515625" style="51" customWidth="1"/>
    <col min="35" max="35" width="10.28515625" style="51"/>
    <col min="36" max="36" width="15.85546875" style="51" bestFit="1" customWidth="1"/>
    <col min="37" max="37" width="2.42578125" style="51" customWidth="1"/>
    <col min="38" max="38" width="18.28515625" style="51" customWidth="1"/>
    <col min="39" max="39" width="2.42578125" style="51" customWidth="1"/>
    <col min="40" max="41" width="2.140625" style="51" customWidth="1"/>
    <col min="42" max="42" width="23.42578125" style="51" bestFit="1" customWidth="1"/>
    <col min="43" max="45" width="3.28515625" style="51" customWidth="1"/>
    <col min="46" max="46" width="13" style="51" bestFit="1" customWidth="1"/>
    <col min="47" max="16384" width="10.28515625" style="51"/>
  </cols>
  <sheetData>
    <row r="1" spans="1:34" ht="15.75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13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H1" s="113" t="s">
        <v>2</v>
      </c>
    </row>
    <row r="2" spans="1:34" ht="15.75" x14ac:dyDescent="0.25">
      <c r="A2" s="62"/>
      <c r="B2" s="371" t="s">
        <v>255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113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H2" s="113" t="s">
        <v>0</v>
      </c>
    </row>
    <row r="3" spans="1:34" ht="15.7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113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H3" s="113" t="s">
        <v>30</v>
      </c>
    </row>
    <row r="4" spans="1:34" customFormat="1" ht="20.25" x14ac:dyDescent="0.3">
      <c r="A4" s="1"/>
      <c r="B4" s="1"/>
      <c r="C4" s="1"/>
      <c r="D4" s="1"/>
      <c r="E4" s="1"/>
      <c r="F4" s="1"/>
      <c r="G4" s="1"/>
      <c r="H4" s="394" t="s">
        <v>239</v>
      </c>
      <c r="I4" s="394"/>
      <c r="J4" s="394"/>
      <c r="K4" s="394"/>
      <c r="L4" s="394"/>
      <c r="M4" s="394"/>
      <c r="N4" s="394"/>
      <c r="O4" s="394"/>
      <c r="P4" s="394"/>
      <c r="Q4" s="394"/>
      <c r="R4" s="394"/>
    </row>
    <row r="5" spans="1:34" customFormat="1" ht="18.75" x14ac:dyDescent="0.3">
      <c r="H5" s="395" t="s">
        <v>244</v>
      </c>
      <c r="I5" s="395"/>
      <c r="J5" s="395"/>
      <c r="K5" s="395"/>
      <c r="L5" s="395"/>
      <c r="M5" s="395"/>
      <c r="N5" s="395"/>
      <c r="O5" s="395"/>
      <c r="P5" s="395"/>
      <c r="Q5" s="395"/>
      <c r="R5" s="395"/>
    </row>
    <row r="6" spans="1:34" ht="18.75" x14ac:dyDescent="0.3">
      <c r="A6" s="114"/>
      <c r="B6" s="39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34" ht="15.75" x14ac:dyDescent="0.25">
      <c r="A7" s="400" t="s">
        <v>131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</row>
    <row r="8" spans="1:34" ht="15.75" x14ac:dyDescent="0.25">
      <c r="A8" s="400" t="s">
        <v>31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</row>
    <row r="9" spans="1:34" ht="16.5" thickBot="1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16.5" thickBot="1" x14ac:dyDescent="0.3">
      <c r="A10" s="62"/>
      <c r="B10" s="62"/>
      <c r="C10" s="401" t="s">
        <v>36</v>
      </c>
      <c r="D10" s="402"/>
      <c r="E10" s="402"/>
      <c r="F10" s="402"/>
      <c r="G10" s="402"/>
      <c r="H10" s="402"/>
      <c r="I10" s="403"/>
      <c r="J10" s="116"/>
      <c r="K10" s="117"/>
      <c r="L10" s="118"/>
      <c r="M10" s="118"/>
      <c r="N10" s="118"/>
      <c r="O10" s="118"/>
      <c r="P10" s="118"/>
      <c r="Q10" s="119" t="s">
        <v>28</v>
      </c>
      <c r="R10" s="119"/>
      <c r="S10" s="119"/>
      <c r="T10" s="119"/>
      <c r="U10" s="120"/>
      <c r="V10" s="121"/>
      <c r="W10" s="117"/>
      <c r="X10" s="118"/>
      <c r="Y10" s="118"/>
      <c r="Z10" s="118"/>
      <c r="AA10" s="118"/>
      <c r="AB10" s="118"/>
      <c r="AC10" s="119" t="s">
        <v>29</v>
      </c>
      <c r="AD10" s="119"/>
      <c r="AE10" s="119"/>
      <c r="AF10" s="119"/>
      <c r="AG10" s="120"/>
      <c r="AH10" s="121"/>
    </row>
    <row r="11" spans="1:34" ht="15.75" x14ac:dyDescent="0.25">
      <c r="A11" s="62"/>
      <c r="B11" s="62"/>
      <c r="C11" s="122"/>
      <c r="D11" s="123"/>
      <c r="E11" s="376"/>
      <c r="F11" s="123"/>
      <c r="G11" s="123" t="s">
        <v>26</v>
      </c>
      <c r="H11" s="123"/>
      <c r="I11" s="124" t="s">
        <v>2</v>
      </c>
      <c r="J11" s="116"/>
      <c r="K11" s="125"/>
      <c r="L11" s="126"/>
      <c r="M11" s="126"/>
      <c r="N11" s="126"/>
      <c r="O11" s="126"/>
      <c r="P11" s="126"/>
      <c r="Q11" s="126"/>
      <c r="R11" s="126"/>
      <c r="S11" s="123" t="s">
        <v>26</v>
      </c>
      <c r="T11" s="123"/>
      <c r="U11" s="124" t="s">
        <v>2</v>
      </c>
      <c r="V11" s="121"/>
      <c r="W11" s="125"/>
      <c r="X11" s="126"/>
      <c r="Y11" s="126"/>
      <c r="Z11" s="126"/>
      <c r="AA11" s="126"/>
      <c r="AB11" s="126"/>
      <c r="AC11" s="126"/>
      <c r="AD11" s="126"/>
      <c r="AE11" s="123" t="s">
        <v>26</v>
      </c>
      <c r="AF11" s="123"/>
      <c r="AG11" s="124" t="s">
        <v>2</v>
      </c>
      <c r="AH11" s="121"/>
    </row>
    <row r="12" spans="1:34" ht="16.5" thickBot="1" x14ac:dyDescent="0.3">
      <c r="A12" s="62"/>
      <c r="B12" s="62"/>
      <c r="C12" s="127" t="s">
        <v>20</v>
      </c>
      <c r="D12" s="128"/>
      <c r="E12" s="377" t="s">
        <v>2</v>
      </c>
      <c r="F12" s="128"/>
      <c r="G12" s="128" t="s">
        <v>18</v>
      </c>
      <c r="H12" s="128"/>
      <c r="I12" s="129" t="s">
        <v>21</v>
      </c>
      <c r="J12" s="121"/>
      <c r="K12" s="127" t="s">
        <v>20</v>
      </c>
      <c r="L12" s="130"/>
      <c r="M12" s="130"/>
      <c r="N12" s="130"/>
      <c r="O12" s="130"/>
      <c r="P12" s="130"/>
      <c r="Q12" s="131" t="s">
        <v>2</v>
      </c>
      <c r="R12" s="131"/>
      <c r="S12" s="128" t="s">
        <v>18</v>
      </c>
      <c r="T12" s="128"/>
      <c r="U12" s="129" t="s">
        <v>21</v>
      </c>
      <c r="V12" s="121"/>
      <c r="W12" s="127" t="s">
        <v>20</v>
      </c>
      <c r="X12" s="130"/>
      <c r="Y12" s="130"/>
      <c r="Z12" s="130"/>
      <c r="AA12" s="130"/>
      <c r="AB12" s="130"/>
      <c r="AC12" s="131" t="s">
        <v>2</v>
      </c>
      <c r="AD12" s="131"/>
      <c r="AE12" s="128" t="s">
        <v>18</v>
      </c>
      <c r="AF12" s="128"/>
      <c r="AG12" s="129" t="s">
        <v>21</v>
      </c>
      <c r="AH12" s="121"/>
    </row>
    <row r="13" spans="1:34" ht="15.75" x14ac:dyDescent="0.25">
      <c r="A13" s="62"/>
      <c r="B13" s="132"/>
      <c r="C13" s="133"/>
      <c r="D13" s="4"/>
      <c r="E13" s="134"/>
      <c r="F13" s="4"/>
      <c r="G13" s="4"/>
      <c r="H13" s="4"/>
      <c r="I13" s="135"/>
      <c r="J13" s="2"/>
      <c r="K13" s="133"/>
      <c r="L13" s="4"/>
      <c r="M13" s="4"/>
      <c r="N13" s="4"/>
      <c r="O13" s="4"/>
      <c r="P13" s="4"/>
      <c r="Q13" s="136"/>
      <c r="R13" s="4"/>
      <c r="S13" s="4"/>
      <c r="T13" s="4"/>
      <c r="U13" s="135"/>
      <c r="V13" s="62"/>
      <c r="W13" s="133"/>
      <c r="X13" s="4"/>
      <c r="Y13" s="4"/>
      <c r="Z13" s="4"/>
      <c r="AA13" s="4"/>
      <c r="AB13" s="4"/>
      <c r="AC13" s="136"/>
      <c r="AD13" s="4"/>
      <c r="AE13" s="4"/>
      <c r="AF13" s="4"/>
      <c r="AG13" s="135"/>
      <c r="AH13" s="62"/>
    </row>
    <row r="14" spans="1:34" ht="15.75" x14ac:dyDescent="0.25">
      <c r="A14" s="62" t="s">
        <v>22</v>
      </c>
      <c r="B14" s="137"/>
      <c r="C14" s="138">
        <f>24779946</f>
        <v>24779946</v>
      </c>
      <c r="D14" s="139"/>
      <c r="E14" s="139">
        <f>SUM('Sch 4'!M28:M44)+'Sch 4'!M53</f>
        <v>23415103</v>
      </c>
      <c r="F14" s="43"/>
      <c r="G14" s="140">
        <v>4</v>
      </c>
      <c r="H14" s="140"/>
      <c r="I14" s="141">
        <f>+E14-C14</f>
        <v>-1364843</v>
      </c>
      <c r="J14" s="43"/>
      <c r="K14" s="142">
        <f>24779946+7763+72269</f>
        <v>24859978</v>
      </c>
      <c r="L14" s="43"/>
      <c r="M14" s="43"/>
      <c r="N14" s="43"/>
      <c r="O14" s="43"/>
      <c r="P14" s="43"/>
      <c r="Q14" s="139">
        <f>SUM('Sch 4'!M87:M98)+'Sch 4'!M104</f>
        <v>23430172</v>
      </c>
      <c r="R14" s="43"/>
      <c r="S14" s="140">
        <v>4</v>
      </c>
      <c r="T14" s="140"/>
      <c r="U14" s="141">
        <f>+Q14-K14</f>
        <v>-1429806</v>
      </c>
      <c r="V14" s="43"/>
      <c r="W14" s="142">
        <f>24779946+69049+29240+72269+7763</f>
        <v>24958267</v>
      </c>
      <c r="X14" s="43"/>
      <c r="Y14" s="43"/>
      <c r="Z14" s="43"/>
      <c r="AA14" s="43"/>
      <c r="AB14" s="43"/>
      <c r="AC14" s="139">
        <f>SUM('Sch 4'!M138:M149)+'Sch 4'!M155</f>
        <v>23499329</v>
      </c>
      <c r="AD14" s="43"/>
      <c r="AE14" s="140">
        <v>4</v>
      </c>
      <c r="AF14" s="140"/>
      <c r="AG14" s="141">
        <f>+AC14-W14</f>
        <v>-1458938</v>
      </c>
      <c r="AH14" s="43"/>
    </row>
    <row r="15" spans="1:34" ht="15.75" x14ac:dyDescent="0.25">
      <c r="A15" s="62" t="s">
        <v>23</v>
      </c>
      <c r="B15" s="137"/>
      <c r="C15" s="57">
        <v>7082200</v>
      </c>
      <c r="D15" s="143"/>
      <c r="E15" s="143">
        <v>6442862</v>
      </c>
      <c r="F15" s="39"/>
      <c r="G15" s="144" t="s">
        <v>242</v>
      </c>
      <c r="H15" s="144"/>
      <c r="I15" s="145">
        <f>+E15-C15</f>
        <v>-639338</v>
      </c>
      <c r="J15" s="39"/>
      <c r="K15" s="146">
        <v>8344400</v>
      </c>
      <c r="L15" s="39"/>
      <c r="M15" s="39"/>
      <c r="N15" s="39"/>
      <c r="O15" s="39"/>
      <c r="P15" s="39"/>
      <c r="Q15" s="143">
        <v>5960944</v>
      </c>
      <c r="R15" s="39"/>
      <c r="S15" s="144" t="s">
        <v>242</v>
      </c>
      <c r="T15" s="144"/>
      <c r="U15" s="145">
        <f>+Q15-K15</f>
        <v>-2383456</v>
      </c>
      <c r="V15" s="39"/>
      <c r="W15" s="146">
        <v>9544100</v>
      </c>
      <c r="X15" s="39"/>
      <c r="Y15" s="39"/>
      <c r="Z15" s="39"/>
      <c r="AA15" s="39"/>
      <c r="AB15" s="39"/>
      <c r="AC15" s="143">
        <v>6154201</v>
      </c>
      <c r="AD15" s="39"/>
      <c r="AE15" s="144" t="s">
        <v>242</v>
      </c>
      <c r="AF15" s="144"/>
      <c r="AG15" s="145">
        <f>+AC15-W15</f>
        <v>-3389899</v>
      </c>
      <c r="AH15" s="39"/>
    </row>
    <row r="16" spans="1:34" ht="15.75" x14ac:dyDescent="0.25">
      <c r="A16" s="62" t="s">
        <v>24</v>
      </c>
      <c r="B16" s="137"/>
      <c r="C16" s="57">
        <v>1882300</v>
      </c>
      <c r="D16" s="143"/>
      <c r="E16" s="143">
        <f>+C16</f>
        <v>1882300</v>
      </c>
      <c r="F16" s="39"/>
      <c r="G16" s="144" t="s">
        <v>264</v>
      </c>
      <c r="H16" s="144"/>
      <c r="I16" s="145">
        <f>+E16-C16</f>
        <v>0</v>
      </c>
      <c r="J16" s="39"/>
      <c r="K16" s="146">
        <v>2509100</v>
      </c>
      <c r="L16" s="39"/>
      <c r="M16" s="39"/>
      <c r="N16" s="39"/>
      <c r="O16" s="39"/>
      <c r="P16" s="39"/>
      <c r="Q16" s="143">
        <f>+K16</f>
        <v>2509100</v>
      </c>
      <c r="R16" s="39"/>
      <c r="S16" s="144" t="s">
        <v>27</v>
      </c>
      <c r="T16" s="144"/>
      <c r="U16" s="145">
        <f t="shared" ref="U16:U26" si="0">+Q16-K16</f>
        <v>0</v>
      </c>
      <c r="V16" s="39"/>
      <c r="W16" s="146">
        <v>3112900</v>
      </c>
      <c r="X16" s="39"/>
      <c r="Y16" s="39"/>
      <c r="Z16" s="39"/>
      <c r="AA16" s="39"/>
      <c r="AB16" s="39"/>
      <c r="AC16" s="143">
        <f>+W16</f>
        <v>3112900</v>
      </c>
      <c r="AD16" s="39"/>
      <c r="AE16" s="144" t="s">
        <v>27</v>
      </c>
      <c r="AF16" s="144"/>
      <c r="AG16" s="145">
        <f t="shared" ref="AG16:AG26" si="1">+AC16-W16</f>
        <v>0</v>
      </c>
      <c r="AH16" s="39"/>
    </row>
    <row r="17" spans="1:36" ht="15.75" x14ac:dyDescent="0.25">
      <c r="A17" s="62" t="s">
        <v>25</v>
      </c>
      <c r="B17" s="137"/>
      <c r="C17" s="57"/>
      <c r="D17" s="143"/>
      <c r="E17" s="143"/>
      <c r="F17" s="39"/>
      <c r="G17" s="144"/>
      <c r="H17" s="144"/>
      <c r="I17" s="145"/>
      <c r="J17" s="39"/>
      <c r="K17" s="146"/>
      <c r="L17" s="39"/>
      <c r="M17" s="39"/>
      <c r="N17" s="39"/>
      <c r="O17" s="39"/>
      <c r="P17" s="39"/>
      <c r="Q17" s="143"/>
      <c r="R17" s="39"/>
      <c r="S17" s="144"/>
      <c r="T17" s="144"/>
      <c r="U17" s="145">
        <f t="shared" si="0"/>
        <v>0</v>
      </c>
      <c r="V17" s="39"/>
      <c r="W17" s="146"/>
      <c r="X17" s="39"/>
      <c r="Y17" s="39"/>
      <c r="Z17" s="39"/>
      <c r="AA17" s="39"/>
      <c r="AB17" s="39"/>
      <c r="AC17" s="143"/>
      <c r="AD17" s="39"/>
      <c r="AE17" s="144"/>
      <c r="AF17" s="144"/>
      <c r="AG17" s="145">
        <f t="shared" si="1"/>
        <v>0</v>
      </c>
      <c r="AH17" s="39"/>
    </row>
    <row r="18" spans="1:36" ht="15.75" x14ac:dyDescent="0.25">
      <c r="A18" s="62"/>
      <c r="B18" s="2" t="s">
        <v>3</v>
      </c>
      <c r="C18" s="57">
        <f>14489736-1848980-2506856</f>
        <v>10133900</v>
      </c>
      <c r="D18" s="143"/>
      <c r="E18" s="143">
        <v>10133900</v>
      </c>
      <c r="F18" s="39"/>
      <c r="G18" s="144" t="s">
        <v>241</v>
      </c>
      <c r="H18" s="144"/>
      <c r="I18" s="145">
        <f t="shared" ref="I18:I26" si="2">+E18-C18</f>
        <v>0</v>
      </c>
      <c r="J18" s="39"/>
      <c r="K18" s="146">
        <f>18676213-K19</f>
        <v>10132501</v>
      </c>
      <c r="L18" s="39"/>
      <c r="M18" s="39"/>
      <c r="N18" s="39"/>
      <c r="O18" s="39"/>
      <c r="P18" s="39"/>
      <c r="Q18" s="143">
        <v>10132501</v>
      </c>
      <c r="R18" s="39"/>
      <c r="S18" s="144" t="s">
        <v>241</v>
      </c>
      <c r="T18" s="144"/>
      <c r="U18" s="145">
        <f t="shared" si="0"/>
        <v>0</v>
      </c>
      <c r="V18" s="39"/>
      <c r="W18" s="146">
        <f>20685808-W19</f>
        <v>10134195</v>
      </c>
      <c r="X18" s="39"/>
      <c r="Y18" s="39"/>
      <c r="Z18" s="39"/>
      <c r="AA18" s="39"/>
      <c r="AB18" s="39"/>
      <c r="AC18" s="143">
        <v>10134195</v>
      </c>
      <c r="AD18" s="39"/>
      <c r="AE18" s="144" t="s">
        <v>241</v>
      </c>
      <c r="AF18" s="144"/>
      <c r="AG18" s="145">
        <f t="shared" si="1"/>
        <v>0</v>
      </c>
      <c r="AH18" s="39"/>
    </row>
    <row r="19" spans="1:36" ht="15.75" x14ac:dyDescent="0.25">
      <c r="A19" s="62"/>
      <c r="B19" s="2" t="s">
        <v>4</v>
      </c>
      <c r="C19" s="147">
        <f>1848980+2506856</f>
        <v>4355836</v>
      </c>
      <c r="D19" s="143"/>
      <c r="E19" s="143">
        <v>1667736</v>
      </c>
      <c r="F19" s="39"/>
      <c r="G19" s="144" t="s">
        <v>241</v>
      </c>
      <c r="H19" s="144"/>
      <c r="I19" s="148">
        <f t="shared" si="2"/>
        <v>-2688100</v>
      </c>
      <c r="J19" s="39"/>
      <c r="K19" s="149">
        <f>2506856+6036856</f>
        <v>8543712</v>
      </c>
      <c r="L19" s="39"/>
      <c r="M19" s="39"/>
      <c r="N19" s="39"/>
      <c r="O19" s="39"/>
      <c r="P19" s="39"/>
      <c r="Q19" s="143">
        <v>5403575</v>
      </c>
      <c r="R19" s="39"/>
      <c r="S19" s="144" t="s">
        <v>241</v>
      </c>
      <c r="T19" s="144"/>
      <c r="U19" s="148">
        <f t="shared" si="0"/>
        <v>-3140137</v>
      </c>
      <c r="V19" s="39"/>
      <c r="W19" s="149">
        <v>10551613</v>
      </c>
      <c r="X19" s="39"/>
      <c r="Y19" s="39"/>
      <c r="Z19" s="39"/>
      <c r="AA19" s="39"/>
      <c r="AB19" s="39"/>
      <c r="AC19" s="143">
        <v>7691575</v>
      </c>
      <c r="AD19" s="39"/>
      <c r="AE19" s="144" t="s">
        <v>241</v>
      </c>
      <c r="AF19" s="144"/>
      <c r="AG19" s="148">
        <f t="shared" si="1"/>
        <v>-2860038</v>
      </c>
      <c r="AH19" s="39"/>
    </row>
    <row r="20" spans="1:36" ht="15.75" x14ac:dyDescent="0.25">
      <c r="A20" s="62" t="s">
        <v>5</v>
      </c>
      <c r="B20" s="137"/>
      <c r="C20" s="57">
        <f>SUM(C14:C19)</f>
        <v>48234182</v>
      </c>
      <c r="D20" s="143"/>
      <c r="E20" s="150">
        <f>SUM(E14:E19)</f>
        <v>43541901</v>
      </c>
      <c r="F20" s="39"/>
      <c r="G20" s="54"/>
      <c r="H20" s="54"/>
      <c r="I20" s="145">
        <f>SUM(I14:I19)</f>
        <v>-4692281</v>
      </c>
      <c r="J20" s="39"/>
      <c r="K20" s="146">
        <f>SUM(K14:K19)+41185722*0</f>
        <v>54389691</v>
      </c>
      <c r="L20" s="39"/>
      <c r="M20" s="39"/>
      <c r="N20" s="39"/>
      <c r="O20" s="39"/>
      <c r="P20" s="39"/>
      <c r="Q20" s="150">
        <f>SUM(Q14:Q19)</f>
        <v>47436292</v>
      </c>
      <c r="R20" s="39"/>
      <c r="S20" s="54"/>
      <c r="T20" s="54"/>
      <c r="U20" s="145">
        <f t="shared" si="0"/>
        <v>-6953399</v>
      </c>
      <c r="V20" s="39"/>
      <c r="W20" s="146">
        <f>SUM(W14:W19)</f>
        <v>58301075</v>
      </c>
      <c r="X20" s="39"/>
      <c r="Y20" s="39"/>
      <c r="Z20" s="39"/>
      <c r="AA20" s="39"/>
      <c r="AB20" s="39"/>
      <c r="AC20" s="150">
        <f>SUM(AC14:AC19)</f>
        <v>50592200</v>
      </c>
      <c r="AD20" s="39"/>
      <c r="AE20" s="54"/>
      <c r="AF20" s="54"/>
      <c r="AG20" s="145">
        <f t="shared" si="1"/>
        <v>-7708875</v>
      </c>
      <c r="AH20" s="39"/>
    </row>
    <row r="21" spans="1:36" ht="15.75" x14ac:dyDescent="0.25">
      <c r="A21" s="20" t="s">
        <v>6</v>
      </c>
      <c r="B21" s="137"/>
      <c r="C21" s="57"/>
      <c r="D21" s="143"/>
      <c r="E21" s="143"/>
      <c r="F21" s="39"/>
      <c r="G21" s="54"/>
      <c r="H21" s="54"/>
      <c r="I21" s="145"/>
      <c r="J21" s="39"/>
      <c r="K21" s="146"/>
      <c r="L21" s="39"/>
      <c r="M21" s="39"/>
      <c r="N21" s="39"/>
      <c r="O21" s="39"/>
      <c r="P21" s="39"/>
      <c r="Q21" s="143"/>
      <c r="R21" s="39"/>
      <c r="S21" s="54"/>
      <c r="T21" s="54"/>
      <c r="U21" s="145"/>
      <c r="V21" s="39"/>
      <c r="W21" s="146"/>
      <c r="X21" s="39"/>
      <c r="Y21" s="39"/>
      <c r="Z21" s="39"/>
      <c r="AA21" s="39"/>
      <c r="AB21" s="39"/>
      <c r="AC21" s="143"/>
      <c r="AD21" s="39"/>
      <c r="AE21" s="54"/>
      <c r="AF21" s="54"/>
      <c r="AG21" s="145"/>
      <c r="AH21" s="39"/>
    </row>
    <row r="22" spans="1:36" ht="15.75" x14ac:dyDescent="0.25">
      <c r="B22" s="2" t="s">
        <v>7</v>
      </c>
      <c r="C22" s="57">
        <v>-203420</v>
      </c>
      <c r="D22" s="143"/>
      <c r="E22" s="143">
        <v>-577525</v>
      </c>
      <c r="F22" s="39"/>
      <c r="G22" s="144">
        <v>9</v>
      </c>
      <c r="H22" s="144"/>
      <c r="I22" s="145">
        <f t="shared" si="2"/>
        <v>-374105</v>
      </c>
      <c r="J22" s="39"/>
      <c r="K22" s="146">
        <f>+C22</f>
        <v>-203420</v>
      </c>
      <c r="L22" s="39"/>
      <c r="M22" s="39"/>
      <c r="N22" s="39"/>
      <c r="O22" s="39"/>
      <c r="P22" s="39"/>
      <c r="Q22" s="143">
        <v>-334862</v>
      </c>
      <c r="R22" s="151"/>
      <c r="S22" s="144" t="s">
        <v>243</v>
      </c>
      <c r="T22" s="144"/>
      <c r="U22" s="145">
        <f t="shared" si="0"/>
        <v>-131442</v>
      </c>
      <c r="V22" s="39"/>
      <c r="W22" s="146">
        <f>+C22</f>
        <v>-203420</v>
      </c>
      <c r="X22" s="39"/>
      <c r="Y22" s="39"/>
      <c r="Z22" s="39"/>
      <c r="AA22" s="39"/>
      <c r="AB22" s="39"/>
      <c r="AC22" s="143">
        <v>-203420</v>
      </c>
      <c r="AD22" s="151"/>
      <c r="AE22" s="144" t="s">
        <v>27</v>
      </c>
      <c r="AF22" s="144"/>
      <c r="AG22" s="145">
        <f t="shared" si="1"/>
        <v>0</v>
      </c>
      <c r="AH22" s="39"/>
    </row>
    <row r="23" spans="1:36" ht="15.75" x14ac:dyDescent="0.25">
      <c r="A23" s="20"/>
      <c r="B23" s="2" t="s">
        <v>113</v>
      </c>
      <c r="C23" s="57">
        <v>-524476</v>
      </c>
      <c r="D23" s="143"/>
      <c r="E23" s="143">
        <f>-'Sch 4'!M24</f>
        <v>-524476</v>
      </c>
      <c r="F23" s="39"/>
      <c r="G23" s="144">
        <v>4</v>
      </c>
      <c r="H23" s="144"/>
      <c r="I23" s="145">
        <f t="shared" si="2"/>
        <v>0</v>
      </c>
      <c r="J23" s="39"/>
      <c r="K23" s="146">
        <f>+C23</f>
        <v>-524476</v>
      </c>
      <c r="L23" s="39"/>
      <c r="M23" s="39"/>
      <c r="N23" s="39"/>
      <c r="O23" s="39"/>
      <c r="P23" s="39"/>
      <c r="Q23" s="143">
        <v>-524476</v>
      </c>
      <c r="R23" s="151"/>
      <c r="S23" s="144" t="s">
        <v>27</v>
      </c>
      <c r="T23" s="144"/>
      <c r="U23" s="145">
        <f t="shared" si="0"/>
        <v>0</v>
      </c>
      <c r="V23" s="39"/>
      <c r="W23" s="146">
        <f t="shared" ref="W23:W25" si="3">+C23</f>
        <v>-524476</v>
      </c>
      <c r="X23" s="39"/>
      <c r="Y23" s="39"/>
      <c r="Z23" s="39"/>
      <c r="AA23" s="39"/>
      <c r="AB23" s="39"/>
      <c r="AC23" s="143">
        <v>-524476</v>
      </c>
      <c r="AD23" s="151"/>
      <c r="AE23" s="144" t="s">
        <v>27</v>
      </c>
      <c r="AF23" s="144"/>
      <c r="AG23" s="145">
        <f t="shared" si="1"/>
        <v>0</v>
      </c>
      <c r="AH23" s="39"/>
    </row>
    <row r="24" spans="1:36" ht="15.75" x14ac:dyDescent="0.25">
      <c r="A24" s="20"/>
      <c r="B24" s="2" t="s">
        <v>9</v>
      </c>
      <c r="C24" s="57">
        <v>-377928</v>
      </c>
      <c r="D24" s="143"/>
      <c r="E24" s="143">
        <v>-377928</v>
      </c>
      <c r="F24" s="39"/>
      <c r="G24" s="144" t="s">
        <v>262</v>
      </c>
      <c r="H24" s="144"/>
      <c r="I24" s="145">
        <f t="shared" si="2"/>
        <v>0</v>
      </c>
      <c r="J24" s="39"/>
      <c r="K24" s="146">
        <f t="shared" ref="K24:K26" si="4">+C24</f>
        <v>-377928</v>
      </c>
      <c r="L24" s="39"/>
      <c r="M24" s="39"/>
      <c r="N24" s="39"/>
      <c r="O24" s="39"/>
      <c r="P24" s="39"/>
      <c r="Q24" s="143">
        <v>-377928</v>
      </c>
      <c r="R24" s="151"/>
      <c r="S24" s="144" t="s">
        <v>27</v>
      </c>
      <c r="T24" s="144"/>
      <c r="U24" s="145">
        <f t="shared" si="0"/>
        <v>0</v>
      </c>
      <c r="V24" s="39"/>
      <c r="W24" s="146">
        <f t="shared" si="3"/>
        <v>-377928</v>
      </c>
      <c r="X24" s="39"/>
      <c r="Y24" s="39"/>
      <c r="Z24" s="39"/>
      <c r="AA24" s="39"/>
      <c r="AB24" s="39"/>
      <c r="AC24" s="143">
        <v>-377928</v>
      </c>
      <c r="AD24" s="151"/>
      <c r="AE24" s="144" t="s">
        <v>27</v>
      </c>
      <c r="AF24" s="144"/>
      <c r="AG24" s="145">
        <f t="shared" si="1"/>
        <v>0</v>
      </c>
      <c r="AH24" s="39"/>
    </row>
    <row r="25" spans="1:36" ht="15.75" x14ac:dyDescent="0.25">
      <c r="A25" s="20"/>
      <c r="B25" s="62" t="s">
        <v>10</v>
      </c>
      <c r="C25" s="57">
        <v>-7371586</v>
      </c>
      <c r="D25" s="143"/>
      <c r="E25" s="143">
        <v>-7371586</v>
      </c>
      <c r="F25" s="39"/>
      <c r="G25" s="144" t="s">
        <v>263</v>
      </c>
      <c r="H25" s="144"/>
      <c r="I25" s="145">
        <f t="shared" si="2"/>
        <v>0</v>
      </c>
      <c r="J25" s="39"/>
      <c r="K25" s="146">
        <f t="shared" si="4"/>
        <v>-7371586</v>
      </c>
      <c r="L25" s="39"/>
      <c r="M25" s="39"/>
      <c r="N25" s="39"/>
      <c r="O25" s="39"/>
      <c r="P25" s="39"/>
      <c r="Q25" s="143">
        <v>-7371586</v>
      </c>
      <c r="R25" s="151"/>
      <c r="S25" s="144" t="s">
        <v>27</v>
      </c>
      <c r="T25" s="144"/>
      <c r="U25" s="145">
        <f t="shared" si="0"/>
        <v>0</v>
      </c>
      <c r="V25" s="39"/>
      <c r="W25" s="146">
        <f t="shared" si="3"/>
        <v>-7371586</v>
      </c>
      <c r="X25" s="39"/>
      <c r="Y25" s="39"/>
      <c r="Z25" s="39"/>
      <c r="AA25" s="39"/>
      <c r="AB25" s="39"/>
      <c r="AC25" s="143">
        <v>-7371586</v>
      </c>
      <c r="AD25" s="151"/>
      <c r="AE25" s="144" t="s">
        <v>27</v>
      </c>
      <c r="AF25" s="144"/>
      <c r="AG25" s="145">
        <f t="shared" si="1"/>
        <v>0</v>
      </c>
      <c r="AH25" s="39"/>
    </row>
    <row r="26" spans="1:36" ht="15.75" x14ac:dyDescent="0.25">
      <c r="A26" s="20"/>
      <c r="B26" s="2" t="s">
        <v>11</v>
      </c>
      <c r="C26" s="147">
        <v>0</v>
      </c>
      <c r="D26" s="143"/>
      <c r="E26" s="143">
        <v>0</v>
      </c>
      <c r="F26" s="39"/>
      <c r="G26" s="144"/>
      <c r="H26" s="144"/>
      <c r="I26" s="148">
        <f t="shared" si="2"/>
        <v>0</v>
      </c>
      <c r="J26" s="39"/>
      <c r="K26" s="149">
        <f t="shared" si="4"/>
        <v>0</v>
      </c>
      <c r="L26" s="39"/>
      <c r="M26" s="39"/>
      <c r="N26" s="39"/>
      <c r="O26" s="39"/>
      <c r="P26" s="39"/>
      <c r="Q26" s="143">
        <v>0</v>
      </c>
      <c r="R26" s="39"/>
      <c r="S26" s="144"/>
      <c r="T26" s="144"/>
      <c r="U26" s="148">
        <f t="shared" si="0"/>
        <v>0</v>
      </c>
      <c r="V26" s="39"/>
      <c r="W26" s="149">
        <v>-191144</v>
      </c>
      <c r="X26" s="39"/>
      <c r="Y26" s="39"/>
      <c r="Z26" s="39"/>
      <c r="AA26" s="39"/>
      <c r="AB26" s="39"/>
      <c r="AC26" s="143">
        <v>-191144</v>
      </c>
      <c r="AD26" s="39"/>
      <c r="AE26" s="144"/>
      <c r="AF26" s="144"/>
      <c r="AG26" s="148">
        <f t="shared" si="1"/>
        <v>0</v>
      </c>
      <c r="AH26" s="39"/>
    </row>
    <row r="27" spans="1:36" ht="15.75" x14ac:dyDescent="0.25">
      <c r="A27" s="152"/>
      <c r="B27" s="153"/>
      <c r="C27" s="57"/>
      <c r="D27" s="143"/>
      <c r="E27" s="150"/>
      <c r="F27" s="39"/>
      <c r="G27" s="144"/>
      <c r="H27" s="144"/>
      <c r="I27" s="145"/>
      <c r="J27" s="39"/>
      <c r="K27" s="146"/>
      <c r="L27" s="39"/>
      <c r="M27" s="39"/>
      <c r="N27" s="39"/>
      <c r="O27" s="39"/>
      <c r="P27" s="39"/>
      <c r="Q27" s="150"/>
      <c r="R27" s="39"/>
      <c r="S27" s="144"/>
      <c r="T27" s="144"/>
      <c r="U27" s="145"/>
      <c r="V27" s="39"/>
      <c r="W27" s="146"/>
      <c r="X27" s="39"/>
      <c r="Y27" s="39"/>
      <c r="Z27" s="39"/>
      <c r="AA27" s="39"/>
      <c r="AB27" s="39"/>
      <c r="AC27" s="150"/>
      <c r="AD27" s="39"/>
      <c r="AE27" s="144"/>
      <c r="AF27" s="144"/>
      <c r="AG27" s="145"/>
      <c r="AH27" s="39"/>
    </row>
    <row r="28" spans="1:36" ht="15.75" x14ac:dyDescent="0.25">
      <c r="A28" s="62" t="s">
        <v>12</v>
      </c>
      <c r="B28" s="137"/>
      <c r="C28" s="57">
        <f>SUM(C20:C26)</f>
        <v>39756772</v>
      </c>
      <c r="D28" s="143"/>
      <c r="E28" s="143">
        <f>SUM(E20:E26)</f>
        <v>34690386</v>
      </c>
      <c r="F28" s="39"/>
      <c r="G28" s="144"/>
      <c r="H28" s="144"/>
      <c r="I28" s="145">
        <f t="shared" ref="I28:I31" si="5">+E28-C28</f>
        <v>-5066386</v>
      </c>
      <c r="J28" s="39"/>
      <c r="K28" s="146">
        <f>SUM(K20:K26)</f>
        <v>45912281</v>
      </c>
      <c r="L28" s="39"/>
      <c r="M28" s="39"/>
      <c r="N28" s="39"/>
      <c r="O28" s="39"/>
      <c r="P28" s="39"/>
      <c r="Q28" s="143">
        <f>SUM(Q20:Q26)</f>
        <v>38827440</v>
      </c>
      <c r="R28" s="39"/>
      <c r="S28" s="144"/>
      <c r="T28" s="144"/>
      <c r="U28" s="145">
        <f t="shared" ref="U28" si="6">+Q28-K28</f>
        <v>-7084841</v>
      </c>
      <c r="V28" s="39"/>
      <c r="W28" s="146">
        <f>SUM(W20:W26)</f>
        <v>49632521</v>
      </c>
      <c r="X28" s="39"/>
      <c r="Y28" s="39"/>
      <c r="Z28" s="39"/>
      <c r="AA28" s="39"/>
      <c r="AB28" s="39"/>
      <c r="AC28" s="143">
        <f>SUM(AC20:AC26)</f>
        <v>41923646</v>
      </c>
      <c r="AD28" s="39"/>
      <c r="AE28" s="144"/>
      <c r="AF28" s="144"/>
      <c r="AG28" s="145">
        <f t="shared" ref="AG28" si="7">+AC28-W28</f>
        <v>-7708875</v>
      </c>
      <c r="AH28" s="39"/>
    </row>
    <row r="29" spans="1:36" ht="15.75" x14ac:dyDescent="0.25">
      <c r="A29" s="152" t="s">
        <v>13</v>
      </c>
      <c r="B29" s="18" t="s">
        <v>132</v>
      </c>
      <c r="C29" s="57">
        <f>-(39347030-5383983-457282)</f>
        <v>-33505765</v>
      </c>
      <c r="D29" s="143"/>
      <c r="E29" s="154">
        <f>-ROUND(SUM('Sch 4'!M13:M22),0)</f>
        <v>-33792210</v>
      </c>
      <c r="F29" s="39"/>
      <c r="G29" s="144">
        <v>4</v>
      </c>
      <c r="H29" s="144"/>
      <c r="I29" s="148">
        <f>+E29-C29</f>
        <v>-286445</v>
      </c>
      <c r="J29" s="54"/>
      <c r="K29" s="155">
        <f>+C29-C35</f>
        <v>-39836804</v>
      </c>
      <c r="L29" s="54"/>
      <c r="M29" s="54"/>
      <c r="N29" s="54"/>
      <c r="O29" s="54"/>
      <c r="P29" s="54"/>
      <c r="Q29" s="154">
        <f>-SUM('Sch 4'!M72:M81)</f>
        <v>-34705455</v>
      </c>
      <c r="R29" s="39"/>
      <c r="S29" s="144">
        <v>4</v>
      </c>
      <c r="T29" s="144"/>
      <c r="U29" s="148">
        <f>+Q29-K29</f>
        <v>5131349</v>
      </c>
      <c r="V29" s="39"/>
      <c r="W29" s="155">
        <f>+K29-K35</f>
        <v>-46010570</v>
      </c>
      <c r="X29" s="54"/>
      <c r="Y29" s="54"/>
      <c r="Z29" s="54"/>
      <c r="AA29" s="54"/>
      <c r="AB29" s="54"/>
      <c r="AC29" s="154">
        <f>-SUM('Sch 4'!M123:M133)</f>
        <v>-38896597</v>
      </c>
      <c r="AD29" s="39"/>
      <c r="AE29" s="144">
        <v>4</v>
      </c>
      <c r="AF29" s="144"/>
      <c r="AG29" s="148">
        <f>+AC29-W29</f>
        <v>7113973</v>
      </c>
      <c r="AH29" s="39"/>
    </row>
    <row r="30" spans="1:36" ht="15.75" x14ac:dyDescent="0.25">
      <c r="A30" s="152"/>
      <c r="B30" s="156"/>
      <c r="C30" s="157"/>
      <c r="D30" s="143"/>
      <c r="E30" s="150"/>
      <c r="F30" s="39"/>
      <c r="G30" s="144"/>
      <c r="H30" s="144"/>
      <c r="I30" s="145"/>
      <c r="J30" s="39"/>
      <c r="K30" s="146"/>
      <c r="L30" s="39"/>
      <c r="M30" s="39"/>
      <c r="N30" s="39"/>
      <c r="O30" s="39"/>
      <c r="P30" s="39"/>
      <c r="Q30" s="150"/>
      <c r="R30" s="39"/>
      <c r="S30" s="144"/>
      <c r="T30" s="144"/>
      <c r="U30" s="145"/>
      <c r="V30" s="39"/>
      <c r="W30" s="146"/>
      <c r="X30" s="39"/>
      <c r="Y30" s="39"/>
      <c r="Z30" s="39"/>
      <c r="AA30" s="39"/>
      <c r="AB30" s="39"/>
      <c r="AC30" s="150"/>
      <c r="AD30" s="39"/>
      <c r="AE30" s="144"/>
      <c r="AF30" s="144"/>
      <c r="AG30" s="145"/>
      <c r="AH30" s="39"/>
    </row>
    <row r="31" spans="1:36" ht="15.75" x14ac:dyDescent="0.25">
      <c r="A31" s="20" t="s">
        <v>14</v>
      </c>
      <c r="B31" s="137"/>
      <c r="C31" s="57">
        <f>SUM(C28:C29)</f>
        <v>6251007</v>
      </c>
      <c r="D31" s="2"/>
      <c r="E31" s="158">
        <f>+E28+E29</f>
        <v>898176</v>
      </c>
      <c r="F31" s="159"/>
      <c r="G31" s="160"/>
      <c r="H31" s="160"/>
      <c r="I31" s="145">
        <f t="shared" si="5"/>
        <v>-5352831</v>
      </c>
      <c r="J31" s="3"/>
      <c r="K31" s="146">
        <f>SUM(+K28+K29)</f>
        <v>6075477</v>
      </c>
      <c r="L31" s="3"/>
      <c r="M31" s="3"/>
      <c r="N31" s="3"/>
      <c r="O31" s="3"/>
      <c r="P31" s="3"/>
      <c r="Q31" s="158">
        <f>+Q28+Q29</f>
        <v>4121985</v>
      </c>
      <c r="R31" s="159"/>
      <c r="S31" s="160"/>
      <c r="T31" s="160"/>
      <c r="U31" s="145">
        <f t="shared" ref="U31" si="8">+Q31-K31</f>
        <v>-1953492</v>
      </c>
      <c r="V31" s="3"/>
      <c r="W31" s="146">
        <f>+SUM(W28:W29)</f>
        <v>3621951</v>
      </c>
      <c r="X31" s="3"/>
      <c r="Y31" s="3"/>
      <c r="Z31" s="3"/>
      <c r="AA31" s="3"/>
      <c r="AB31" s="3"/>
      <c r="AC31" s="158">
        <f>+AC28+AC29</f>
        <v>3027049</v>
      </c>
      <c r="AD31" s="159"/>
      <c r="AE31" s="160"/>
      <c r="AF31" s="160"/>
      <c r="AG31" s="145">
        <f t="shared" ref="AG31" si="9">+AC31-W31</f>
        <v>-594902</v>
      </c>
      <c r="AH31" s="3"/>
    </row>
    <row r="32" spans="1:36" ht="15.75" x14ac:dyDescent="0.25">
      <c r="A32" s="62" t="s">
        <v>15</v>
      </c>
      <c r="B32" s="137"/>
      <c r="C32" s="161">
        <f>+C35/C31</f>
        <v>1.0128030571714286</v>
      </c>
      <c r="D32" s="162"/>
      <c r="E32" s="387">
        <f>+C71</f>
        <v>1.01677762</v>
      </c>
      <c r="F32" s="164"/>
      <c r="G32" s="160" t="s">
        <v>256</v>
      </c>
      <c r="H32" s="160"/>
      <c r="I32" s="165">
        <f>+E32-C32</f>
        <v>3.9745628285714485E-3</v>
      </c>
      <c r="J32" s="3"/>
      <c r="K32" s="166">
        <f>ROUND(+K35/K31,8)</f>
        <v>1.0161779900000001</v>
      </c>
      <c r="L32" s="164"/>
      <c r="M32" s="164"/>
      <c r="N32" s="164"/>
      <c r="O32" s="164"/>
      <c r="P32" s="164"/>
      <c r="Q32" s="163">
        <f>+C71</f>
        <v>1.01677762</v>
      </c>
      <c r="R32" s="164"/>
      <c r="S32" s="160">
        <v>1</v>
      </c>
      <c r="T32" s="160"/>
      <c r="U32" s="167">
        <f>+Q32-K32</f>
        <v>5.9962999999996214E-4</v>
      </c>
      <c r="V32" s="3"/>
      <c r="W32" s="166">
        <f>ROUND(+W35/W31,8)</f>
        <v>1.0156647599999999</v>
      </c>
      <c r="X32" s="164"/>
      <c r="Y32" s="164"/>
      <c r="Z32" s="164"/>
      <c r="AA32" s="164"/>
      <c r="AB32" s="164"/>
      <c r="AC32" s="163">
        <f>+E32</f>
        <v>1.01677762</v>
      </c>
      <c r="AD32" s="164"/>
      <c r="AE32" s="160">
        <v>1</v>
      </c>
      <c r="AF32" s="160"/>
      <c r="AG32" s="168">
        <f>+AC32-W32</f>
        <v>1.1128600000001043E-3</v>
      </c>
      <c r="AH32" s="3"/>
      <c r="AJ32" s="71"/>
    </row>
    <row r="33" spans="1:38" ht="9.75" customHeight="1" x14ac:dyDescent="0.25">
      <c r="A33" s="20"/>
      <c r="B33" s="137"/>
      <c r="C33" s="169"/>
      <c r="D33" s="2"/>
      <c r="E33" s="170"/>
      <c r="F33" s="171"/>
      <c r="G33" s="160"/>
      <c r="H33" s="160"/>
      <c r="I33" s="172"/>
      <c r="J33" s="3"/>
      <c r="K33" s="173"/>
      <c r="L33" s="3"/>
      <c r="M33" s="3"/>
      <c r="N33" s="3"/>
      <c r="O33" s="3"/>
      <c r="P33" s="3"/>
      <c r="Q33" s="170"/>
      <c r="R33" s="159"/>
      <c r="S33" s="160"/>
      <c r="T33" s="160"/>
      <c r="U33" s="172"/>
      <c r="V33" s="3"/>
      <c r="W33" s="173"/>
      <c r="X33" s="3"/>
      <c r="Y33" s="3"/>
      <c r="Z33" s="3"/>
      <c r="AA33" s="3"/>
      <c r="AB33" s="3"/>
      <c r="AC33" s="170"/>
      <c r="AD33" s="159"/>
      <c r="AE33" s="160"/>
      <c r="AF33" s="160"/>
      <c r="AG33" s="172"/>
      <c r="AH33" s="3"/>
      <c r="AJ33" s="64"/>
    </row>
    <row r="34" spans="1:38" ht="9" customHeight="1" x14ac:dyDescent="0.25">
      <c r="A34" s="20"/>
      <c r="B34" s="174"/>
      <c r="C34" s="175"/>
      <c r="D34" s="2"/>
      <c r="E34" s="176"/>
      <c r="F34" s="3"/>
      <c r="G34" s="3"/>
      <c r="H34" s="3"/>
      <c r="I34" s="177"/>
      <c r="J34" s="3"/>
      <c r="K34" s="178"/>
      <c r="L34" s="3"/>
      <c r="M34" s="3"/>
      <c r="N34" s="3"/>
      <c r="O34" s="3"/>
      <c r="P34" s="3"/>
      <c r="Q34" s="176"/>
      <c r="R34" s="3"/>
      <c r="S34" s="3"/>
      <c r="T34" s="3"/>
      <c r="U34" s="177"/>
      <c r="V34" s="3"/>
      <c r="W34" s="179"/>
      <c r="X34" s="3"/>
      <c r="Y34" s="3"/>
      <c r="Z34" s="3"/>
      <c r="AA34" s="3"/>
      <c r="AB34" s="3"/>
      <c r="AC34" s="176"/>
      <c r="AD34" s="3"/>
      <c r="AE34" s="3"/>
      <c r="AF34" s="3"/>
      <c r="AG34" s="177"/>
      <c r="AH34" s="3"/>
    </row>
    <row r="35" spans="1:38" ht="16.5" thickBot="1" x14ac:dyDescent="0.3">
      <c r="A35" s="62" t="s">
        <v>133</v>
      </c>
      <c r="B35" s="137"/>
      <c r="C35" s="369">
        <f>+C31+7763+72269</f>
        <v>6331039</v>
      </c>
      <c r="D35" s="2"/>
      <c r="E35" s="368">
        <f>ROUND(E31*E32,0)</f>
        <v>913245</v>
      </c>
      <c r="F35" s="43"/>
      <c r="G35" s="420">
        <v>4</v>
      </c>
      <c r="H35" s="43"/>
      <c r="I35" s="181">
        <f>+E35-C35</f>
        <v>-5417794</v>
      </c>
      <c r="J35" s="3"/>
      <c r="K35" s="370">
        <f>6075477+69049+29240</f>
        <v>6173766</v>
      </c>
      <c r="L35" s="3"/>
      <c r="M35" s="3"/>
      <c r="N35" s="3"/>
      <c r="O35" s="3"/>
      <c r="P35" s="3"/>
      <c r="Q35" s="180">
        <f>ROUND(Q31*Q32,0)</f>
        <v>4191142</v>
      </c>
      <c r="R35" s="43"/>
      <c r="S35" s="43"/>
      <c r="T35" s="43"/>
      <c r="U35" s="181">
        <f>+Q35-K35</f>
        <v>-1982624</v>
      </c>
      <c r="V35" s="3"/>
      <c r="W35" s="370">
        <f>+W31+39314+17423</f>
        <v>3678688</v>
      </c>
      <c r="X35" s="3"/>
      <c r="Y35" s="3"/>
      <c r="Z35" s="3"/>
      <c r="AA35" s="3"/>
      <c r="AB35" s="3"/>
      <c r="AC35" s="180">
        <f>ROUND(AC31*AC32,0)</f>
        <v>3077836</v>
      </c>
      <c r="AD35" s="43"/>
      <c r="AE35" s="43"/>
      <c r="AF35" s="43"/>
      <c r="AG35" s="181">
        <f>+AC35-W35</f>
        <v>-600852</v>
      </c>
      <c r="AH35" s="3"/>
      <c r="AJ35" s="64"/>
      <c r="AL35" s="64"/>
    </row>
    <row r="36" spans="1:38" ht="16.5" thickTop="1" x14ac:dyDescent="0.25">
      <c r="A36" s="62"/>
      <c r="B36" s="174"/>
      <c r="C36" s="57"/>
      <c r="D36" s="2"/>
      <c r="E36" s="182"/>
      <c r="F36" s="159"/>
      <c r="G36" s="159"/>
      <c r="H36" s="159"/>
      <c r="I36" s="183"/>
      <c r="J36" s="3"/>
      <c r="K36" s="184"/>
      <c r="L36" s="3"/>
      <c r="M36" s="3"/>
      <c r="N36" s="3"/>
      <c r="O36" s="3"/>
      <c r="P36" s="3"/>
      <c r="Q36" s="182"/>
      <c r="R36" s="185"/>
      <c r="S36" s="159"/>
      <c r="T36" s="185"/>
      <c r="U36" s="183"/>
      <c r="V36" s="3"/>
      <c r="W36" s="146"/>
      <c r="X36" s="3"/>
      <c r="Y36" s="3"/>
      <c r="Z36" s="3"/>
      <c r="AA36" s="3"/>
      <c r="AB36" s="3"/>
      <c r="AC36" s="185"/>
      <c r="AD36" s="185"/>
      <c r="AE36" s="159"/>
      <c r="AF36" s="185"/>
      <c r="AG36" s="183"/>
      <c r="AH36" s="3"/>
    </row>
    <row r="37" spans="1:38" ht="16.5" thickBot="1" x14ac:dyDescent="0.3">
      <c r="A37" s="62" t="s">
        <v>134</v>
      </c>
      <c r="B37" s="137"/>
      <c r="C37" s="186">
        <f>ROUND(C35/-C29,4)</f>
        <v>0.189</v>
      </c>
      <c r="D37" s="187"/>
      <c r="E37" s="187">
        <f>IF(SUM('Sch 4'!O13:O24)=0,0,ROUND(E35/E29,6))*-1</f>
        <v>2.7025E-2</v>
      </c>
      <c r="F37" s="188"/>
      <c r="G37" s="189"/>
      <c r="H37" s="188"/>
      <c r="I37" s="190">
        <f>+E37-C37</f>
        <v>-0.16197500000000001</v>
      </c>
      <c r="J37" s="191"/>
      <c r="K37" s="192">
        <f>ROUND(K35/-K29,4)</f>
        <v>0.155</v>
      </c>
      <c r="L37" s="188"/>
      <c r="M37" s="188"/>
      <c r="N37" s="188"/>
      <c r="O37" s="188"/>
      <c r="P37" s="188"/>
      <c r="Q37" s="187">
        <f>ROUND(Q35/-Q29,4)</f>
        <v>0.1208</v>
      </c>
      <c r="R37" s="188"/>
      <c r="S37" s="188"/>
      <c r="T37" s="188"/>
      <c r="U37" s="190">
        <f>+Q37-K37</f>
        <v>-3.4199999999999994E-2</v>
      </c>
      <c r="V37" s="191"/>
      <c r="W37" s="192">
        <f>ROUND(W35/-W29,4)</f>
        <v>0.08</v>
      </c>
      <c r="X37" s="188"/>
      <c r="Y37" s="188"/>
      <c r="Z37" s="188"/>
      <c r="AA37" s="188"/>
      <c r="AB37" s="188"/>
      <c r="AC37" s="187">
        <f>ROUND(AC35/-AC29,4)</f>
        <v>7.9100000000000004E-2</v>
      </c>
      <c r="AD37" s="188"/>
      <c r="AE37" s="188"/>
      <c r="AF37" s="188"/>
      <c r="AG37" s="190">
        <f>+AC37-W37</f>
        <v>-8.9999999999999802E-4</v>
      </c>
      <c r="AH37" s="191"/>
    </row>
    <row r="38" spans="1:38" ht="15.75" x14ac:dyDescent="0.25">
      <c r="A38" s="62" t="s">
        <v>135</v>
      </c>
      <c r="B38" s="193"/>
      <c r="C38" s="194"/>
      <c r="D38" s="2"/>
      <c r="E38" s="195"/>
      <c r="F38" s="20"/>
      <c r="G38" s="196"/>
      <c r="H38" s="196"/>
      <c r="I38" s="196"/>
      <c r="J38" s="3"/>
      <c r="K38" s="191"/>
      <c r="L38" s="3"/>
      <c r="M38" s="3"/>
      <c r="N38" s="3"/>
      <c r="O38" s="3"/>
      <c r="P38" s="3"/>
      <c r="Q38" s="31"/>
      <c r="R38" s="20"/>
      <c r="S38" s="191"/>
      <c r="T38" s="191"/>
      <c r="U38" s="196"/>
      <c r="V38" s="3"/>
      <c r="W38" s="191"/>
      <c r="X38" s="3"/>
      <c r="Y38" s="3"/>
      <c r="Z38" s="3"/>
      <c r="AA38" s="3"/>
      <c r="AB38" s="3"/>
      <c r="AC38" s="31"/>
      <c r="AD38" s="20"/>
      <c r="AE38" s="191"/>
      <c r="AF38" s="191"/>
      <c r="AG38" s="196"/>
      <c r="AH38" s="3"/>
    </row>
    <row r="39" spans="1:38" x14ac:dyDescent="0.25">
      <c r="A39" s="152"/>
      <c r="B39" s="197"/>
      <c r="C39" s="153"/>
      <c r="D39" s="137"/>
      <c r="E39" s="198"/>
      <c r="F39" s="198"/>
      <c r="G39" s="198"/>
      <c r="H39" s="198"/>
      <c r="I39" s="199"/>
      <c r="J39" s="198">
        <f t="shared" ref="J39" si="10">+J35-J31</f>
        <v>0</v>
      </c>
      <c r="K39" s="200"/>
      <c r="L39" s="198"/>
      <c r="M39" s="198"/>
      <c r="N39" s="198"/>
      <c r="O39" s="198"/>
      <c r="P39" s="198"/>
      <c r="Q39" s="56"/>
      <c r="R39" s="198"/>
      <c r="S39" s="198"/>
      <c r="T39" s="198"/>
      <c r="U39" s="3"/>
      <c r="V39" s="3"/>
      <c r="W39" s="199"/>
      <c r="X39" s="198"/>
      <c r="Y39" s="198"/>
      <c r="Z39" s="198"/>
      <c r="AA39" s="198"/>
      <c r="AB39" s="198"/>
      <c r="AC39" s="56"/>
      <c r="AD39" s="198"/>
      <c r="AE39" s="198"/>
      <c r="AF39" s="198"/>
      <c r="AG39" s="3"/>
      <c r="AH39" s="3"/>
    </row>
    <row r="40" spans="1:38" ht="15.75" thickBot="1" x14ac:dyDescent="0.3">
      <c r="A40" s="152"/>
      <c r="B40" s="201"/>
      <c r="C40" s="202"/>
      <c r="D40" s="202"/>
      <c r="E40" s="203"/>
      <c r="F40" s="203"/>
      <c r="G40" s="203"/>
      <c r="H40" s="203"/>
      <c r="I40" s="203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2"/>
      <c r="V40" s="202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2"/>
      <c r="AH40" s="202"/>
    </row>
    <row r="41" spans="1:38" x14ac:dyDescent="0.25">
      <c r="A41" s="137"/>
      <c r="B41" s="177"/>
      <c r="C41" s="404" t="s">
        <v>19</v>
      </c>
      <c r="D41" s="405"/>
      <c r="E41" s="405"/>
      <c r="F41" s="205"/>
      <c r="G41" s="206"/>
      <c r="H41" s="205"/>
      <c r="I41" s="207" t="s">
        <v>2</v>
      </c>
      <c r="K41" s="404" t="s">
        <v>19</v>
      </c>
      <c r="L41" s="405"/>
      <c r="M41" s="405"/>
      <c r="N41" s="405"/>
      <c r="O41" s="405"/>
      <c r="P41" s="405"/>
      <c r="Q41" s="405"/>
      <c r="R41" s="208"/>
      <c r="S41" s="205"/>
      <c r="T41" s="205"/>
      <c r="U41" s="207" t="s">
        <v>2</v>
      </c>
      <c r="V41" s="3"/>
      <c r="W41" s="404" t="s">
        <v>19</v>
      </c>
      <c r="X41" s="405"/>
      <c r="Y41" s="405"/>
      <c r="Z41" s="405"/>
      <c r="AA41" s="405"/>
      <c r="AB41" s="405"/>
      <c r="AC41" s="405"/>
      <c r="AD41" s="208"/>
      <c r="AE41" s="205"/>
      <c r="AF41" s="205"/>
      <c r="AG41" s="207" t="s">
        <v>2</v>
      </c>
      <c r="AH41" s="3"/>
    </row>
    <row r="42" spans="1:38" ht="15.75" x14ac:dyDescent="0.25">
      <c r="A42" s="366" t="s">
        <v>250</v>
      </c>
      <c r="B42" s="210"/>
      <c r="C42" s="211" t="s">
        <v>20</v>
      </c>
      <c r="D42" s="212"/>
      <c r="E42" s="213" t="s">
        <v>2</v>
      </c>
      <c r="F42" s="3"/>
      <c r="G42" s="160"/>
      <c r="H42" s="3"/>
      <c r="I42" s="214" t="s">
        <v>21</v>
      </c>
      <c r="K42" s="211" t="s">
        <v>20</v>
      </c>
      <c r="L42" s="215"/>
      <c r="M42" s="213" t="s">
        <v>2</v>
      </c>
      <c r="N42" s="216"/>
      <c r="O42" s="217"/>
      <c r="P42" s="218"/>
      <c r="Q42" s="213" t="s">
        <v>2</v>
      </c>
      <c r="R42" s="212"/>
      <c r="S42" s="3"/>
      <c r="T42" s="3"/>
      <c r="U42" s="214" t="s">
        <v>21</v>
      </c>
      <c r="V42" s="3"/>
      <c r="W42" s="211" t="s">
        <v>20</v>
      </c>
      <c r="X42" s="215"/>
      <c r="Y42" s="213" t="s">
        <v>2</v>
      </c>
      <c r="Z42" s="216"/>
      <c r="AA42" s="217"/>
      <c r="AB42" s="218"/>
      <c r="AC42" s="213" t="s">
        <v>2</v>
      </c>
      <c r="AD42" s="212"/>
      <c r="AE42" s="3"/>
      <c r="AF42" s="3"/>
      <c r="AG42" s="214" t="s">
        <v>21</v>
      </c>
      <c r="AH42" s="3"/>
    </row>
    <row r="43" spans="1:38" x14ac:dyDescent="0.25">
      <c r="B43" s="177"/>
      <c r="C43" s="178"/>
      <c r="D43" s="3"/>
      <c r="E43" s="3"/>
      <c r="F43" s="3"/>
      <c r="G43" s="160"/>
      <c r="H43" s="3"/>
      <c r="I43" s="177"/>
      <c r="K43" s="178"/>
      <c r="L43" s="3"/>
      <c r="M43" s="3"/>
      <c r="N43" s="3"/>
      <c r="O43" s="160"/>
      <c r="P43" s="3"/>
      <c r="Q43" s="3"/>
      <c r="R43" s="3"/>
      <c r="S43" s="3"/>
      <c r="T43" s="3"/>
      <c r="U43" s="177"/>
      <c r="V43" s="3"/>
      <c r="W43" s="178"/>
      <c r="X43" s="3"/>
      <c r="Y43" s="3"/>
      <c r="Z43" s="3"/>
      <c r="AA43" s="160"/>
      <c r="AB43" s="3"/>
      <c r="AC43" s="3"/>
      <c r="AD43" s="3"/>
      <c r="AE43" s="3"/>
      <c r="AF43" s="3"/>
      <c r="AG43" s="177"/>
      <c r="AH43" s="3"/>
    </row>
    <row r="44" spans="1:38" x14ac:dyDescent="0.25">
      <c r="A44" s="209" t="str">
        <f>"Current Rate for 5,000Gallons = $"&amp;[1]Inputs!E18</f>
        <v>Current Rate for 5,000Gallons = $28.87</v>
      </c>
      <c r="B44" s="219"/>
      <c r="C44" s="220">
        <f>ROUND(+'[1]Sch 10 - Tariff'!I13+(5*'[1]Sch 10 - Tariff'!I29),2)</f>
        <v>34.340000000000003</v>
      </c>
      <c r="D44" s="3"/>
      <c r="E44" s="221">
        <v>29.64</v>
      </c>
      <c r="F44" s="3"/>
      <c r="G44" s="160">
        <v>10</v>
      </c>
      <c r="H44" s="3"/>
      <c r="I44" s="222">
        <f>++E44-C44</f>
        <v>-4.7000000000000028</v>
      </c>
      <c r="K44" s="220">
        <v>39.68</v>
      </c>
      <c r="L44" s="3"/>
      <c r="M44" s="221">
        <f>ROUND([1]Inputs!$E$18*(1+'[1]Sch 1A - Phased Increases'!M37),2)</f>
        <v>28.87</v>
      </c>
      <c r="N44" s="3"/>
      <c r="O44" s="160"/>
      <c r="P44" s="3"/>
      <c r="Q44" s="221">
        <v>33.24</v>
      </c>
      <c r="R44" s="221"/>
      <c r="S44" s="223">
        <v>10</v>
      </c>
      <c r="T44" s="3"/>
      <c r="U44" s="222">
        <f>+Q44-K44</f>
        <v>-6.4399999999999977</v>
      </c>
      <c r="V44" s="3"/>
      <c r="W44" s="220">
        <v>42.84</v>
      </c>
      <c r="X44" s="3"/>
      <c r="Y44" s="221">
        <f>+'[1]Sch 1A - Phased Increases'!AB44</f>
        <v>0</v>
      </c>
      <c r="Z44" s="3"/>
      <c r="AA44" s="160"/>
      <c r="AB44" s="3"/>
      <c r="AC44" s="221">
        <v>35.880000000000003</v>
      </c>
      <c r="AD44" s="221"/>
      <c r="AE44" s="223">
        <v>10</v>
      </c>
      <c r="AF44" s="3"/>
      <c r="AG44" s="222">
        <f>+AC44-W44</f>
        <v>-6.9600000000000009</v>
      </c>
      <c r="AH44" s="3"/>
      <c r="AJ44" s="224"/>
    </row>
    <row r="45" spans="1:38" x14ac:dyDescent="0.25">
      <c r="A45" s="137"/>
      <c r="B45" s="225"/>
      <c r="D45" s="3"/>
      <c r="E45" s="221"/>
      <c r="F45" s="3"/>
      <c r="G45" s="160"/>
      <c r="H45" s="3"/>
      <c r="I45" s="222"/>
      <c r="K45" s="220"/>
      <c r="L45" s="3"/>
      <c r="M45" s="221"/>
      <c r="N45" s="3"/>
      <c r="O45" s="160"/>
      <c r="P45" s="3"/>
      <c r="Q45" s="221"/>
      <c r="R45" s="221"/>
      <c r="S45" s="3"/>
      <c r="T45" s="3"/>
      <c r="U45" s="222"/>
      <c r="V45" s="3"/>
      <c r="W45" s="220"/>
      <c r="X45" s="3"/>
      <c r="Y45" s="221"/>
      <c r="Z45" s="3"/>
      <c r="AA45" s="160"/>
      <c r="AB45" s="3"/>
      <c r="AC45" s="221"/>
      <c r="AD45" s="221"/>
      <c r="AE45" s="3"/>
      <c r="AF45" s="3"/>
      <c r="AG45" s="222"/>
      <c r="AH45" s="3"/>
      <c r="AJ45" s="226"/>
    </row>
    <row r="46" spans="1:38" ht="16.5" thickBot="1" x14ac:dyDescent="0.3">
      <c r="A46" s="62" t="s">
        <v>251</v>
      </c>
      <c r="B46" s="177"/>
      <c r="C46" s="227"/>
      <c r="D46" s="228"/>
      <c r="E46" s="228"/>
      <c r="F46" s="228"/>
      <c r="G46" s="229"/>
      <c r="H46" s="228"/>
      <c r="I46" s="230"/>
      <c r="K46" s="227"/>
      <c r="L46" s="228"/>
      <c r="M46" s="228"/>
      <c r="N46" s="228"/>
      <c r="O46" s="228"/>
      <c r="P46" s="228"/>
      <c r="Q46" s="228"/>
      <c r="R46" s="228"/>
      <c r="S46" s="228"/>
      <c r="T46" s="228"/>
      <c r="U46" s="230"/>
      <c r="V46" s="20"/>
      <c r="W46" s="227"/>
      <c r="X46" s="228"/>
      <c r="Y46" s="228"/>
      <c r="Z46" s="228"/>
      <c r="AA46" s="228"/>
      <c r="AB46" s="228"/>
      <c r="AC46" s="228"/>
      <c r="AD46" s="228"/>
      <c r="AE46" s="228"/>
      <c r="AF46" s="228"/>
      <c r="AG46" s="230"/>
      <c r="AH46" s="20"/>
    </row>
    <row r="47" spans="1:38" ht="15.75" x14ac:dyDescent="0.25">
      <c r="A47" s="62" t="s">
        <v>252</v>
      </c>
      <c r="B47" s="152"/>
      <c r="C47" s="20"/>
      <c r="D47" s="2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20"/>
      <c r="V47" s="2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0"/>
      <c r="AH47" s="20"/>
    </row>
    <row r="48" spans="1:38" ht="15.75" x14ac:dyDescent="0.25">
      <c r="A48" s="62"/>
      <c r="B48" s="62"/>
      <c r="C48" s="39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113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3" t="s">
        <v>2</v>
      </c>
      <c r="AH48" s="62"/>
    </row>
    <row r="49" spans="1:46" ht="15.75" x14ac:dyDescent="0.25">
      <c r="A49" s="62"/>
      <c r="B49" s="62"/>
      <c r="C49" s="43"/>
      <c r="D49" s="62"/>
      <c r="E49" s="221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113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3" t="s">
        <v>0</v>
      </c>
      <c r="AH49" s="62"/>
    </row>
    <row r="50" spans="1:46" ht="15.75" x14ac:dyDescent="0.25">
      <c r="A50" s="62"/>
      <c r="B50" s="62"/>
      <c r="C50" s="39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113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3" t="s">
        <v>136</v>
      </c>
      <c r="AH50" s="62"/>
    </row>
    <row r="51" spans="1:46" ht="20.25" x14ac:dyDescent="0.3">
      <c r="A51" s="406" t="s">
        <v>239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</row>
    <row r="52" spans="1:46" ht="18.75" x14ac:dyDescent="0.3">
      <c r="A52" s="407" t="str">
        <f>+H5</f>
        <v>CAUSE NUMBER XXXXX</v>
      </c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</row>
    <row r="53" spans="1:46" ht="18.75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</row>
    <row r="54" spans="1:46" ht="15.75" x14ac:dyDescent="0.25">
      <c r="A54" s="400" t="s">
        <v>15</v>
      </c>
      <c r="B54" s="400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</row>
    <row r="55" spans="1:46" ht="15.75" x14ac:dyDescent="0.25">
      <c r="A55" s="400" t="s">
        <v>137</v>
      </c>
      <c r="B55" s="400"/>
      <c r="C55" s="400"/>
      <c r="D55" s="400"/>
      <c r="E55" s="400"/>
      <c r="F55" s="400"/>
      <c r="G55" s="400"/>
      <c r="H55" s="400"/>
      <c r="I55" s="400"/>
      <c r="J55" s="400"/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</row>
    <row r="56" spans="1:46" ht="15.75" x14ac:dyDescent="0.25">
      <c r="A56" s="400"/>
      <c r="B56" s="400"/>
      <c r="C56" s="400"/>
      <c r="D56" s="400"/>
      <c r="E56" s="400"/>
      <c r="F56" s="400"/>
      <c r="G56" s="400"/>
      <c r="H56" s="231"/>
      <c r="I56" s="231"/>
      <c r="J56" s="231"/>
      <c r="K56" s="231"/>
      <c r="L56" s="231"/>
      <c r="M56" s="231"/>
      <c r="N56" s="231"/>
      <c r="O56" s="231"/>
      <c r="P56" s="231"/>
      <c r="W56" s="231"/>
      <c r="X56" s="231"/>
      <c r="Y56" s="231"/>
      <c r="Z56" s="231"/>
      <c r="AA56" s="231"/>
      <c r="AB56" s="231"/>
    </row>
    <row r="57" spans="1:46" ht="15.75" x14ac:dyDescent="0.25">
      <c r="A57" s="408" t="s">
        <v>15</v>
      </c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8"/>
      <c r="AH57" s="408"/>
    </row>
    <row r="58" spans="1:46" ht="15.75" x14ac:dyDescent="0.25">
      <c r="A58" s="399"/>
      <c r="B58" s="399"/>
      <c r="C58" s="399"/>
      <c r="D58" s="399"/>
      <c r="E58" s="399"/>
      <c r="F58" s="399"/>
      <c r="G58" s="399"/>
      <c r="H58" s="6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62"/>
    </row>
    <row r="59" spans="1:46" ht="16.5" thickBot="1" x14ac:dyDescent="0.3">
      <c r="A59" s="62"/>
      <c r="B59" s="62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233"/>
      <c r="R59" s="233"/>
      <c r="S59" s="233"/>
      <c r="T59" s="233"/>
      <c r="U59" s="121"/>
      <c r="V59" s="121"/>
      <c r="W59" s="116"/>
      <c r="X59" s="116"/>
      <c r="Y59" s="116"/>
      <c r="Z59" s="116"/>
      <c r="AA59" s="116"/>
      <c r="AB59" s="116"/>
      <c r="AC59" s="233"/>
      <c r="AD59" s="233"/>
      <c r="AE59" s="233"/>
      <c r="AF59" s="233"/>
      <c r="AG59" s="121"/>
      <c r="AH59" s="121"/>
    </row>
    <row r="60" spans="1:46" ht="15.75" x14ac:dyDescent="0.25">
      <c r="A60" s="62"/>
      <c r="B60" s="62"/>
      <c r="C60" s="421" t="s">
        <v>36</v>
      </c>
      <c r="D60" s="422"/>
      <c r="E60" s="422"/>
      <c r="F60" s="123"/>
      <c r="G60" s="124"/>
      <c r="J60" s="116"/>
      <c r="K60" s="421" t="s">
        <v>28</v>
      </c>
      <c r="L60" s="422"/>
      <c r="M60" s="422"/>
      <c r="N60" s="422"/>
      <c r="O60" s="422"/>
      <c r="P60" s="422"/>
      <c r="Q60" s="438"/>
      <c r="W60" s="421" t="s">
        <v>29</v>
      </c>
      <c r="X60" s="422"/>
      <c r="Y60" s="422"/>
      <c r="Z60" s="422"/>
      <c r="AA60" s="422"/>
      <c r="AB60" s="422"/>
      <c r="AC60" s="438"/>
      <c r="AD60" s="116"/>
      <c r="AE60" s="233"/>
      <c r="AF60" s="233"/>
      <c r="AG60" s="233"/>
      <c r="AH60" s="121"/>
    </row>
    <row r="61" spans="1:46" ht="15.75" x14ac:dyDescent="0.25">
      <c r="A61" s="62"/>
      <c r="B61" s="62"/>
      <c r="C61" s="423" t="s">
        <v>2</v>
      </c>
      <c r="D61" s="233"/>
      <c r="E61" s="233"/>
      <c r="F61" s="233"/>
      <c r="G61" s="424" t="s">
        <v>258</v>
      </c>
      <c r="J61" s="121"/>
      <c r="K61" s="439" t="s">
        <v>2</v>
      </c>
      <c r="L61" s="233"/>
      <c r="M61" s="233"/>
      <c r="N61" s="54"/>
      <c r="O61" s="54"/>
      <c r="P61" s="121"/>
      <c r="Q61" s="434"/>
      <c r="W61" s="439" t="s">
        <v>2</v>
      </c>
      <c r="X61" s="233"/>
      <c r="Y61" s="233"/>
      <c r="Z61" s="54"/>
      <c r="AA61" s="54"/>
      <c r="AB61" s="121"/>
      <c r="AC61" s="434"/>
      <c r="AD61" s="59"/>
      <c r="AE61" s="233"/>
      <c r="AF61" s="233"/>
      <c r="AG61" s="233"/>
      <c r="AH61" s="121"/>
    </row>
    <row r="62" spans="1:46" x14ac:dyDescent="0.25">
      <c r="A62" s="234"/>
      <c r="B62" s="234"/>
      <c r="C62" s="425"/>
      <c r="D62" s="3"/>
      <c r="E62" s="234"/>
      <c r="F62" s="3"/>
      <c r="G62" s="426"/>
      <c r="J62" s="234"/>
      <c r="K62" s="425"/>
      <c r="L62" s="3"/>
      <c r="M62" s="234"/>
      <c r="N62" s="54"/>
      <c r="O62" s="54"/>
      <c r="P62" s="3"/>
      <c r="Q62" s="434"/>
      <c r="W62" s="425"/>
      <c r="X62" s="3"/>
      <c r="Y62" s="234"/>
      <c r="Z62" s="54"/>
      <c r="AA62" s="54"/>
      <c r="AB62" s="3"/>
      <c r="AC62" s="434"/>
      <c r="AD62" s="54"/>
      <c r="AE62" s="54"/>
      <c r="AF62" s="54"/>
      <c r="AG62" s="54"/>
    </row>
    <row r="63" spans="1:46" ht="16.5" thickBot="1" x14ac:dyDescent="0.3">
      <c r="A63" s="63">
        <v>1</v>
      </c>
      <c r="B63" s="62" t="s">
        <v>32</v>
      </c>
      <c r="C63" s="427">
        <v>1</v>
      </c>
      <c r="D63" s="2"/>
      <c r="E63" s="368">
        <f>ROUND(+E35,0)</f>
        <v>913245</v>
      </c>
      <c r="F63" s="2"/>
      <c r="G63" s="428" t="s">
        <v>259</v>
      </c>
      <c r="J63" s="2"/>
      <c r="K63" s="161">
        <v>1</v>
      </c>
      <c r="L63" s="2"/>
      <c r="M63" s="235">
        <f>ROUND(+M35,0)</f>
        <v>0</v>
      </c>
      <c r="N63" s="54"/>
      <c r="O63" s="54"/>
      <c r="P63" s="2"/>
      <c r="Q63" s="440">
        <f>ROUND(+Q35,0)</f>
        <v>4191142</v>
      </c>
      <c r="W63" s="161">
        <v>1</v>
      </c>
      <c r="X63" s="2"/>
      <c r="Y63" s="235">
        <f>ROUND(+Y35,0)</f>
        <v>0</v>
      </c>
      <c r="Z63" s="54"/>
      <c r="AA63" s="54"/>
      <c r="AB63" s="2"/>
      <c r="AC63" s="440">
        <f>ROUND(+AC35,0)</f>
        <v>3077836</v>
      </c>
      <c r="AD63" s="2"/>
      <c r="AE63" s="2"/>
      <c r="AF63" s="2"/>
      <c r="AG63" s="235"/>
      <c r="AJ63" s="236"/>
      <c r="AK63" s="237"/>
      <c r="AL63" s="237"/>
      <c r="AP63" s="236"/>
      <c r="AT63" s="64"/>
    </row>
    <row r="64" spans="1:46" ht="16.5" thickTop="1" x14ac:dyDescent="0.25">
      <c r="A64" s="63">
        <v>2</v>
      </c>
      <c r="B64" s="62" t="s">
        <v>34</v>
      </c>
      <c r="C64" s="429">
        <f>+E78</f>
        <v>4.8083875638793676E-3</v>
      </c>
      <c r="D64" s="2"/>
      <c r="E64" s="372">
        <f>ROUND(E63*C64,0)</f>
        <v>4391</v>
      </c>
      <c r="F64" s="2"/>
      <c r="G64" s="428" t="s">
        <v>259</v>
      </c>
      <c r="J64" s="2"/>
      <c r="K64" s="429">
        <f>+C64</f>
        <v>4.8083875638793676E-3</v>
      </c>
      <c r="L64" s="2"/>
      <c r="M64" s="143">
        <f>ROUND(M63*K64,0)</f>
        <v>0</v>
      </c>
      <c r="N64" s="54"/>
      <c r="O64" s="54"/>
      <c r="P64" s="2"/>
      <c r="Q64" s="441">
        <f>ROUND(Q63*K64,0)</f>
        <v>20153</v>
      </c>
      <c r="W64" s="429">
        <f>+C64</f>
        <v>4.8083875638793676E-3</v>
      </c>
      <c r="X64" s="2"/>
      <c r="Y64" s="143">
        <f>ROUND(Y63*W64,0)</f>
        <v>0</v>
      </c>
      <c r="Z64" s="54"/>
      <c r="AA64" s="54"/>
      <c r="AB64" s="2"/>
      <c r="AC64" s="441">
        <f>ROUND(AC63*W64,0)</f>
        <v>14799</v>
      </c>
      <c r="AD64" s="2"/>
      <c r="AE64" s="2"/>
      <c r="AF64" s="2"/>
      <c r="AG64" s="143"/>
      <c r="AJ64" s="236"/>
      <c r="AK64" s="237"/>
      <c r="AL64" s="237"/>
      <c r="AP64" s="236"/>
      <c r="AT64" s="65"/>
    </row>
    <row r="65" spans="1:46" ht="15.75" x14ac:dyDescent="0.25">
      <c r="A65" s="63"/>
      <c r="B65" s="238"/>
      <c r="C65" s="430"/>
      <c r="D65" s="239"/>
      <c r="E65" s="239"/>
      <c r="F65" s="239"/>
      <c r="G65" s="428"/>
      <c r="J65" s="238"/>
      <c r="K65" s="430"/>
      <c r="L65" s="239"/>
      <c r="M65" s="239"/>
      <c r="N65" s="54"/>
      <c r="O65" s="54"/>
      <c r="P65" s="2"/>
      <c r="Q65" s="442"/>
      <c r="W65" s="430"/>
      <c r="X65" s="239"/>
      <c r="Y65" s="239"/>
      <c r="Z65" s="54"/>
      <c r="AA65" s="54"/>
      <c r="AB65" s="2"/>
      <c r="AC65" s="442"/>
      <c r="AD65" s="2"/>
      <c r="AE65" s="2"/>
      <c r="AF65" s="2"/>
      <c r="AG65" s="239"/>
      <c r="AH65" s="240"/>
      <c r="AI65" s="54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</row>
    <row r="66" spans="1:46" ht="15.75" x14ac:dyDescent="0.25">
      <c r="A66" s="63">
        <v>3</v>
      </c>
      <c r="B66" s="238" t="s">
        <v>33</v>
      </c>
      <c r="C66" s="431">
        <f>+C63-C64</f>
        <v>0.99519161243612064</v>
      </c>
      <c r="D66" s="239"/>
      <c r="E66" s="239"/>
      <c r="F66" s="239"/>
      <c r="G66" s="428"/>
      <c r="J66" s="238"/>
      <c r="K66" s="431">
        <f>+K63-K64</f>
        <v>0.99519161243612064</v>
      </c>
      <c r="L66" s="239"/>
      <c r="M66" s="239"/>
      <c r="N66" s="54"/>
      <c r="O66" s="54"/>
      <c r="P66" s="2"/>
      <c r="Q66" s="442"/>
      <c r="W66" s="431">
        <f>+W63-W64</f>
        <v>0.99519161243612064</v>
      </c>
      <c r="X66" s="239"/>
      <c r="Y66" s="239"/>
      <c r="Z66" s="54"/>
      <c r="AA66" s="54"/>
      <c r="AB66" s="2"/>
      <c r="AC66" s="442"/>
      <c r="AD66" s="2"/>
      <c r="AE66" s="2"/>
      <c r="AF66" s="2"/>
      <c r="AG66" s="239"/>
      <c r="AH66" s="240"/>
      <c r="AI66" s="54"/>
      <c r="AJ66" s="241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</row>
    <row r="67" spans="1:46" ht="15.75" x14ac:dyDescent="0.25">
      <c r="A67" s="63">
        <v>4</v>
      </c>
      <c r="B67" s="242" t="s">
        <v>37</v>
      </c>
      <c r="C67" s="429">
        <f>+AC80</f>
        <v>1.1692385293481086E-2</v>
      </c>
      <c r="D67" s="432"/>
      <c r="E67" s="373">
        <f>ROUND(C67*E63,0)</f>
        <v>10678</v>
      </c>
      <c r="F67" s="432"/>
      <c r="G67" s="428" t="s">
        <v>259</v>
      </c>
      <c r="J67" s="2"/>
      <c r="K67" s="429">
        <f>+C67</f>
        <v>1.1692385293481086E-2</v>
      </c>
      <c r="L67" s="432"/>
      <c r="M67" s="243">
        <f>ROUND(K67*M63,0)</f>
        <v>0</v>
      </c>
      <c r="N67" s="54"/>
      <c r="O67" s="54"/>
      <c r="P67" s="2"/>
      <c r="Q67" s="443">
        <f>ROUND(K67*Q63,0)</f>
        <v>49004</v>
      </c>
      <c r="W67" s="429">
        <f>+C67</f>
        <v>1.1692385293481086E-2</v>
      </c>
      <c r="X67" s="432"/>
      <c r="Y67" s="243">
        <f>ROUND(W67*Y63,0)</f>
        <v>0</v>
      </c>
      <c r="Z67" s="54"/>
      <c r="AA67" s="54"/>
      <c r="AB67" s="2"/>
      <c r="AC67" s="443">
        <f>ROUND(W67*AC63,0)</f>
        <v>35987</v>
      </c>
      <c r="AD67" s="2"/>
      <c r="AE67" s="2"/>
      <c r="AF67" s="2"/>
      <c r="AG67" s="244"/>
      <c r="AH67" s="54"/>
      <c r="AI67" s="54"/>
      <c r="AJ67" s="245"/>
      <c r="AK67" s="54"/>
      <c r="AL67" s="2"/>
      <c r="AM67" s="54"/>
      <c r="AN67" s="54"/>
      <c r="AO67" s="54"/>
      <c r="AP67" s="54"/>
      <c r="AQ67" s="54"/>
      <c r="AR67" s="54"/>
      <c r="AS67" s="54"/>
      <c r="AT67" s="246"/>
    </row>
    <row r="68" spans="1:46" ht="15.75" x14ac:dyDescent="0.25">
      <c r="A68" s="242"/>
      <c r="B68" s="242"/>
      <c r="C68" s="433"/>
      <c r="D68" s="432"/>
      <c r="E68" s="247"/>
      <c r="F68" s="432"/>
      <c r="G68" s="434"/>
      <c r="J68" s="2"/>
      <c r="K68" s="433"/>
      <c r="L68" s="432"/>
      <c r="M68" s="247"/>
      <c r="N68" s="54"/>
      <c r="O68" s="54"/>
      <c r="P68" s="2"/>
      <c r="Q68" s="444"/>
      <c r="W68" s="433"/>
      <c r="X68" s="432"/>
      <c r="Y68" s="247"/>
      <c r="Z68" s="54"/>
      <c r="AA68" s="54"/>
      <c r="AB68" s="2"/>
      <c r="AC68" s="444"/>
      <c r="AD68" s="2"/>
      <c r="AE68" s="2"/>
      <c r="AF68" s="2"/>
      <c r="AG68" s="247"/>
      <c r="AH68" s="54"/>
      <c r="AI68" s="54"/>
      <c r="AJ68" s="248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6" ht="16.5" thickBot="1" x14ac:dyDescent="0.3">
      <c r="A69" s="63">
        <v>5</v>
      </c>
      <c r="B69" s="242" t="s">
        <v>35</v>
      </c>
      <c r="C69" s="435">
        <f>+C66-C67</f>
        <v>0.9834992271426396</v>
      </c>
      <c r="D69" s="2"/>
      <c r="E69" s="379">
        <f>+E63-E64-E67</f>
        <v>898176</v>
      </c>
      <c r="F69" s="2"/>
      <c r="G69" s="428" t="s">
        <v>259</v>
      </c>
      <c r="J69" s="2"/>
      <c r="K69" s="435">
        <f>+K66-K67</f>
        <v>0.9834992271426396</v>
      </c>
      <c r="L69" s="2"/>
      <c r="M69" s="180">
        <f>+M63-M64-M67</f>
        <v>0</v>
      </c>
      <c r="N69" s="54"/>
      <c r="O69" s="54"/>
      <c r="P69" s="2"/>
      <c r="Q69" s="445">
        <f>+Q63-Q64-Q67</f>
        <v>4121985</v>
      </c>
      <c r="W69" s="435">
        <f>+W66-W67</f>
        <v>0.9834992271426396</v>
      </c>
      <c r="X69" s="2"/>
      <c r="Y69" s="180">
        <f>+Y63-Y64-Y67</f>
        <v>0</v>
      </c>
      <c r="Z69" s="54"/>
      <c r="AA69" s="54"/>
      <c r="AB69" s="2"/>
      <c r="AC69" s="445">
        <f>+AC63-AC64-AC67</f>
        <v>3027050</v>
      </c>
      <c r="AD69" s="2"/>
      <c r="AE69" s="2"/>
      <c r="AF69" s="2"/>
      <c r="AJ69" s="249"/>
    </row>
    <row r="70" spans="1:46" ht="16.5" thickTop="1" x14ac:dyDescent="0.25">
      <c r="A70" s="63"/>
      <c r="B70" s="242"/>
      <c r="C70" s="161"/>
      <c r="D70" s="2"/>
      <c r="E70" s="139"/>
      <c r="F70" s="2"/>
      <c r="G70" s="434"/>
      <c r="J70" s="2"/>
      <c r="K70" s="161"/>
      <c r="L70" s="2"/>
      <c r="M70" s="139"/>
      <c r="N70" s="54"/>
      <c r="O70" s="54"/>
      <c r="P70" s="2"/>
      <c r="Q70" s="446"/>
      <c r="W70" s="161"/>
      <c r="X70" s="2"/>
      <c r="Y70" s="139"/>
      <c r="Z70" s="54"/>
      <c r="AA70" s="54"/>
      <c r="AB70" s="2"/>
      <c r="AC70" s="446"/>
      <c r="AD70" s="2"/>
      <c r="AE70" s="2"/>
      <c r="AF70" s="2"/>
      <c r="AG70" s="139"/>
      <c r="AJ70" s="249"/>
    </row>
    <row r="71" spans="1:46" ht="16.5" thickBot="1" x14ac:dyDescent="0.3">
      <c r="A71" s="63">
        <v>6</v>
      </c>
      <c r="B71" s="62" t="s">
        <v>15</v>
      </c>
      <c r="C71" s="436">
        <f>ROUND(1/C69,8)</f>
        <v>1.01677762</v>
      </c>
      <c r="D71" s="15"/>
      <c r="E71" s="437"/>
      <c r="F71" s="15"/>
      <c r="G71" s="68"/>
      <c r="J71" s="2"/>
      <c r="K71" s="447">
        <f>ROUND(1/K69,8)</f>
        <v>1.01677762</v>
      </c>
      <c r="L71" s="15"/>
      <c r="M71" s="437"/>
      <c r="N71" s="67"/>
      <c r="O71" s="67"/>
      <c r="P71" s="15"/>
      <c r="Q71" s="68"/>
      <c r="W71" s="447">
        <f>ROUND(1/W69,8)</f>
        <v>1.01677762</v>
      </c>
      <c r="X71" s="15"/>
      <c r="Y71" s="437"/>
      <c r="Z71" s="67"/>
      <c r="AA71" s="67"/>
      <c r="AB71" s="15"/>
      <c r="AC71" s="68"/>
      <c r="AD71" s="2"/>
      <c r="AE71" s="2"/>
      <c r="AF71" s="2"/>
      <c r="AG71" s="158"/>
      <c r="AJ71" s="65"/>
    </row>
    <row r="72" spans="1:46" ht="15.75" x14ac:dyDescent="0.25">
      <c r="A72" s="62"/>
      <c r="B72" s="62"/>
      <c r="C72" s="250"/>
      <c r="D72" s="62"/>
      <c r="E72" s="2"/>
      <c r="F72" s="62"/>
      <c r="J72" s="2"/>
      <c r="K72" s="250"/>
      <c r="L72" s="62"/>
      <c r="M72" s="2"/>
      <c r="P72" s="2"/>
      <c r="W72" s="250"/>
      <c r="X72" s="62"/>
      <c r="Y72" s="2"/>
      <c r="AB72" s="2"/>
      <c r="AD72" s="2"/>
      <c r="AE72" s="2"/>
      <c r="AF72" s="2"/>
      <c r="AG72" s="2"/>
      <c r="AJ72" s="65"/>
    </row>
    <row r="73" spans="1:46" ht="16.5" thickBot="1" x14ac:dyDescent="0.3">
      <c r="A73" s="62"/>
      <c r="B73" s="62"/>
      <c r="C73" s="250"/>
      <c r="D73" s="62"/>
      <c r="E73" s="2"/>
      <c r="F73" s="62"/>
      <c r="J73" s="2"/>
      <c r="K73" s="250"/>
      <c r="L73" s="62"/>
      <c r="M73" s="2"/>
      <c r="P73" s="2"/>
      <c r="W73" s="250"/>
      <c r="X73" s="62"/>
      <c r="Y73" s="2"/>
      <c r="AB73" s="2"/>
      <c r="AD73" s="2"/>
      <c r="AE73" s="2"/>
      <c r="AF73" s="2"/>
      <c r="AG73" s="2"/>
      <c r="AJ73" s="65"/>
    </row>
    <row r="74" spans="1:46" ht="15.75" x14ac:dyDescent="0.25">
      <c r="A74" s="62"/>
      <c r="B74" s="251"/>
      <c r="C74" s="4"/>
      <c r="D74" s="4"/>
      <c r="E74" s="135"/>
      <c r="F74" s="62"/>
      <c r="J74" s="2"/>
      <c r="K74" s="250"/>
      <c r="L74" s="62"/>
      <c r="M74" s="2"/>
      <c r="P74" s="2"/>
      <c r="Q74" s="251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135"/>
      <c r="AD74" s="2"/>
      <c r="AE74" s="2"/>
      <c r="AF74" s="2"/>
      <c r="AG74" s="2"/>
      <c r="AJ74" s="65"/>
    </row>
    <row r="75" spans="1:46" ht="15.75" x14ac:dyDescent="0.25">
      <c r="A75" s="62"/>
      <c r="B75" s="252" t="s">
        <v>138</v>
      </c>
      <c r="C75" s="2"/>
      <c r="D75" s="2"/>
      <c r="E75" s="13"/>
      <c r="F75" s="62"/>
      <c r="J75" s="2"/>
      <c r="K75" s="250"/>
      <c r="L75" s="62"/>
      <c r="M75" s="2"/>
      <c r="P75" s="2"/>
      <c r="Q75" s="252" t="s">
        <v>139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3"/>
      <c r="AD75" s="2"/>
      <c r="AE75" s="2"/>
      <c r="AF75" s="2"/>
      <c r="AG75" s="2"/>
      <c r="AJ75" s="65"/>
    </row>
    <row r="76" spans="1:46" ht="15.75" x14ac:dyDescent="0.25">
      <c r="A76" s="62"/>
      <c r="B76" s="12" t="s">
        <v>140</v>
      </c>
      <c r="C76" s="2"/>
      <c r="D76" s="2"/>
      <c r="E76" s="253">
        <v>6.8599999999999998E-3</v>
      </c>
      <c r="F76" s="62"/>
      <c r="J76" s="2"/>
      <c r="K76" s="250"/>
      <c r="L76" s="62"/>
      <c r="M76" s="2"/>
      <c r="P76" s="2"/>
      <c r="Q76" s="12" t="s">
        <v>141</v>
      </c>
      <c r="R76" s="2"/>
      <c r="S76" s="2"/>
      <c r="T76" s="54"/>
      <c r="U76" s="2"/>
      <c r="V76" s="2"/>
      <c r="W76" s="54"/>
      <c r="X76" s="2"/>
      <c r="Y76" s="54"/>
      <c r="Z76" s="2"/>
      <c r="AA76" s="2"/>
      <c r="AB76" s="2"/>
      <c r="AC76" s="253">
        <v>1.4E-2</v>
      </c>
      <c r="AD76" s="2"/>
      <c r="AE76" s="2"/>
      <c r="AF76" s="2"/>
      <c r="AG76" s="2"/>
      <c r="AJ76" s="65"/>
    </row>
    <row r="77" spans="1:46" ht="15.75" x14ac:dyDescent="0.25">
      <c r="A77" s="62"/>
      <c r="B77" s="12" t="s">
        <v>142</v>
      </c>
      <c r="C77" s="2"/>
      <c r="D77" s="2"/>
      <c r="E77" s="254">
        <f>+E84</f>
        <v>0.70093113176084076</v>
      </c>
      <c r="F77" s="62"/>
      <c r="G77" s="62"/>
      <c r="H77" s="62"/>
      <c r="Q77" s="12" t="s">
        <v>143</v>
      </c>
      <c r="R77" s="2"/>
      <c r="S77" s="2"/>
      <c r="T77" s="54"/>
      <c r="U77" s="2"/>
      <c r="V77" s="2"/>
      <c r="W77" s="54"/>
      <c r="X77" s="2"/>
      <c r="Y77" s="2"/>
      <c r="Z77" s="2"/>
      <c r="AA77" s="2"/>
      <c r="AB77" s="2"/>
      <c r="AC77" s="254">
        <f>1-AC86</f>
        <v>0.83920560389509891</v>
      </c>
      <c r="AD77" s="2"/>
      <c r="AE77" s="2"/>
      <c r="AF77" s="2"/>
      <c r="AG77" s="2"/>
      <c r="AJ77" s="65"/>
    </row>
    <row r="78" spans="1:46" ht="16.5" thickBot="1" x14ac:dyDescent="0.3">
      <c r="A78" s="62"/>
      <c r="B78" s="12" t="s">
        <v>144</v>
      </c>
      <c r="C78" s="2"/>
      <c r="D78" s="2"/>
      <c r="E78" s="255">
        <f>+E76*E77</f>
        <v>4.8083875638793676E-3</v>
      </c>
      <c r="F78" s="2"/>
      <c r="G78" s="2"/>
      <c r="H78" s="2"/>
      <c r="I78" s="54"/>
      <c r="Q78" s="12" t="s">
        <v>145</v>
      </c>
      <c r="R78" s="2"/>
      <c r="S78" s="2"/>
      <c r="T78" s="54"/>
      <c r="U78" s="2"/>
      <c r="V78" s="2"/>
      <c r="W78" s="54"/>
      <c r="X78" s="2"/>
      <c r="Y78" s="2"/>
      <c r="Z78" s="2"/>
      <c r="AA78" s="2"/>
      <c r="AB78" s="2"/>
      <c r="AC78" s="253">
        <f>+AC76*AC77</f>
        <v>1.1748878454531386E-2</v>
      </c>
      <c r="AD78" s="2"/>
      <c r="AE78" s="2"/>
      <c r="AF78" s="2"/>
      <c r="AG78" s="163"/>
      <c r="AJ78" s="65"/>
    </row>
    <row r="79" spans="1:46" ht="16.5" thickTop="1" x14ac:dyDescent="0.25">
      <c r="A79" s="62"/>
      <c r="B79" s="12"/>
      <c r="C79" s="2"/>
      <c r="D79" s="2"/>
      <c r="E79" s="13"/>
      <c r="F79" s="54"/>
      <c r="G79" s="54"/>
      <c r="H79" s="54"/>
      <c r="Q79" s="12" t="s">
        <v>146</v>
      </c>
      <c r="R79" s="2"/>
      <c r="S79" s="2"/>
      <c r="T79" s="54"/>
      <c r="U79" s="2"/>
      <c r="V79" s="2"/>
      <c r="W79" s="54"/>
      <c r="X79" s="2"/>
      <c r="Y79" s="2"/>
      <c r="Z79" s="2"/>
      <c r="AA79" s="2"/>
      <c r="AB79" s="2"/>
      <c r="AC79" s="254">
        <f>+C66</f>
        <v>0.99519161243612064</v>
      </c>
      <c r="AD79" s="2"/>
      <c r="AE79" s="2"/>
      <c r="AF79" s="2"/>
      <c r="AG79" s="256"/>
      <c r="AJ79" s="65"/>
    </row>
    <row r="80" spans="1:46" ht="16.5" thickBot="1" x14ac:dyDescent="0.3">
      <c r="A80" s="62"/>
      <c r="B80" s="12" t="s">
        <v>147</v>
      </c>
      <c r="C80" s="257" t="s">
        <v>64</v>
      </c>
      <c r="D80" s="2"/>
      <c r="E80" s="258">
        <f>+AC82</f>
        <v>33792210</v>
      </c>
      <c r="F80" s="54"/>
      <c r="G80" s="54"/>
      <c r="H80" s="54"/>
      <c r="Q80" s="12" t="s">
        <v>148</v>
      </c>
      <c r="R80" s="2"/>
      <c r="S80" s="2"/>
      <c r="T80" s="54"/>
      <c r="U80" s="2"/>
      <c r="V80" s="2"/>
      <c r="W80" s="54"/>
      <c r="X80" s="2"/>
      <c r="Y80" s="2"/>
      <c r="Z80" s="2"/>
      <c r="AA80" s="2"/>
      <c r="AB80" s="2"/>
      <c r="AC80" s="255">
        <f>+AC78*AC79</f>
        <v>1.1692385293481086E-2</v>
      </c>
      <c r="AD80" s="2"/>
      <c r="AE80" s="2"/>
      <c r="AF80" s="2"/>
      <c r="AG80" s="163"/>
      <c r="AJ80" s="65"/>
    </row>
    <row r="81" spans="1:36" ht="16.5" thickTop="1" x14ac:dyDescent="0.25">
      <c r="A81" s="62"/>
      <c r="B81" s="259" t="s">
        <v>149</v>
      </c>
      <c r="D81" s="54"/>
      <c r="E81" s="258">
        <f>+'Sch 4'!M13</f>
        <v>16321085</v>
      </c>
      <c r="F81" s="54"/>
      <c r="G81" s="54"/>
      <c r="H81" s="54"/>
      <c r="Q81" s="12"/>
      <c r="R81" s="2"/>
      <c r="S81" s="2"/>
      <c r="T81" s="54"/>
      <c r="U81" s="54"/>
      <c r="V81" s="54"/>
      <c r="W81" s="54"/>
      <c r="X81" s="54"/>
      <c r="Y81" s="54"/>
      <c r="Z81" s="54"/>
      <c r="AA81" s="54"/>
      <c r="AB81" s="54"/>
      <c r="AC81" s="13"/>
      <c r="AD81" s="2"/>
      <c r="AE81" s="2"/>
      <c r="AF81" s="2"/>
      <c r="AG81" s="256"/>
      <c r="AJ81" s="65"/>
    </row>
    <row r="82" spans="1:36" ht="15.75" x14ac:dyDescent="0.25">
      <c r="A82" s="62"/>
      <c r="B82" s="259" t="s">
        <v>150</v>
      </c>
      <c r="C82" s="257"/>
      <c r="D82" s="54"/>
      <c r="E82" s="380">
        <f>+'Sch 4'!M14</f>
        <v>7364927</v>
      </c>
      <c r="F82" s="54"/>
      <c r="G82" s="54"/>
      <c r="H82" s="54"/>
      <c r="Q82" s="12" t="s">
        <v>147</v>
      </c>
      <c r="S82" s="2"/>
      <c r="T82" s="54"/>
      <c r="U82" s="54"/>
      <c r="V82" s="54"/>
      <c r="W82" s="257" t="s">
        <v>64</v>
      </c>
      <c r="X82" s="54"/>
      <c r="Y82" s="54"/>
      <c r="Z82" s="54"/>
      <c r="AA82" s="54"/>
      <c r="AB82" s="54"/>
      <c r="AC82" s="258">
        <f>+ProformaPresentRateRevenue-'Sch 4'!M24</f>
        <v>33792210</v>
      </c>
      <c r="AD82" s="2"/>
      <c r="AE82" s="2"/>
      <c r="AF82" s="2"/>
      <c r="AG82" s="158"/>
      <c r="AJ82" s="65"/>
    </row>
    <row r="83" spans="1:36" ht="15.75" x14ac:dyDescent="0.25">
      <c r="A83" s="62"/>
      <c r="B83" s="259"/>
      <c r="C83" s="257" t="s">
        <v>151</v>
      </c>
      <c r="D83" s="54"/>
      <c r="E83" s="381">
        <f>+E81+E82</f>
        <v>23686012</v>
      </c>
      <c r="F83" s="54"/>
      <c r="G83" s="54"/>
      <c r="H83" s="54"/>
      <c r="Q83" s="12" t="s">
        <v>152</v>
      </c>
      <c r="S83" s="54"/>
      <c r="T83" s="54"/>
      <c r="U83" s="54"/>
      <c r="V83" s="54"/>
      <c r="W83" s="257"/>
      <c r="X83" s="54"/>
      <c r="Y83" s="54"/>
      <c r="Z83" s="54"/>
      <c r="AA83" s="54"/>
      <c r="AB83" s="54"/>
      <c r="AC83" s="383">
        <f>+'Sch 4'!M17</f>
        <v>1235161</v>
      </c>
      <c r="AD83" s="54"/>
      <c r="AE83" s="54"/>
      <c r="AF83" s="54"/>
      <c r="AG83" s="61"/>
      <c r="AJ83" s="65"/>
    </row>
    <row r="84" spans="1:36" ht="15.75" x14ac:dyDescent="0.25">
      <c r="B84" s="12" t="s">
        <v>88</v>
      </c>
      <c r="C84" s="59" t="s">
        <v>153</v>
      </c>
      <c r="D84" s="54"/>
      <c r="E84" s="382">
        <f>+E83/E80</f>
        <v>0.70093113176084076</v>
      </c>
      <c r="F84" s="54"/>
      <c r="G84" s="54"/>
      <c r="H84" s="54"/>
      <c r="Q84" s="12" t="s">
        <v>154</v>
      </c>
      <c r="S84" s="54"/>
      <c r="T84" s="54"/>
      <c r="U84" s="54"/>
      <c r="V84" s="54"/>
      <c r="W84" s="257"/>
      <c r="X84" s="54"/>
      <c r="Y84" s="54"/>
      <c r="Z84" s="54"/>
      <c r="AA84" s="54"/>
      <c r="AB84" s="54"/>
      <c r="AC84" s="383">
        <v>4198437</v>
      </c>
      <c r="AD84" s="54"/>
      <c r="AE84" s="54"/>
      <c r="AF84" s="54"/>
      <c r="AG84" s="54"/>
      <c r="AJ84" s="65"/>
    </row>
    <row r="85" spans="1:36" ht="16.5" thickBot="1" x14ac:dyDescent="0.3">
      <c r="B85" s="66"/>
      <c r="C85" s="67"/>
      <c r="D85" s="67"/>
      <c r="E85" s="68"/>
      <c r="F85" s="54"/>
      <c r="G85" s="54"/>
      <c r="Q85" s="12" t="s">
        <v>155</v>
      </c>
      <c r="S85" s="54"/>
      <c r="T85" s="54"/>
      <c r="U85" s="54"/>
      <c r="V85" s="54"/>
      <c r="W85" s="257" t="s">
        <v>151</v>
      </c>
      <c r="X85" s="54"/>
      <c r="Y85" s="54"/>
      <c r="Z85" s="54"/>
      <c r="AA85" s="54"/>
      <c r="AB85" s="54"/>
      <c r="AC85" s="384">
        <f>+AC83+AC84</f>
        <v>5433598</v>
      </c>
      <c r="AD85" s="54"/>
      <c r="AE85" s="54"/>
      <c r="AF85" s="54"/>
      <c r="AG85" s="54"/>
      <c r="AJ85" s="65"/>
    </row>
    <row r="86" spans="1:36" ht="15.75" x14ac:dyDescent="0.25">
      <c r="F86" s="260"/>
      <c r="G86" s="54"/>
      <c r="I86" s="2"/>
      <c r="J86" s="54"/>
      <c r="K86" s="54"/>
      <c r="L86" s="54"/>
      <c r="M86" s="54"/>
      <c r="N86" s="54"/>
      <c r="O86" s="54"/>
      <c r="P86" s="54"/>
      <c r="Q86" s="12" t="s">
        <v>156</v>
      </c>
      <c r="S86" s="54"/>
      <c r="T86" s="54"/>
      <c r="U86" s="54"/>
      <c r="V86" s="54"/>
      <c r="W86" s="59" t="s">
        <v>153</v>
      </c>
      <c r="X86" s="54"/>
      <c r="Y86" s="54"/>
      <c r="Z86" s="54"/>
      <c r="AA86" s="54"/>
      <c r="AB86" s="54"/>
      <c r="AC86" s="385">
        <f>+AC85/AC82</f>
        <v>0.16079439610490109</v>
      </c>
      <c r="AD86" s="54"/>
      <c r="AE86" s="54"/>
      <c r="AF86" s="54"/>
      <c r="AG86" s="260"/>
      <c r="AJ86" s="65"/>
    </row>
    <row r="87" spans="1:36" ht="15.75" x14ac:dyDescent="0.25">
      <c r="F87" s="260"/>
      <c r="G87" s="54"/>
      <c r="I87" s="2"/>
      <c r="J87" s="54"/>
      <c r="K87" s="54"/>
      <c r="L87" s="54"/>
      <c r="M87" s="54"/>
      <c r="N87" s="54"/>
      <c r="O87" s="54"/>
      <c r="P87" s="54"/>
      <c r="Q87" s="12"/>
      <c r="S87" s="54"/>
      <c r="T87" s="54"/>
      <c r="U87" s="158"/>
      <c r="V87" s="54"/>
      <c r="W87" s="59"/>
      <c r="X87" s="2"/>
      <c r="Y87" s="2"/>
      <c r="Z87" s="2"/>
      <c r="AA87" s="2"/>
      <c r="AB87" s="2"/>
      <c r="AC87" s="385"/>
      <c r="AD87" s="54"/>
      <c r="AE87" s="54"/>
      <c r="AF87" s="54"/>
      <c r="AG87" s="260"/>
      <c r="AJ87" s="65"/>
    </row>
    <row r="88" spans="1:36" ht="15.75" x14ac:dyDescent="0.25">
      <c r="F88" s="260"/>
      <c r="G88" s="54"/>
      <c r="I88" s="2"/>
      <c r="J88" s="54"/>
      <c r="K88" s="54"/>
      <c r="L88" s="54"/>
      <c r="M88" s="54"/>
      <c r="N88" s="54"/>
      <c r="O88" s="54"/>
      <c r="P88" s="54"/>
      <c r="Q88" s="12" t="s">
        <v>157</v>
      </c>
      <c r="R88" s="59"/>
      <c r="S88" s="54"/>
      <c r="T88" s="54"/>
      <c r="U88" s="2"/>
      <c r="V88" s="54"/>
      <c r="W88" s="54"/>
      <c r="X88" s="2"/>
      <c r="Y88" s="2"/>
      <c r="Z88" s="2"/>
      <c r="AA88" s="2"/>
      <c r="AB88" s="2"/>
      <c r="AC88" s="385">
        <v>1</v>
      </c>
      <c r="AD88" s="54"/>
      <c r="AE88" s="54"/>
      <c r="AF88" s="54"/>
      <c r="AG88" s="260"/>
      <c r="AJ88" s="65"/>
    </row>
    <row r="89" spans="1:36" ht="15.75" x14ac:dyDescent="0.25">
      <c r="F89" s="260"/>
      <c r="G89" s="54"/>
      <c r="I89" s="143"/>
      <c r="J89" s="54"/>
      <c r="K89" s="54"/>
      <c r="L89" s="54"/>
      <c r="M89" s="54"/>
      <c r="N89" s="54"/>
      <c r="O89" s="54"/>
      <c r="P89" s="54"/>
      <c r="Q89" s="12" t="s">
        <v>158</v>
      </c>
      <c r="R89" s="59"/>
      <c r="S89" s="54"/>
      <c r="T89" s="54"/>
      <c r="U89" s="2"/>
      <c r="V89" s="54"/>
      <c r="W89" s="54"/>
      <c r="X89" s="2"/>
      <c r="Y89" s="2"/>
      <c r="Z89" s="2"/>
      <c r="AA89" s="2"/>
      <c r="AB89" s="2"/>
      <c r="AC89" s="385">
        <f>-AC86</f>
        <v>-0.16079439610490109</v>
      </c>
      <c r="AD89" s="54"/>
      <c r="AE89" s="54"/>
      <c r="AF89" s="54"/>
      <c r="AG89" s="260"/>
      <c r="AJ89" s="65"/>
    </row>
    <row r="90" spans="1:36" ht="15.75" x14ac:dyDescent="0.25">
      <c r="F90" s="54"/>
      <c r="G90" s="54"/>
      <c r="H90" s="54"/>
      <c r="Q90" s="12" t="s">
        <v>159</v>
      </c>
      <c r="R90" s="59"/>
      <c r="S90" s="54"/>
      <c r="T90" s="54"/>
      <c r="U90" s="54"/>
      <c r="V90" s="54"/>
      <c r="W90" s="54"/>
      <c r="X90" s="2"/>
      <c r="Y90" s="2"/>
      <c r="Z90" s="2"/>
      <c r="AA90" s="2"/>
      <c r="AB90" s="2"/>
      <c r="AC90" s="386">
        <f>+AC88+AC89</f>
        <v>0.83920560389509891</v>
      </c>
      <c r="AJ90" s="71"/>
    </row>
    <row r="91" spans="1:36" ht="16.5" thickBot="1" x14ac:dyDescent="0.3">
      <c r="F91" s="54"/>
      <c r="G91" s="54"/>
      <c r="H91" s="54"/>
      <c r="I91" s="54"/>
      <c r="Q91" s="66"/>
      <c r="R91" s="67"/>
      <c r="S91" s="67"/>
      <c r="T91" s="67"/>
      <c r="U91" s="67"/>
      <c r="V91" s="67"/>
      <c r="W91" s="67"/>
      <c r="X91" s="15"/>
      <c r="Y91" s="15"/>
      <c r="Z91" s="15"/>
      <c r="AA91" s="15"/>
      <c r="AB91" s="15"/>
      <c r="AC91" s="261"/>
    </row>
    <row r="92" spans="1:36" x14ac:dyDescent="0.25">
      <c r="F92" s="54"/>
      <c r="G92" s="54"/>
      <c r="H92" s="54"/>
      <c r="I92" s="54"/>
    </row>
    <row r="93" spans="1:36" s="19" customFormat="1" ht="15.75" x14ac:dyDescent="0.25">
      <c r="J93" s="262" t="s">
        <v>2</v>
      </c>
      <c r="L93" s="263"/>
      <c r="M93" s="263"/>
      <c r="N93" s="263"/>
      <c r="O93" s="263"/>
      <c r="P93" s="263"/>
    </row>
    <row r="94" spans="1:36" s="19" customFormat="1" ht="15.75" x14ac:dyDescent="0.25">
      <c r="J94" s="262" t="s">
        <v>0</v>
      </c>
      <c r="L94" s="263"/>
      <c r="M94" s="263"/>
      <c r="N94" s="263"/>
      <c r="O94" s="263"/>
      <c r="P94" s="263"/>
    </row>
    <row r="95" spans="1:36" s="19" customFormat="1" ht="15.75" x14ac:dyDescent="0.25">
      <c r="J95" s="262" t="s">
        <v>160</v>
      </c>
      <c r="L95" s="263"/>
      <c r="M95" s="263"/>
      <c r="N95" s="263"/>
      <c r="O95" s="263"/>
      <c r="P95" s="263"/>
    </row>
    <row r="96" spans="1:36" s="19" customFormat="1" ht="15.75" x14ac:dyDescent="0.25">
      <c r="A96" s="397" t="str">
        <f>+H4</f>
        <v xml:space="preserve"> MUNICIPAL WATER</v>
      </c>
      <c r="B96" s="397"/>
      <c r="C96" s="397"/>
      <c r="D96" s="397"/>
      <c r="E96" s="397"/>
      <c r="F96" s="397"/>
      <c r="G96" s="397"/>
      <c r="H96" s="397"/>
      <c r="I96" s="397"/>
      <c r="J96" s="397"/>
      <c r="K96" s="264"/>
      <c r="L96" s="264"/>
      <c r="M96" s="264"/>
      <c r="N96" s="264"/>
      <c r="O96" s="264"/>
      <c r="P96" s="264"/>
    </row>
    <row r="97" spans="1:29" s="19" customFormat="1" ht="15.75" x14ac:dyDescent="0.25">
      <c r="A97" s="397" t="str">
        <f>+H5</f>
        <v>CAUSE NUMBER XXXXX</v>
      </c>
      <c r="B97" s="397"/>
      <c r="C97" s="397"/>
      <c r="D97" s="397"/>
      <c r="E97" s="397"/>
      <c r="F97" s="397"/>
      <c r="G97" s="397"/>
      <c r="H97" s="397"/>
      <c r="I97" s="397"/>
      <c r="J97" s="397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3"/>
      <c r="Z97" s="263"/>
    </row>
    <row r="98" spans="1:29" s="19" customFormat="1" ht="15.75" x14ac:dyDescent="0.25">
      <c r="E98" s="263"/>
      <c r="F98" s="263"/>
      <c r="G98" s="263"/>
      <c r="H98" s="265"/>
      <c r="I98" s="265"/>
      <c r="J98" s="265"/>
      <c r="K98" s="265"/>
      <c r="L98" s="265"/>
      <c r="M98" s="263"/>
      <c r="N98" s="263"/>
      <c r="O98" s="263"/>
      <c r="P98" s="263"/>
      <c r="Q98" s="263"/>
      <c r="R98" s="263"/>
      <c r="S98" s="263"/>
      <c r="T98" s="265"/>
      <c r="U98" s="265"/>
      <c r="V98" s="265"/>
      <c r="W98" s="265"/>
      <c r="X98" s="263"/>
      <c r="Y98" s="263"/>
      <c r="Z98" s="263"/>
    </row>
    <row r="99" spans="1:29" s="19" customFormat="1" ht="15.75" x14ac:dyDescent="0.25">
      <c r="A99" s="397" t="s">
        <v>161</v>
      </c>
      <c r="B99" s="397"/>
      <c r="C99" s="397"/>
      <c r="D99" s="397"/>
      <c r="E99" s="397"/>
      <c r="F99" s="397"/>
      <c r="G99" s="397"/>
      <c r="H99" s="397"/>
      <c r="I99" s="397"/>
      <c r="J99" s="397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3"/>
      <c r="Z99" s="263"/>
    </row>
    <row r="100" spans="1:29" s="19" customFormat="1" ht="15.75" x14ac:dyDescent="0.25">
      <c r="A100" s="398" t="s">
        <v>162</v>
      </c>
      <c r="B100" s="398"/>
      <c r="C100" s="398"/>
      <c r="D100" s="398"/>
      <c r="E100" s="398"/>
      <c r="F100" s="398"/>
      <c r="G100" s="398"/>
      <c r="H100" s="398"/>
      <c r="I100" s="398"/>
      <c r="J100" s="398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3"/>
      <c r="Z100" s="263"/>
    </row>
    <row r="101" spans="1:29" s="19" customFormat="1" ht="16.5" thickBot="1" x14ac:dyDescent="0.3">
      <c r="E101" s="263"/>
      <c r="F101" s="263"/>
      <c r="G101" s="263"/>
      <c r="H101" s="267"/>
      <c r="I101" s="267"/>
      <c r="J101" s="267"/>
      <c r="K101" s="267"/>
      <c r="L101" s="267"/>
      <c r="M101" s="263"/>
      <c r="N101" s="263"/>
      <c r="O101" s="263"/>
      <c r="P101" s="263"/>
      <c r="Q101" s="263"/>
      <c r="R101" s="263"/>
      <c r="S101" s="263"/>
      <c r="T101" s="268"/>
      <c r="U101" s="268"/>
      <c r="V101" s="268"/>
      <c r="W101" s="268"/>
      <c r="X101" s="263"/>
      <c r="Y101" s="263"/>
      <c r="Z101" s="263"/>
    </row>
    <row r="102" spans="1:29" s="19" customFormat="1" ht="15.75" x14ac:dyDescent="0.25">
      <c r="C102" s="448" t="s">
        <v>163</v>
      </c>
      <c r="D102" s="449"/>
      <c r="E102" s="450" t="s">
        <v>163</v>
      </c>
      <c r="F102" s="449"/>
      <c r="G102" s="449"/>
      <c r="H102" s="449"/>
      <c r="I102" s="451" t="s">
        <v>2</v>
      </c>
      <c r="K102" s="269"/>
      <c r="M102" s="263"/>
      <c r="N102" s="269"/>
      <c r="O102" s="269"/>
      <c r="P102" s="269"/>
      <c r="Q102" s="269"/>
      <c r="R102" s="269"/>
      <c r="S102" s="269"/>
      <c r="T102" s="269"/>
      <c r="U102" s="270"/>
      <c r="V102" s="270"/>
      <c r="W102" s="270"/>
      <c r="X102" s="269"/>
      <c r="Y102" s="263"/>
      <c r="Z102" s="263"/>
    </row>
    <row r="103" spans="1:29" s="19" customFormat="1" ht="15" customHeight="1" x14ac:dyDescent="0.25">
      <c r="C103" s="452" t="s">
        <v>20</v>
      </c>
      <c r="D103" s="263"/>
      <c r="E103" s="271" t="s">
        <v>2</v>
      </c>
      <c r="F103" s="263"/>
      <c r="G103" s="263"/>
      <c r="H103" s="263"/>
      <c r="I103" s="453" t="s">
        <v>21</v>
      </c>
      <c r="K103" s="269"/>
      <c r="M103" s="263"/>
      <c r="N103" s="271"/>
      <c r="O103" s="269"/>
      <c r="P103" s="272"/>
      <c r="Q103" s="272"/>
      <c r="R103" s="272"/>
      <c r="S103" s="272"/>
      <c r="T103" s="272"/>
      <c r="U103" s="263"/>
      <c r="V103" s="263"/>
      <c r="W103" s="263"/>
      <c r="X103" s="272"/>
      <c r="Y103" s="263"/>
      <c r="Z103" s="263"/>
      <c r="AA103" s="263"/>
      <c r="AB103" s="263"/>
      <c r="AC103" s="263"/>
    </row>
    <row r="104" spans="1:29" s="19" customFormat="1" ht="16.5" thickBot="1" x14ac:dyDescent="0.3">
      <c r="A104" s="62" t="s">
        <v>44</v>
      </c>
      <c r="B104" s="62"/>
      <c r="C104" s="14"/>
      <c r="D104" s="467"/>
      <c r="E104" s="467"/>
      <c r="F104" s="467"/>
      <c r="G104" s="464"/>
      <c r="H104" s="464"/>
      <c r="I104" s="468"/>
      <c r="J104" s="273"/>
      <c r="K104" s="27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</row>
    <row r="105" spans="1:29" s="19" customFormat="1" ht="15.75" x14ac:dyDescent="0.25">
      <c r="A105" s="62"/>
      <c r="B105" s="62" t="s">
        <v>45</v>
      </c>
      <c r="C105" s="12"/>
      <c r="D105" s="139"/>
      <c r="E105" s="139"/>
      <c r="F105" s="139"/>
      <c r="G105" s="263"/>
      <c r="H105" s="263"/>
      <c r="I105" s="446"/>
      <c r="J105" s="139"/>
      <c r="K105" s="139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</row>
    <row r="106" spans="1:29" s="19" customFormat="1" ht="15.75" x14ac:dyDescent="0.25">
      <c r="A106" s="62"/>
      <c r="B106" s="62" t="s">
        <v>164</v>
      </c>
      <c r="C106" s="454">
        <v>1873085</v>
      </c>
      <c r="D106" s="139"/>
      <c r="E106" s="275">
        <f>+'Sch 4'!I13</f>
        <v>2625043</v>
      </c>
      <c r="F106" s="139"/>
      <c r="G106" s="263"/>
      <c r="H106" s="263"/>
      <c r="I106" s="455">
        <f>+E106-C106</f>
        <v>751958</v>
      </c>
      <c r="J106" s="139">
        <f>+F106-D106</f>
        <v>0</v>
      </c>
      <c r="K106" s="276"/>
      <c r="M106" s="263"/>
      <c r="N106" s="275"/>
      <c r="O106" s="263"/>
      <c r="P106" s="263"/>
      <c r="Q106" s="263"/>
      <c r="R106" s="263"/>
      <c r="S106" s="263"/>
      <c r="T106" s="275"/>
      <c r="U106" s="263"/>
      <c r="V106" s="263"/>
      <c r="W106" s="263"/>
      <c r="X106" s="277"/>
      <c r="Y106" s="263"/>
      <c r="Z106" s="263"/>
      <c r="AA106" s="263"/>
      <c r="AB106" s="263"/>
      <c r="AC106" s="263"/>
    </row>
    <row r="107" spans="1:29" s="19" customFormat="1" ht="15.75" x14ac:dyDescent="0.25">
      <c r="A107" s="62"/>
      <c r="B107" s="62" t="s">
        <v>165</v>
      </c>
      <c r="C107" s="456">
        <v>1366303</v>
      </c>
      <c r="D107" s="143"/>
      <c r="E107" s="275">
        <f>+'Sch 4'!I14</f>
        <v>1167851</v>
      </c>
      <c r="F107" s="143"/>
      <c r="G107" s="263"/>
      <c r="H107" s="263"/>
      <c r="I107" s="457">
        <f t="shared" ref="I107:I113" si="11">+E107-C107</f>
        <v>-198452</v>
      </c>
      <c r="J107" s="143">
        <f>+F107-D107</f>
        <v>0</v>
      </c>
      <c r="K107" s="143"/>
      <c r="M107" s="263"/>
      <c r="N107" s="279"/>
      <c r="O107" s="263"/>
      <c r="P107" s="263"/>
      <c r="Q107" s="263"/>
      <c r="R107" s="263"/>
      <c r="S107" s="263"/>
      <c r="T107" s="279"/>
      <c r="U107" s="263"/>
      <c r="V107" s="263"/>
      <c r="W107" s="263"/>
      <c r="X107" s="279"/>
      <c r="Y107" s="263"/>
      <c r="Z107" s="263"/>
      <c r="AA107" s="263"/>
      <c r="AB107" s="263"/>
      <c r="AC107" s="263"/>
    </row>
    <row r="108" spans="1:29" s="19" customFormat="1" ht="15.75" x14ac:dyDescent="0.25">
      <c r="A108" s="62"/>
      <c r="B108" s="62" t="s">
        <v>166</v>
      </c>
      <c r="C108" s="456">
        <v>362807</v>
      </c>
      <c r="D108" s="143"/>
      <c r="E108" s="275">
        <f>+'Sch 4'!I15</f>
        <v>380346</v>
      </c>
      <c r="F108" s="143"/>
      <c r="G108" s="263"/>
      <c r="H108" s="263"/>
      <c r="I108" s="457">
        <f t="shared" si="11"/>
        <v>17539</v>
      </c>
      <c r="J108" s="143">
        <f>+F108-D108</f>
        <v>0</v>
      </c>
      <c r="K108" s="143"/>
      <c r="M108" s="263"/>
      <c r="N108" s="279"/>
      <c r="O108" s="263"/>
      <c r="P108" s="263"/>
      <c r="Q108" s="263"/>
      <c r="R108" s="263"/>
      <c r="S108" s="263"/>
      <c r="T108" s="279"/>
      <c r="U108" s="263"/>
      <c r="V108" s="263"/>
      <c r="W108" s="263"/>
      <c r="X108" s="279"/>
      <c r="Y108" s="263"/>
      <c r="Z108" s="263"/>
      <c r="AA108" s="263"/>
      <c r="AB108" s="263"/>
      <c r="AC108" s="263"/>
    </row>
    <row r="109" spans="1:29" s="19" customFormat="1" ht="15.75" x14ac:dyDescent="0.25">
      <c r="A109" s="62"/>
      <c r="B109" s="62" t="s">
        <v>167</v>
      </c>
      <c r="C109" s="456">
        <v>177713</v>
      </c>
      <c r="D109" s="143"/>
      <c r="E109" s="275">
        <f>+'Sch 4'!I16</f>
        <v>202618</v>
      </c>
      <c r="F109" s="143"/>
      <c r="G109" s="263"/>
      <c r="H109" s="263"/>
      <c r="I109" s="457">
        <f>+E109-C109</f>
        <v>24905</v>
      </c>
      <c r="K109" s="143"/>
      <c r="M109" s="263"/>
      <c r="N109" s="279"/>
      <c r="O109" s="263"/>
      <c r="P109" s="263"/>
      <c r="Q109" s="263"/>
      <c r="R109" s="263"/>
      <c r="S109" s="263"/>
      <c r="T109" s="279"/>
      <c r="U109" s="263"/>
      <c r="V109" s="263"/>
      <c r="W109" s="263"/>
      <c r="X109" s="279"/>
      <c r="Y109" s="263"/>
      <c r="Z109" s="263"/>
      <c r="AA109" s="263"/>
      <c r="AB109" s="263"/>
      <c r="AC109" s="263"/>
    </row>
    <row r="110" spans="1:29" s="19" customFormat="1" ht="15.75" x14ac:dyDescent="0.25">
      <c r="A110" s="62"/>
      <c r="B110" s="62" t="s">
        <v>168</v>
      </c>
      <c r="C110" s="456">
        <v>291942</v>
      </c>
      <c r="D110" s="143"/>
      <c r="E110" s="275">
        <f>+'Sch 4'!I17</f>
        <v>305633</v>
      </c>
      <c r="F110" s="143"/>
      <c r="G110" s="263"/>
      <c r="H110" s="263"/>
      <c r="I110" s="457">
        <f t="shared" si="11"/>
        <v>13691</v>
      </c>
      <c r="J110" s="143">
        <f>+F109-D109</f>
        <v>0</v>
      </c>
      <c r="K110" s="143"/>
      <c r="M110" s="263"/>
      <c r="N110" s="279"/>
      <c r="O110" s="263"/>
      <c r="P110" s="263"/>
      <c r="Q110" s="263"/>
      <c r="R110" s="263"/>
      <c r="S110" s="263"/>
      <c r="T110" s="279"/>
      <c r="U110" s="263"/>
      <c r="V110" s="263"/>
      <c r="W110" s="263"/>
      <c r="X110" s="279"/>
      <c r="Y110" s="263"/>
      <c r="Z110" s="263"/>
      <c r="AA110" s="263"/>
      <c r="AB110" s="263"/>
      <c r="AC110" s="263"/>
    </row>
    <row r="111" spans="1:29" s="19" customFormat="1" ht="15.75" x14ac:dyDescent="0.25">
      <c r="A111" s="62"/>
      <c r="B111" s="62" t="s">
        <v>51</v>
      </c>
      <c r="C111" s="57">
        <v>686092</v>
      </c>
      <c r="D111" s="143"/>
      <c r="E111" s="275">
        <f>+'Sch 4'!I19+'Sch 4'!I21+'Sch 4'!I20</f>
        <v>362896</v>
      </c>
      <c r="F111" s="143"/>
      <c r="G111" s="263"/>
      <c r="H111" s="263"/>
      <c r="I111" s="457">
        <f t="shared" si="11"/>
        <v>-323196</v>
      </c>
      <c r="J111" s="143">
        <f>+F111-D111</f>
        <v>0</v>
      </c>
      <c r="K111" s="276"/>
      <c r="M111" s="263"/>
      <c r="N111" s="279"/>
      <c r="O111" s="263"/>
      <c r="P111" s="263"/>
      <c r="Q111" s="263"/>
      <c r="R111" s="263"/>
      <c r="S111" s="263"/>
      <c r="T111" s="279"/>
      <c r="U111" s="263"/>
      <c r="V111" s="263"/>
      <c r="W111" s="263"/>
      <c r="X111" s="279"/>
      <c r="Y111" s="263"/>
      <c r="Z111" s="263"/>
      <c r="AA111" s="263"/>
      <c r="AB111" s="263"/>
      <c r="AC111" s="263"/>
    </row>
    <row r="112" spans="1:29" s="19" customFormat="1" ht="15.75" x14ac:dyDescent="0.25">
      <c r="A112" s="62"/>
      <c r="B112" s="62" t="s">
        <v>169</v>
      </c>
      <c r="C112" s="57">
        <v>26979</v>
      </c>
      <c r="D112" s="279"/>
      <c r="E112" s="275">
        <f>+'Sch 4'!I22</f>
        <v>26979</v>
      </c>
      <c r="F112" s="143"/>
      <c r="G112" s="263"/>
      <c r="H112" s="263"/>
      <c r="I112" s="457">
        <f t="shared" si="11"/>
        <v>0</v>
      </c>
      <c r="J112" s="143">
        <f>+F112-D112</f>
        <v>0</v>
      </c>
      <c r="K112" s="263"/>
      <c r="M112" s="263"/>
      <c r="N112" s="279"/>
      <c r="O112" s="263"/>
      <c r="P112" s="263"/>
      <c r="Q112" s="263"/>
      <c r="R112" s="263"/>
      <c r="S112" s="263"/>
      <c r="T112" s="279"/>
      <c r="U112" s="263"/>
      <c r="V112" s="263"/>
      <c r="W112" s="263"/>
      <c r="X112" s="279"/>
      <c r="Y112" s="263"/>
      <c r="Z112" s="263"/>
      <c r="AA112" s="263"/>
      <c r="AB112" s="263"/>
      <c r="AC112" s="263"/>
    </row>
    <row r="113" spans="1:29" s="19" customFormat="1" ht="15.75" x14ac:dyDescent="0.25">
      <c r="A113" s="62"/>
      <c r="B113" s="62" t="s">
        <v>8</v>
      </c>
      <c r="C113" s="57">
        <v>67194</v>
      </c>
      <c r="D113" s="279"/>
      <c r="E113" s="275">
        <f>+'Sch 4'!I24</f>
        <v>67194</v>
      </c>
      <c r="F113" s="143"/>
      <c r="G113" s="263"/>
      <c r="H113" s="263"/>
      <c r="I113" s="457">
        <f t="shared" si="11"/>
        <v>0</v>
      </c>
      <c r="J113" s="143">
        <f>+F113-D113</f>
        <v>0</v>
      </c>
      <c r="K113" s="263"/>
      <c r="M113" s="263"/>
      <c r="N113" s="279"/>
      <c r="O113" s="263"/>
      <c r="P113" s="263"/>
      <c r="Q113" s="263"/>
      <c r="R113" s="263"/>
      <c r="S113" s="263"/>
      <c r="T113" s="279"/>
      <c r="U113" s="263"/>
      <c r="V113" s="263"/>
      <c r="W113" s="263"/>
      <c r="X113" s="279"/>
      <c r="Y113" s="263"/>
      <c r="Z113" s="263"/>
      <c r="AA113" s="263"/>
      <c r="AB113" s="263"/>
      <c r="AC113" s="263"/>
    </row>
    <row r="114" spans="1:29" s="19" customFormat="1" ht="15.75" x14ac:dyDescent="0.25">
      <c r="A114" s="62"/>
      <c r="B114" s="62"/>
      <c r="C114" s="458">
        <f>SUM(C105:C113)</f>
        <v>4852115</v>
      </c>
      <c r="D114" s="263"/>
      <c r="E114" s="281">
        <f>SUM(E105:E113)</f>
        <v>5138560</v>
      </c>
      <c r="F114" s="263"/>
      <c r="G114" s="263"/>
      <c r="H114" s="263"/>
      <c r="I114" s="459">
        <f>SUM(I105:I113)</f>
        <v>286445</v>
      </c>
      <c r="J114" s="263"/>
      <c r="K114" s="282"/>
      <c r="L114" s="263"/>
      <c r="M114" s="281"/>
      <c r="N114" s="263"/>
      <c r="O114" s="263"/>
      <c r="P114" s="263"/>
      <c r="Q114" s="283"/>
      <c r="R114" s="263"/>
      <c r="S114" s="263"/>
      <c r="T114" s="263"/>
      <c r="U114" s="283"/>
      <c r="V114" s="263"/>
      <c r="W114" s="263"/>
      <c r="X114" s="263"/>
      <c r="Y114" s="283"/>
      <c r="Z114" s="263"/>
      <c r="AA114" s="263"/>
      <c r="AB114" s="263"/>
      <c r="AC114" s="263"/>
    </row>
    <row r="115" spans="1:29" s="19" customFormat="1" ht="15.75" x14ac:dyDescent="0.25">
      <c r="A115" s="62" t="s">
        <v>114</v>
      </c>
      <c r="B115" s="62"/>
      <c r="C115" s="57"/>
      <c r="D115" s="283"/>
      <c r="E115" s="279"/>
      <c r="F115" s="279"/>
      <c r="G115" s="279"/>
      <c r="H115" s="279"/>
      <c r="I115" s="457"/>
      <c r="J115" s="279"/>
      <c r="K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</row>
    <row r="116" spans="1:29" s="19" customFormat="1" ht="15.75" x14ac:dyDescent="0.25">
      <c r="A116" s="62"/>
      <c r="B116" s="73" t="s">
        <v>58</v>
      </c>
      <c r="C116" s="57">
        <v>1027839</v>
      </c>
      <c r="D116" s="279"/>
      <c r="E116" s="279">
        <f>+'Sch 4'!I28</f>
        <v>1027839</v>
      </c>
      <c r="F116" s="279"/>
      <c r="G116" s="279"/>
      <c r="H116" s="279"/>
      <c r="I116" s="457">
        <f>+E116-C116</f>
        <v>0</v>
      </c>
      <c r="J116" s="279">
        <f>+F116-D116</f>
        <v>0</v>
      </c>
      <c r="K116" s="263"/>
      <c r="M116" s="263"/>
      <c r="N116" s="279"/>
      <c r="O116" s="279"/>
      <c r="P116" s="279"/>
      <c r="Q116" s="279"/>
      <c r="R116" s="279"/>
      <c r="S116" s="279"/>
      <c r="T116" s="279"/>
      <c r="U116" s="263"/>
      <c r="V116" s="263"/>
      <c r="W116" s="263"/>
      <c r="X116" s="279"/>
      <c r="Y116" s="263"/>
      <c r="Z116" s="263"/>
      <c r="AA116" s="263"/>
      <c r="AB116" s="263"/>
      <c r="AC116" s="263"/>
    </row>
    <row r="117" spans="1:29" s="19" customFormat="1" ht="15.75" x14ac:dyDescent="0.25">
      <c r="A117" s="62"/>
      <c r="B117" s="73" t="s">
        <v>59</v>
      </c>
      <c r="C117" s="57"/>
      <c r="D117" s="279"/>
      <c r="E117" s="279"/>
      <c r="F117" s="279"/>
      <c r="G117" s="279"/>
      <c r="H117" s="279"/>
      <c r="I117" s="457"/>
      <c r="J117" s="279">
        <f>+F117-D117</f>
        <v>0</v>
      </c>
      <c r="K117" s="263"/>
      <c r="M117" s="263"/>
      <c r="N117" s="279"/>
      <c r="O117" s="263"/>
      <c r="P117" s="263"/>
      <c r="Q117" s="263"/>
      <c r="R117" s="263"/>
      <c r="S117" s="263"/>
      <c r="T117" s="279"/>
      <c r="U117" s="263"/>
      <c r="V117" s="263"/>
      <c r="W117" s="263"/>
      <c r="X117" s="279"/>
      <c r="Y117" s="263"/>
      <c r="Z117" s="263"/>
      <c r="AA117" s="263"/>
      <c r="AB117" s="263"/>
      <c r="AC117" s="263"/>
    </row>
    <row r="118" spans="1:29" s="19" customFormat="1" ht="15.75" x14ac:dyDescent="0.25">
      <c r="A118" s="62"/>
      <c r="B118" s="73" t="s">
        <v>170</v>
      </c>
      <c r="C118" s="57">
        <v>89092</v>
      </c>
      <c r="D118" s="279"/>
      <c r="E118" s="279">
        <f>+'Sch 4'!I30</f>
        <v>89092</v>
      </c>
      <c r="F118" s="279"/>
      <c r="G118" s="279"/>
      <c r="H118" s="279"/>
      <c r="I118" s="457">
        <f t="shared" ref="I118:J133" si="12">+E118-C118</f>
        <v>0</v>
      </c>
      <c r="J118" s="279"/>
      <c r="K118" s="263"/>
      <c r="M118" s="263"/>
      <c r="N118" s="279"/>
      <c r="O118" s="263"/>
      <c r="P118" s="263"/>
      <c r="Q118" s="263"/>
      <c r="R118" s="263"/>
      <c r="S118" s="263"/>
      <c r="T118" s="279"/>
      <c r="U118" s="263"/>
      <c r="V118" s="263"/>
      <c r="W118" s="263"/>
      <c r="X118" s="279"/>
      <c r="Y118" s="263"/>
      <c r="Z118" s="263"/>
      <c r="AA118" s="263"/>
      <c r="AB118" s="263"/>
      <c r="AC118" s="263"/>
    </row>
    <row r="119" spans="1:29" s="19" customFormat="1" ht="15.75" x14ac:dyDescent="0.25">
      <c r="A119" s="62"/>
      <c r="B119" s="73" t="s">
        <v>171</v>
      </c>
      <c r="C119" s="57">
        <v>201371</v>
      </c>
      <c r="D119" s="279"/>
      <c r="E119" s="279">
        <f>+'Sch 4'!I31</f>
        <v>-200111</v>
      </c>
      <c r="F119" s="279"/>
      <c r="G119" s="279"/>
      <c r="H119" s="279"/>
      <c r="I119" s="457">
        <f t="shared" si="12"/>
        <v>-401482</v>
      </c>
      <c r="J119" s="279"/>
      <c r="K119" s="263"/>
      <c r="M119" s="263"/>
      <c r="N119" s="279"/>
      <c r="O119" s="263"/>
      <c r="P119" s="263"/>
      <c r="Q119" s="263"/>
      <c r="R119" s="263"/>
      <c r="S119" s="263"/>
      <c r="T119" s="279"/>
      <c r="U119" s="263"/>
      <c r="V119" s="263"/>
      <c r="W119" s="263"/>
      <c r="X119" s="279"/>
      <c r="Y119" s="263"/>
      <c r="Z119" s="263"/>
      <c r="AA119" s="263"/>
      <c r="AB119" s="263"/>
      <c r="AC119" s="263"/>
    </row>
    <row r="120" spans="1:29" s="19" customFormat="1" ht="15.75" x14ac:dyDescent="0.25">
      <c r="A120" s="62"/>
      <c r="B120" s="73" t="s">
        <v>172</v>
      </c>
      <c r="C120" s="57">
        <v>1008258</v>
      </c>
      <c r="D120" s="279"/>
      <c r="E120" s="279">
        <f>+'Sch 4'!I32</f>
        <v>1008258</v>
      </c>
      <c r="F120" s="279"/>
      <c r="G120" s="279"/>
      <c r="H120" s="279"/>
      <c r="I120" s="457">
        <f t="shared" si="12"/>
        <v>0</v>
      </c>
      <c r="J120" s="279"/>
      <c r="K120" s="263"/>
      <c r="M120" s="263"/>
      <c r="N120" s="279"/>
      <c r="O120" s="263"/>
      <c r="P120" s="263"/>
      <c r="Q120" s="263"/>
      <c r="R120" s="263"/>
      <c r="S120" s="263"/>
      <c r="T120" s="279"/>
      <c r="U120" s="263"/>
      <c r="V120" s="263"/>
      <c r="W120" s="263"/>
      <c r="X120" s="279"/>
      <c r="Y120" s="263"/>
      <c r="Z120" s="263"/>
      <c r="AA120" s="263"/>
      <c r="AB120" s="263"/>
      <c r="AC120" s="263"/>
    </row>
    <row r="121" spans="1:29" s="19" customFormat="1" ht="15.75" x14ac:dyDescent="0.25">
      <c r="A121" s="62"/>
      <c r="B121" s="73" t="s">
        <v>173</v>
      </c>
      <c r="C121" s="57">
        <v>-5584</v>
      </c>
      <c r="D121" s="279"/>
      <c r="E121" s="279">
        <f>+'Sch 4'!I33</f>
        <v>-5584</v>
      </c>
      <c r="F121" s="279"/>
      <c r="G121" s="279"/>
      <c r="H121" s="279"/>
      <c r="I121" s="457">
        <f t="shared" si="12"/>
        <v>0</v>
      </c>
      <c r="J121" s="279"/>
      <c r="K121" s="263"/>
      <c r="M121" s="263"/>
      <c r="N121" s="279"/>
      <c r="O121" s="263"/>
      <c r="P121" s="263"/>
      <c r="Q121" s="263"/>
      <c r="R121" s="263"/>
      <c r="S121" s="263"/>
      <c r="T121" s="279"/>
      <c r="U121" s="263"/>
      <c r="V121" s="263"/>
      <c r="W121" s="263"/>
      <c r="X121" s="279"/>
      <c r="Y121" s="263"/>
      <c r="Z121" s="263"/>
      <c r="AA121" s="263"/>
      <c r="AB121" s="263"/>
      <c r="AC121" s="263"/>
    </row>
    <row r="122" spans="1:29" s="19" customFormat="1" ht="15.75" x14ac:dyDescent="0.25">
      <c r="A122" s="62"/>
      <c r="B122" s="73" t="s">
        <v>174</v>
      </c>
      <c r="C122" s="57">
        <v>55</v>
      </c>
      <c r="D122" s="279"/>
      <c r="E122" s="279">
        <f>+'Sch 4'!I34</f>
        <v>55</v>
      </c>
      <c r="F122" s="279"/>
      <c r="G122" s="279"/>
      <c r="H122" s="279"/>
      <c r="I122" s="457">
        <f t="shared" si="12"/>
        <v>0</v>
      </c>
      <c r="J122" s="279"/>
      <c r="K122" s="263"/>
      <c r="M122" s="263"/>
      <c r="N122" s="279"/>
      <c r="O122" s="263"/>
      <c r="P122" s="263"/>
      <c r="Q122" s="263"/>
      <c r="R122" s="263"/>
      <c r="S122" s="263"/>
      <c r="T122" s="279"/>
      <c r="U122" s="263"/>
      <c r="V122" s="263"/>
      <c r="W122" s="263"/>
      <c r="X122" s="279"/>
      <c r="Y122" s="263"/>
      <c r="Z122" s="263"/>
      <c r="AA122" s="263"/>
      <c r="AB122" s="263"/>
      <c r="AC122" s="263"/>
    </row>
    <row r="123" spans="1:29" s="19" customFormat="1" ht="15.75" x14ac:dyDescent="0.25">
      <c r="A123" s="62"/>
      <c r="B123" s="37" t="s">
        <v>60</v>
      </c>
      <c r="C123" s="57"/>
      <c r="D123" s="279"/>
      <c r="E123" s="279">
        <f>+'Sch 4'!I35</f>
        <v>0</v>
      </c>
      <c r="F123" s="279"/>
      <c r="G123" s="279"/>
      <c r="H123" s="279"/>
      <c r="I123" s="457">
        <f t="shared" si="12"/>
        <v>0</v>
      </c>
      <c r="J123" s="279">
        <f t="shared" si="12"/>
        <v>0</v>
      </c>
      <c r="K123" s="263"/>
      <c r="M123" s="263"/>
      <c r="N123" s="279"/>
      <c r="O123" s="263"/>
      <c r="P123" s="263"/>
      <c r="Q123" s="263"/>
      <c r="R123" s="263"/>
      <c r="S123" s="263"/>
      <c r="T123" s="279"/>
      <c r="U123" s="263"/>
      <c r="V123" s="263"/>
      <c r="W123" s="263"/>
      <c r="X123" s="279"/>
      <c r="Y123" s="263"/>
      <c r="Z123" s="263"/>
      <c r="AA123" s="263"/>
      <c r="AB123" s="263"/>
      <c r="AC123" s="263"/>
    </row>
    <row r="124" spans="1:29" s="19" customFormat="1" ht="15.75" x14ac:dyDescent="0.25">
      <c r="A124" s="62"/>
      <c r="B124" s="37" t="s">
        <v>61</v>
      </c>
      <c r="C124" s="57"/>
      <c r="D124" s="279"/>
      <c r="E124" s="279">
        <f>+'Sch 4'!I36</f>
        <v>0</v>
      </c>
      <c r="F124" s="279"/>
      <c r="G124" s="279"/>
      <c r="H124" s="279"/>
      <c r="I124" s="457">
        <f t="shared" si="12"/>
        <v>0</v>
      </c>
      <c r="J124" s="279">
        <f t="shared" si="12"/>
        <v>0</v>
      </c>
      <c r="K124" s="263"/>
      <c r="M124" s="263"/>
      <c r="N124" s="279"/>
      <c r="O124" s="263"/>
      <c r="P124" s="263"/>
      <c r="Q124" s="263"/>
      <c r="R124" s="263"/>
      <c r="S124" s="263"/>
      <c r="T124" s="279"/>
      <c r="U124" s="263"/>
      <c r="V124" s="263"/>
      <c r="W124" s="263"/>
      <c r="X124" s="279"/>
      <c r="Y124" s="263"/>
      <c r="Z124" s="263"/>
      <c r="AA124" s="263"/>
      <c r="AB124" s="263"/>
      <c r="AC124" s="263"/>
    </row>
    <row r="125" spans="1:29" s="19" customFormat="1" ht="15.75" x14ac:dyDescent="0.25">
      <c r="A125" s="62"/>
      <c r="B125" s="37" t="s">
        <v>62</v>
      </c>
      <c r="C125" s="57">
        <v>23438</v>
      </c>
      <c r="D125" s="279"/>
      <c r="E125" s="279">
        <f>+'Sch 4'!I37</f>
        <v>23438</v>
      </c>
      <c r="F125" s="279"/>
      <c r="G125" s="279"/>
      <c r="H125" s="279"/>
      <c r="I125" s="457">
        <f t="shared" si="12"/>
        <v>0</v>
      </c>
      <c r="J125" s="279">
        <f t="shared" si="12"/>
        <v>0</v>
      </c>
      <c r="K125" s="263"/>
      <c r="M125" s="263"/>
      <c r="N125" s="279"/>
      <c r="O125" s="263"/>
      <c r="P125" s="263"/>
      <c r="Q125" s="263"/>
      <c r="R125" s="263"/>
      <c r="S125" s="263"/>
      <c r="T125" s="279"/>
      <c r="U125" s="263"/>
      <c r="V125" s="263"/>
      <c r="W125" s="263"/>
      <c r="X125" s="279"/>
      <c r="Y125" s="263"/>
      <c r="Z125" s="263"/>
      <c r="AA125" s="263"/>
      <c r="AB125" s="263"/>
      <c r="AC125" s="263"/>
    </row>
    <row r="126" spans="1:29" s="19" customFormat="1" ht="15.75" x14ac:dyDescent="0.25">
      <c r="A126" s="62"/>
      <c r="B126" s="37" t="s">
        <v>63</v>
      </c>
      <c r="C126" s="57">
        <v>1972788</v>
      </c>
      <c r="D126" s="279"/>
      <c r="E126" s="279">
        <f>+'Sch 4'!I38</f>
        <v>999227</v>
      </c>
      <c r="F126" s="279"/>
      <c r="G126" s="279"/>
      <c r="H126" s="279"/>
      <c r="I126" s="457">
        <f t="shared" si="12"/>
        <v>-973561</v>
      </c>
      <c r="J126" s="279">
        <f t="shared" si="12"/>
        <v>0</v>
      </c>
      <c r="K126" s="263"/>
      <c r="M126" s="263"/>
      <c r="N126" s="279"/>
      <c r="O126" s="263"/>
      <c r="P126" s="263"/>
      <c r="Q126" s="263"/>
      <c r="R126" s="263"/>
      <c r="S126" s="263"/>
      <c r="T126" s="279"/>
      <c r="U126" s="263"/>
      <c r="V126" s="263"/>
      <c r="W126" s="263"/>
      <c r="X126" s="279"/>
      <c r="Y126" s="263"/>
      <c r="Z126" s="263"/>
      <c r="AA126" s="263"/>
      <c r="AB126" s="263"/>
      <c r="AC126" s="263"/>
    </row>
    <row r="127" spans="1:29" s="19" customFormat="1" ht="15.75" x14ac:dyDescent="0.25">
      <c r="A127" s="62"/>
      <c r="B127" s="37" t="s">
        <v>65</v>
      </c>
      <c r="C127" s="57">
        <v>155203</v>
      </c>
      <c r="D127" s="279"/>
      <c r="E127" s="279">
        <f>+'Sch 4'!I39</f>
        <v>155203</v>
      </c>
      <c r="F127" s="279"/>
      <c r="G127" s="279"/>
      <c r="H127" s="279"/>
      <c r="I127" s="457">
        <f t="shared" si="12"/>
        <v>0</v>
      </c>
      <c r="J127" s="279">
        <f t="shared" si="12"/>
        <v>0</v>
      </c>
      <c r="K127" s="263"/>
      <c r="M127" s="263"/>
      <c r="N127" s="279"/>
      <c r="O127" s="263"/>
      <c r="P127" s="263"/>
      <c r="Q127" s="263"/>
      <c r="R127" s="263"/>
      <c r="S127" s="263"/>
      <c r="T127" s="279"/>
      <c r="U127" s="263"/>
      <c r="V127" s="263"/>
      <c r="W127" s="263"/>
      <c r="X127" s="279"/>
      <c r="Y127" s="263"/>
      <c r="Z127" s="263"/>
      <c r="AA127" s="263"/>
      <c r="AB127" s="263"/>
      <c r="AC127" s="263"/>
    </row>
    <row r="128" spans="1:29" s="19" customFormat="1" ht="15.75" x14ac:dyDescent="0.25">
      <c r="A128" s="62"/>
      <c r="B128" s="37" t="s">
        <v>66</v>
      </c>
      <c r="C128" s="57">
        <v>131852</v>
      </c>
      <c r="D128" s="279"/>
      <c r="E128" s="279">
        <f>+'Sch 4'!I40</f>
        <v>131852</v>
      </c>
      <c r="F128" s="279"/>
      <c r="G128" s="279"/>
      <c r="H128" s="279"/>
      <c r="I128" s="457">
        <f t="shared" si="12"/>
        <v>0</v>
      </c>
      <c r="J128" s="279">
        <f t="shared" si="12"/>
        <v>0</v>
      </c>
      <c r="K128" s="263"/>
      <c r="M128" s="263"/>
      <c r="N128" s="279"/>
      <c r="O128" s="263"/>
      <c r="P128" s="263"/>
      <c r="Q128" s="263"/>
      <c r="R128" s="263"/>
      <c r="S128" s="263"/>
      <c r="T128" s="279"/>
      <c r="U128" s="263"/>
      <c r="V128" s="263"/>
      <c r="W128" s="263"/>
      <c r="X128" s="279"/>
      <c r="Y128" s="263"/>
      <c r="Z128" s="263"/>
      <c r="AA128" s="263"/>
      <c r="AB128" s="263"/>
      <c r="AC128" s="263"/>
    </row>
    <row r="129" spans="1:29" s="19" customFormat="1" ht="15.75" x14ac:dyDescent="0.25">
      <c r="A129" s="62"/>
      <c r="B129" s="37" t="s">
        <v>67</v>
      </c>
      <c r="C129" s="57"/>
      <c r="D129" s="279"/>
      <c r="E129" s="279">
        <f>+'Sch 4'!I41</f>
        <v>0</v>
      </c>
      <c r="F129" s="279"/>
      <c r="G129" s="279"/>
      <c r="H129" s="279"/>
      <c r="I129" s="457">
        <f t="shared" si="12"/>
        <v>0</v>
      </c>
      <c r="J129" s="279">
        <f t="shared" si="12"/>
        <v>0</v>
      </c>
      <c r="K129" s="263"/>
      <c r="M129" s="263"/>
      <c r="N129" s="279"/>
      <c r="O129" s="263"/>
      <c r="P129" s="263"/>
      <c r="Q129" s="263"/>
      <c r="R129" s="263"/>
      <c r="S129" s="263"/>
      <c r="T129" s="279"/>
      <c r="U129" s="263"/>
      <c r="V129" s="263"/>
      <c r="W129" s="263"/>
      <c r="X129" s="279"/>
      <c r="Y129" s="263"/>
      <c r="Z129" s="263"/>
      <c r="AA129" s="263"/>
      <c r="AB129" s="263"/>
      <c r="AC129" s="263"/>
    </row>
    <row r="130" spans="1:29" s="19" customFormat="1" ht="15.75" x14ac:dyDescent="0.25">
      <c r="A130" s="62"/>
      <c r="B130" s="37" t="s">
        <v>68</v>
      </c>
      <c r="C130" s="57"/>
      <c r="D130" s="279"/>
      <c r="E130" s="279">
        <f>+'Sch 4'!I42</f>
        <v>0</v>
      </c>
      <c r="F130" s="279"/>
      <c r="G130" s="279"/>
      <c r="H130" s="279"/>
      <c r="I130" s="457">
        <f t="shared" si="12"/>
        <v>0</v>
      </c>
      <c r="J130" s="279">
        <f t="shared" si="12"/>
        <v>0</v>
      </c>
      <c r="K130" s="263"/>
      <c r="M130" s="263"/>
      <c r="N130" s="279"/>
      <c r="O130" s="263"/>
      <c r="P130" s="263"/>
      <c r="Q130" s="263"/>
      <c r="R130" s="263"/>
      <c r="S130" s="263"/>
      <c r="T130" s="279"/>
      <c r="U130" s="263"/>
      <c r="V130" s="263"/>
      <c r="W130" s="263"/>
      <c r="X130" s="279"/>
      <c r="Y130" s="263"/>
      <c r="Z130" s="263"/>
      <c r="AA130" s="263"/>
      <c r="AB130" s="263"/>
      <c r="AC130" s="263"/>
    </row>
    <row r="131" spans="1:29" s="19" customFormat="1" ht="15.75" x14ac:dyDescent="0.25">
      <c r="A131" s="62"/>
      <c r="B131" s="37" t="s">
        <v>69</v>
      </c>
      <c r="C131" s="57">
        <v>22222</v>
      </c>
      <c r="D131" s="279"/>
      <c r="E131" s="279">
        <f>+'Sch 4'!I43</f>
        <v>26008</v>
      </c>
      <c r="F131" s="279"/>
      <c r="G131" s="279"/>
      <c r="H131" s="279"/>
      <c r="I131" s="457">
        <f t="shared" si="12"/>
        <v>3786</v>
      </c>
      <c r="J131" s="279">
        <f t="shared" si="12"/>
        <v>0</v>
      </c>
      <c r="K131" s="263"/>
      <c r="M131" s="263"/>
      <c r="N131" s="279"/>
      <c r="O131" s="263"/>
      <c r="P131" s="263"/>
      <c r="Q131" s="263"/>
      <c r="R131" s="263"/>
      <c r="S131" s="263"/>
      <c r="T131" s="279"/>
      <c r="U131" s="263"/>
      <c r="V131" s="263"/>
      <c r="W131" s="263"/>
      <c r="X131" s="279"/>
      <c r="Y131" s="263"/>
      <c r="Z131" s="263"/>
      <c r="AA131" s="263"/>
      <c r="AB131" s="263"/>
      <c r="AC131" s="263"/>
    </row>
    <row r="132" spans="1:29" s="19" customFormat="1" ht="15.75" x14ac:dyDescent="0.25">
      <c r="A132" s="62"/>
      <c r="B132" s="37" t="s">
        <v>70</v>
      </c>
      <c r="C132" s="57"/>
      <c r="D132" s="279"/>
      <c r="E132" s="279">
        <f>+'Sch 4'!I44</f>
        <v>0</v>
      </c>
      <c r="F132" s="279"/>
      <c r="G132" s="279"/>
      <c r="H132" s="279"/>
      <c r="I132" s="457">
        <f t="shared" si="12"/>
        <v>0</v>
      </c>
      <c r="J132" s="279">
        <f t="shared" si="12"/>
        <v>0</v>
      </c>
      <c r="K132" s="263"/>
      <c r="M132" s="263"/>
      <c r="N132" s="279"/>
      <c r="O132" s="263"/>
      <c r="P132" s="263"/>
      <c r="Q132" s="263"/>
      <c r="R132" s="263"/>
      <c r="S132" s="263"/>
      <c r="T132" s="279"/>
      <c r="U132" s="263"/>
      <c r="V132" s="263"/>
      <c r="W132" s="263"/>
      <c r="X132" s="279"/>
      <c r="Y132" s="263"/>
      <c r="Z132" s="263"/>
      <c r="AA132" s="263"/>
      <c r="AB132" s="263"/>
      <c r="AC132" s="263"/>
    </row>
    <row r="133" spans="1:29" s="19" customFormat="1" ht="15.75" x14ac:dyDescent="0.25">
      <c r="A133" s="62"/>
      <c r="B133" s="73" t="s">
        <v>120</v>
      </c>
      <c r="C133" s="57">
        <v>-203567</v>
      </c>
      <c r="D133" s="279"/>
      <c r="E133" s="279">
        <f>+'Sch 4'!I45</f>
        <v>-203567</v>
      </c>
      <c r="F133" s="279"/>
      <c r="G133" s="279"/>
      <c r="H133" s="279"/>
      <c r="I133" s="457">
        <f t="shared" si="12"/>
        <v>0</v>
      </c>
      <c r="J133" s="279">
        <f t="shared" si="12"/>
        <v>0</v>
      </c>
      <c r="K133" s="263"/>
      <c r="M133" s="263"/>
      <c r="N133" s="279"/>
      <c r="O133" s="263"/>
      <c r="P133" s="263"/>
      <c r="Q133" s="263"/>
      <c r="R133" s="263"/>
      <c r="S133" s="263"/>
      <c r="T133" s="279"/>
      <c r="U133" s="263"/>
      <c r="V133" s="263"/>
      <c r="W133" s="263"/>
      <c r="X133" s="279"/>
      <c r="Y133" s="263"/>
      <c r="Z133" s="263"/>
      <c r="AA133" s="263"/>
      <c r="AB133" s="263"/>
      <c r="AC133" s="263"/>
    </row>
    <row r="134" spans="1:29" s="19" customFormat="1" ht="15.75" x14ac:dyDescent="0.25">
      <c r="A134" s="62"/>
      <c r="B134" s="73" t="s">
        <v>121</v>
      </c>
      <c r="C134" s="57">
        <v>-450858</v>
      </c>
      <c r="D134" s="279"/>
      <c r="E134" s="279">
        <f>+'Sch 4'!I46</f>
        <v>-450858</v>
      </c>
      <c r="F134" s="279"/>
      <c r="G134" s="279"/>
      <c r="H134" s="279"/>
      <c r="I134" s="457">
        <f t="shared" ref="I134:I137" si="13">+E134-C134</f>
        <v>0</v>
      </c>
      <c r="J134" s="279"/>
      <c r="K134" s="263"/>
      <c r="M134" s="263"/>
      <c r="N134" s="279"/>
      <c r="O134" s="263"/>
      <c r="P134" s="263"/>
      <c r="Q134" s="263"/>
      <c r="R134" s="263"/>
      <c r="S134" s="263"/>
      <c r="T134" s="279"/>
      <c r="U134" s="263"/>
      <c r="V134" s="263"/>
      <c r="W134" s="263"/>
      <c r="X134" s="279"/>
      <c r="Y134" s="263"/>
      <c r="Z134" s="263"/>
      <c r="AA134" s="263"/>
      <c r="AB134" s="263"/>
      <c r="AC134" s="263"/>
    </row>
    <row r="135" spans="1:29" s="19" customFormat="1" ht="15.75" x14ac:dyDescent="0.25">
      <c r="A135" s="62"/>
      <c r="B135" s="73" t="s">
        <v>122</v>
      </c>
      <c r="C135" s="57">
        <v>625579</v>
      </c>
      <c r="D135" s="279"/>
      <c r="E135" s="279">
        <f>+'Sch 4'!I47</f>
        <v>625579</v>
      </c>
      <c r="F135" s="279"/>
      <c r="G135" s="279"/>
      <c r="H135" s="279"/>
      <c r="I135" s="457">
        <f t="shared" si="13"/>
        <v>0</v>
      </c>
      <c r="J135" s="279"/>
      <c r="K135" s="263"/>
      <c r="M135" s="263"/>
      <c r="N135" s="279"/>
      <c r="O135" s="263"/>
      <c r="P135" s="263"/>
      <c r="Q135" s="263"/>
      <c r="R135" s="263"/>
      <c r="S135" s="263"/>
      <c r="T135" s="279"/>
      <c r="U135" s="263"/>
      <c r="V135" s="263"/>
      <c r="W135" s="263"/>
      <c r="X135" s="279"/>
      <c r="Y135" s="263"/>
      <c r="Z135" s="263"/>
      <c r="AA135" s="263"/>
      <c r="AB135" s="263"/>
      <c r="AC135" s="263"/>
    </row>
    <row r="136" spans="1:29" s="19" customFormat="1" ht="15.75" x14ac:dyDescent="0.25">
      <c r="A136" s="62"/>
      <c r="B136" s="62"/>
      <c r="C136" s="57"/>
      <c r="D136" s="279"/>
      <c r="E136" s="279">
        <f>+'Sch 4'!I48</f>
        <v>0</v>
      </c>
      <c r="F136" s="279"/>
      <c r="G136" s="279"/>
      <c r="H136" s="279"/>
      <c r="I136" s="457"/>
      <c r="J136" s="279">
        <f>+F136-D136</f>
        <v>0</v>
      </c>
      <c r="K136" s="263"/>
      <c r="M136" s="263"/>
      <c r="N136" s="279"/>
      <c r="O136" s="263"/>
      <c r="P136" s="263"/>
      <c r="Q136" s="263"/>
      <c r="R136" s="263"/>
      <c r="S136" s="263"/>
      <c r="T136" s="279"/>
      <c r="U136" s="263"/>
      <c r="V136" s="263"/>
      <c r="W136" s="263"/>
      <c r="X136" s="279"/>
      <c r="Y136" s="263"/>
      <c r="Z136" s="263"/>
      <c r="AA136" s="263"/>
      <c r="AB136" s="263"/>
      <c r="AC136" s="263"/>
    </row>
    <row r="137" spans="1:29" s="19" customFormat="1" ht="15.75" x14ac:dyDescent="0.25">
      <c r="A137" s="62" t="s">
        <v>76</v>
      </c>
      <c r="B137" s="62"/>
      <c r="C137" s="57">
        <v>40863</v>
      </c>
      <c r="D137" s="279"/>
      <c r="E137" s="279">
        <f>+'Sch 4'!I53</f>
        <v>47277</v>
      </c>
      <c r="F137" s="279"/>
      <c r="G137" s="279"/>
      <c r="H137" s="279"/>
      <c r="I137" s="457">
        <f t="shared" si="13"/>
        <v>6414</v>
      </c>
      <c r="J137" s="279"/>
      <c r="K137" s="263"/>
      <c r="M137" s="263"/>
      <c r="N137" s="279"/>
      <c r="O137" s="263"/>
      <c r="P137" s="263"/>
      <c r="Q137" s="263"/>
      <c r="R137" s="263"/>
      <c r="S137" s="263"/>
      <c r="T137" s="279"/>
      <c r="U137" s="263"/>
      <c r="V137" s="263"/>
      <c r="W137" s="263"/>
      <c r="X137" s="279"/>
      <c r="Y137" s="263"/>
      <c r="Z137" s="263"/>
      <c r="AA137" s="263"/>
      <c r="AB137" s="263"/>
      <c r="AC137" s="263"/>
    </row>
    <row r="138" spans="1:29" s="19" customFormat="1" ht="15.75" x14ac:dyDescent="0.25">
      <c r="A138" s="62"/>
      <c r="B138" s="62"/>
      <c r="C138" s="57"/>
      <c r="D138" s="283"/>
      <c r="E138" s="279"/>
      <c r="F138" s="279"/>
      <c r="G138" s="279"/>
      <c r="H138" s="279"/>
      <c r="I138" s="457"/>
      <c r="J138" s="279"/>
      <c r="K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</row>
    <row r="139" spans="1:29" s="19" customFormat="1" ht="15.75" x14ac:dyDescent="0.25">
      <c r="A139" s="62"/>
      <c r="B139" s="62" t="s">
        <v>77</v>
      </c>
      <c r="C139" s="458">
        <f>SUM(C116:C138)</f>
        <v>4638551</v>
      </c>
      <c r="D139" s="283"/>
      <c r="E139" s="280">
        <f>SUM(E116:E138)</f>
        <v>3273708</v>
      </c>
      <c r="F139" s="279"/>
      <c r="G139" s="279"/>
      <c r="H139" s="279"/>
      <c r="I139" s="460">
        <f>SUM(I116:I138)</f>
        <v>-1364843</v>
      </c>
      <c r="J139" s="279"/>
      <c r="K139" s="277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</row>
    <row r="140" spans="1:29" s="19" customFormat="1" ht="15.75" x14ac:dyDescent="0.25">
      <c r="A140" s="62"/>
      <c r="B140" s="62"/>
      <c r="C140" s="12"/>
      <c r="D140" s="283"/>
      <c r="E140" s="279"/>
      <c r="F140" s="279"/>
      <c r="G140" s="279"/>
      <c r="H140" s="279"/>
      <c r="I140" s="457"/>
      <c r="J140" s="279"/>
      <c r="K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</row>
    <row r="141" spans="1:29" s="19" customFormat="1" ht="16.5" thickBot="1" x14ac:dyDescent="0.3">
      <c r="A141" s="62" t="s">
        <v>78</v>
      </c>
      <c r="B141" s="62"/>
      <c r="C141" s="461">
        <f>+C114-C139</f>
        <v>213564</v>
      </c>
      <c r="D141" s="263"/>
      <c r="E141" s="284">
        <f>+E114-E139</f>
        <v>1864852</v>
      </c>
      <c r="F141" s="279"/>
      <c r="G141" s="279"/>
      <c r="H141" s="279"/>
      <c r="I141" s="462">
        <f>+I114-I139</f>
        <v>1651288</v>
      </c>
      <c r="J141" s="279"/>
      <c r="L141" s="263"/>
      <c r="M141" s="284"/>
      <c r="N141" s="263"/>
      <c r="O141" s="284"/>
      <c r="P141" s="263"/>
      <c r="Q141" s="263"/>
      <c r="R141" s="263"/>
      <c r="S141" s="275"/>
      <c r="T141" s="263"/>
      <c r="U141" s="263"/>
      <c r="V141" s="263"/>
      <c r="W141" s="275"/>
      <c r="X141" s="263"/>
      <c r="Y141" s="263"/>
      <c r="Z141" s="263"/>
      <c r="AA141" s="263"/>
      <c r="AB141" s="263"/>
      <c r="AC141" s="263"/>
    </row>
    <row r="142" spans="1:29" s="19" customFormat="1" ht="17.25" thickTop="1" thickBot="1" x14ac:dyDescent="0.3">
      <c r="A142" s="62"/>
      <c r="B142" s="62"/>
      <c r="C142" s="463"/>
      <c r="D142" s="464"/>
      <c r="E142" s="465"/>
      <c r="F142" s="465"/>
      <c r="G142" s="465"/>
      <c r="H142" s="465"/>
      <c r="I142" s="466"/>
      <c r="J142" s="278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</row>
    <row r="143" spans="1:29" x14ac:dyDescent="0.25"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</row>
    <row r="144" spans="1:29" x14ac:dyDescent="0.25">
      <c r="B144" s="77" t="s">
        <v>175</v>
      </c>
      <c r="I144" s="71">
        <f>+I114+I29</f>
        <v>0</v>
      </c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</row>
    <row r="145" spans="2:29" x14ac:dyDescent="0.25">
      <c r="B145" s="77" t="s">
        <v>176</v>
      </c>
      <c r="I145" s="64">
        <f>+I139-I14</f>
        <v>0</v>
      </c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</row>
    <row r="146" spans="2:29" x14ac:dyDescent="0.25"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</row>
    <row r="147" spans="2:29" x14ac:dyDescent="0.25"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</row>
    <row r="148" spans="2:29" x14ac:dyDescent="0.25"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</row>
    <row r="153" spans="2:29" ht="15.75" x14ac:dyDescent="0.25">
      <c r="G153" s="62"/>
    </row>
    <row r="154" spans="2:29" ht="15.75" x14ac:dyDescent="0.25">
      <c r="G154" s="62"/>
    </row>
    <row r="155" spans="2:29" ht="15.75" x14ac:dyDescent="0.25">
      <c r="C155" s="71"/>
      <c r="G155" s="62"/>
    </row>
    <row r="156" spans="2:29" ht="15.75" x14ac:dyDescent="0.25">
      <c r="C156" s="71"/>
      <c r="E156" s="71"/>
      <c r="G156" s="62"/>
    </row>
    <row r="157" spans="2:29" ht="15.75" x14ac:dyDescent="0.25">
      <c r="C157" s="71"/>
      <c r="G157" s="62"/>
    </row>
    <row r="162" spans="2:3" x14ac:dyDescent="0.25">
      <c r="C162" s="71"/>
    </row>
    <row r="164" spans="2:3" x14ac:dyDescent="0.25">
      <c r="B164" s="71"/>
      <c r="C164" s="71"/>
    </row>
    <row r="166" spans="2:3" x14ac:dyDescent="0.25">
      <c r="B166" s="226"/>
      <c r="C166" s="226"/>
    </row>
    <row r="203" spans="17:33" x14ac:dyDescent="0.25">
      <c r="Q203" s="64"/>
      <c r="U203" s="71"/>
      <c r="AC203" s="64"/>
      <c r="AG203" s="71"/>
    </row>
  </sheetData>
  <mergeCells count="22">
    <mergeCell ref="A57:AH57"/>
    <mergeCell ref="A51:AH51"/>
    <mergeCell ref="A52:AH52"/>
    <mergeCell ref="A54:AH54"/>
    <mergeCell ref="A55:AH55"/>
    <mergeCell ref="A56:G56"/>
    <mergeCell ref="A99:J99"/>
    <mergeCell ref="A100:J100"/>
    <mergeCell ref="H4:R4"/>
    <mergeCell ref="H5:R5"/>
    <mergeCell ref="A58:G58"/>
    <mergeCell ref="C60:E60"/>
    <mergeCell ref="K60:Q60"/>
    <mergeCell ref="A7:AH7"/>
    <mergeCell ref="A8:AH8"/>
    <mergeCell ref="C10:I10"/>
    <mergeCell ref="C41:E41"/>
    <mergeCell ref="K41:Q41"/>
    <mergeCell ref="W41:AC41"/>
    <mergeCell ref="W60:AC60"/>
    <mergeCell ref="A96:J96"/>
    <mergeCell ref="A97:J97"/>
  </mergeCells>
  <pageMargins left="0.7" right="0.7" top="0.75" bottom="0.75" header="0.3" footer="0.3"/>
  <pageSetup scale="52" fitToHeight="0" orientation="landscape" r:id="rId1"/>
  <rowBreaks count="3" manualBreakCount="3">
    <brk id="47" max="16383" man="1"/>
    <brk id="92" max="33" man="1"/>
    <brk id="163" max="16383" man="1"/>
  </rowBreaks>
  <colBreaks count="1" manualBreakCount="1">
    <brk id="35" max="1048575" man="1"/>
  </colBreaks>
  <ignoredErrors>
    <ignoredError sqref="AC7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0"/>
  <sheetViews>
    <sheetView view="pageBreakPreview" topLeftCell="A30" zoomScale="60" zoomScaleNormal="100" workbookViewId="0">
      <selection activeCell="W28" sqref="W28"/>
    </sheetView>
  </sheetViews>
  <sheetFormatPr defaultColWidth="10.28515625" defaultRowHeight="15" x14ac:dyDescent="0.25"/>
  <cols>
    <col min="1" max="3" width="2.140625" style="77" customWidth="1"/>
    <col min="4" max="4" width="3" style="77" customWidth="1"/>
    <col min="5" max="5" width="28.7109375" style="77" customWidth="1"/>
    <col min="6" max="6" width="1.85546875" style="77" customWidth="1"/>
    <col min="7" max="7" width="15" style="77" customWidth="1"/>
    <col min="8" max="8" width="1.85546875" style="77" customWidth="1"/>
    <col min="9" max="9" width="14.28515625" style="77" customWidth="1"/>
    <col min="10" max="10" width="1.85546875" style="77" customWidth="1"/>
    <col min="11" max="11" width="11.42578125" style="78" customWidth="1"/>
    <col min="12" max="12" width="1.85546875" style="77" customWidth="1"/>
    <col min="13" max="13" width="14.7109375" style="77" bestFit="1" customWidth="1"/>
    <col min="14" max="14" width="1.85546875" style="77" customWidth="1"/>
    <col min="15" max="15" width="14.42578125" style="77" customWidth="1"/>
    <col min="16" max="16" width="1.85546875" style="77" customWidth="1"/>
    <col min="17" max="17" width="15.5703125" style="78" customWidth="1"/>
    <col min="18" max="18" width="1.85546875" style="77" customWidth="1"/>
    <col min="19" max="19" width="14.7109375" style="77" bestFit="1" customWidth="1"/>
    <col min="20" max="20" width="4.140625" style="77" customWidth="1"/>
    <col min="21" max="21" width="11.5703125" style="77" bestFit="1" customWidth="1"/>
    <col min="22" max="22" width="4.42578125" style="77" customWidth="1"/>
    <col min="23" max="23" width="11.5703125" style="77" bestFit="1" customWidth="1"/>
    <col min="24" max="25" width="10.28515625" style="77"/>
    <col min="26" max="26" width="14" style="77" bestFit="1" customWidth="1"/>
    <col min="27" max="16384" width="10.28515625" style="77"/>
  </cols>
  <sheetData>
    <row r="1" spans="1:26" ht="15.75" x14ac:dyDescent="0.25">
      <c r="S1" s="52" t="s">
        <v>2</v>
      </c>
    </row>
    <row r="2" spans="1:26" x14ac:dyDescent="0.25">
      <c r="S2" s="79" t="s">
        <v>89</v>
      </c>
    </row>
    <row r="3" spans="1:26" ht="15.75" x14ac:dyDescent="0.25">
      <c r="S3" s="52" t="s">
        <v>90</v>
      </c>
    </row>
    <row r="4" spans="1:26" ht="20.25" x14ac:dyDescent="0.3">
      <c r="A4" s="406" t="s">
        <v>240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</row>
    <row r="5" spans="1:26" ht="18.75" x14ac:dyDescent="0.3">
      <c r="A5" s="407" t="s">
        <v>254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</row>
    <row r="6" spans="1:26" ht="15.75" thickBot="1" x14ac:dyDescent="0.3"/>
    <row r="7" spans="1:26" ht="15.75" x14ac:dyDescent="0.25">
      <c r="A7" s="409" t="s">
        <v>91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U7" s="80" t="s">
        <v>92</v>
      </c>
      <c r="V7" s="81"/>
      <c r="W7" s="81"/>
      <c r="X7" s="82"/>
      <c r="Y7" s="81"/>
      <c r="Z7" s="83"/>
    </row>
    <row r="8" spans="1:26" ht="15.75" x14ac:dyDescent="0.25">
      <c r="S8" s="53" t="s">
        <v>36</v>
      </c>
      <c r="U8" s="84" t="s">
        <v>93</v>
      </c>
      <c r="V8" s="85"/>
      <c r="W8" s="85"/>
      <c r="X8" s="86"/>
      <c r="Y8" s="85"/>
      <c r="Z8" s="87">
        <f>ROUND('Sch 1A- Phased Inc and GRCF'!E15-'Sch 4'!S49,0)</f>
        <v>2597416</v>
      </c>
    </row>
    <row r="9" spans="1:26" ht="15.75" x14ac:dyDescent="0.25">
      <c r="G9" s="53" t="s">
        <v>94</v>
      </c>
      <c r="M9" s="55" t="s">
        <v>95</v>
      </c>
      <c r="O9" s="88"/>
      <c r="S9" s="55" t="s">
        <v>95</v>
      </c>
      <c r="U9" s="57" t="s">
        <v>24</v>
      </c>
      <c r="V9" s="85"/>
      <c r="W9" s="85"/>
      <c r="X9" s="86"/>
      <c r="Y9" s="85"/>
      <c r="Z9" s="87">
        <v>0</v>
      </c>
    </row>
    <row r="10" spans="1:26" ht="15.75" x14ac:dyDescent="0.25">
      <c r="G10" s="58" t="s">
        <v>96</v>
      </c>
      <c r="K10" s="59" t="s">
        <v>26</v>
      </c>
      <c r="M10" s="53" t="s">
        <v>97</v>
      </c>
      <c r="Q10" s="59" t="s">
        <v>26</v>
      </c>
      <c r="S10" s="59" t="s">
        <v>19</v>
      </c>
      <c r="U10" s="84" t="s">
        <v>25</v>
      </c>
      <c r="V10" s="85"/>
      <c r="W10" s="85"/>
      <c r="X10" s="86"/>
      <c r="Y10" s="85"/>
      <c r="Z10" s="87">
        <f>+'Sch 1A- Phased Inc and GRCF'!E18+'Sch 1A- Phased Inc and GRCF'!E19</f>
        <v>11801636</v>
      </c>
    </row>
    <row r="11" spans="1:26" ht="15.75" x14ac:dyDescent="0.25">
      <c r="G11" s="60">
        <v>2017</v>
      </c>
      <c r="I11" s="60" t="s">
        <v>98</v>
      </c>
      <c r="K11" s="60" t="s">
        <v>18</v>
      </c>
      <c r="M11" s="60" t="s">
        <v>99</v>
      </c>
      <c r="O11" s="60" t="s">
        <v>98</v>
      </c>
      <c r="Q11" s="60" t="s">
        <v>18</v>
      </c>
      <c r="S11" s="60" t="s">
        <v>99</v>
      </c>
      <c r="U11" s="84" t="s">
        <v>100</v>
      </c>
      <c r="V11" s="89"/>
      <c r="W11" s="85"/>
      <c r="X11" s="86"/>
      <c r="Y11" s="85"/>
      <c r="Z11" s="87">
        <v>0</v>
      </c>
    </row>
    <row r="12" spans="1:26" ht="15.75" x14ac:dyDescent="0.25">
      <c r="A12" s="77" t="s">
        <v>44</v>
      </c>
      <c r="U12" s="57"/>
      <c r="V12" s="89"/>
      <c r="W12" s="85"/>
      <c r="X12" s="86"/>
      <c r="Y12" s="85"/>
      <c r="Z12" s="87"/>
    </row>
    <row r="13" spans="1:26" ht="15.75" x14ac:dyDescent="0.25">
      <c r="C13" s="62" t="s">
        <v>101</v>
      </c>
      <c r="G13" s="88">
        <f>+'[1]Sch 3 - IS'!E15</f>
        <v>13696042</v>
      </c>
      <c r="I13" s="88">
        <f>+'[1]Sch 5 - Summary'!D21</f>
        <v>2625043</v>
      </c>
      <c r="K13" s="63" t="s">
        <v>102</v>
      </c>
      <c r="M13" s="90">
        <f>+G13+I13</f>
        <v>16321085</v>
      </c>
      <c r="O13" s="91">
        <f>+O25-SUM(O14:O24)</f>
        <v>441084</v>
      </c>
      <c r="S13" s="88">
        <f>+M13+O13</f>
        <v>16762169</v>
      </c>
      <c r="U13" s="84" t="s">
        <v>103</v>
      </c>
      <c r="V13" s="85"/>
      <c r="W13" s="85"/>
      <c r="X13" s="86"/>
      <c r="Y13" s="85"/>
      <c r="Z13" s="87">
        <v>0</v>
      </c>
    </row>
    <row r="14" spans="1:26" ht="15.75" x14ac:dyDescent="0.25">
      <c r="C14" s="62" t="s">
        <v>104</v>
      </c>
      <c r="G14" s="91">
        <f>+'[1]Sch 3 - IS'!E16</f>
        <v>6197076</v>
      </c>
      <c r="I14" s="91">
        <f>+'[1]Sch 5 - Summary'!F21</f>
        <v>1167851</v>
      </c>
      <c r="K14" s="63" t="s">
        <v>102</v>
      </c>
      <c r="M14" s="91">
        <f>+G14+I14</f>
        <v>7364927</v>
      </c>
      <c r="O14" s="91">
        <f>IF(+M14=0,0,ROUND((+M14/SUM($M$13:$M$22))*$O$25,0))</f>
        <v>199039</v>
      </c>
      <c r="S14" s="91">
        <f>+O14+M14</f>
        <v>7563966</v>
      </c>
      <c r="U14" s="92"/>
      <c r="V14" s="89"/>
      <c r="W14" s="85"/>
      <c r="X14" s="86"/>
      <c r="Y14" s="85"/>
      <c r="Z14" s="87"/>
    </row>
    <row r="15" spans="1:26" ht="15.75" x14ac:dyDescent="0.25">
      <c r="C15" s="62" t="s">
        <v>105</v>
      </c>
      <c r="D15" s="62"/>
      <c r="E15" s="62"/>
      <c r="G15" s="91">
        <f>+'[1]Sch 3 - IS'!E17</f>
        <v>2120285</v>
      </c>
      <c r="I15" s="91">
        <f>+'[1]Sch 5 - Summary'!H21</f>
        <v>380346</v>
      </c>
      <c r="K15" s="63" t="s">
        <v>102</v>
      </c>
      <c r="M15" s="91">
        <f t="shared" ref="M15:M17" si="0">+G15+I15</f>
        <v>2500631</v>
      </c>
      <c r="O15" s="91">
        <f>IF(+M15=0,0,ROUND((+M15/SUM($M$13:$M$22))*$O$25,0))</f>
        <v>67580</v>
      </c>
      <c r="S15" s="91">
        <f t="shared" ref="S15:S24" si="1">+O15+M15</f>
        <v>2568211</v>
      </c>
      <c r="U15" s="84" t="s">
        <v>106</v>
      </c>
      <c r="V15" s="89"/>
      <c r="W15" s="85"/>
      <c r="X15" s="86"/>
      <c r="Y15" s="85"/>
      <c r="Z15" s="93">
        <f>SUM('Sch 1A- Phased Inc and GRCF'!E22:E25)+S24</f>
        <v>-8327039</v>
      </c>
    </row>
    <row r="16" spans="1:26" ht="15.75" x14ac:dyDescent="0.25">
      <c r="C16" s="62" t="s">
        <v>107</v>
      </c>
      <c r="E16" s="62"/>
      <c r="G16" s="91">
        <f>+'[1]Sch 3 - IS'!E18</f>
        <v>1655288</v>
      </c>
      <c r="I16" s="91">
        <f>+'[1]Sch 5 - Summary'!J21</f>
        <v>202618</v>
      </c>
      <c r="K16" s="63" t="s">
        <v>102</v>
      </c>
      <c r="M16" s="91">
        <f t="shared" si="0"/>
        <v>1857906</v>
      </c>
      <c r="O16" s="91">
        <f>IF(+M16=0,0,ROUND((+M16/SUM($M$13:$M$22))*$O$25,0))</f>
        <v>50210</v>
      </c>
      <c r="S16" s="91">
        <f t="shared" si="1"/>
        <v>1908116</v>
      </c>
      <c r="U16" s="84"/>
      <c r="V16" s="89"/>
      <c r="W16" s="85"/>
      <c r="X16" s="86"/>
      <c r="Y16" s="85"/>
      <c r="Z16" s="94">
        <f>SUM(Z8:Z15)</f>
        <v>6072013</v>
      </c>
    </row>
    <row r="17" spans="1:26" ht="15.75" x14ac:dyDescent="0.25">
      <c r="C17" s="62" t="s">
        <v>49</v>
      </c>
      <c r="G17" s="91">
        <f>+'[1]Sch 3 - IS'!E19</f>
        <v>929528</v>
      </c>
      <c r="I17" s="91">
        <f>+'[1]Sch 5 - Summary'!L21</f>
        <v>305633</v>
      </c>
      <c r="K17" s="63" t="s">
        <v>102</v>
      </c>
      <c r="M17" s="91">
        <f t="shared" si="0"/>
        <v>1235161</v>
      </c>
      <c r="O17" s="91">
        <f>IF(+M17=0,0,ROUND((+M17/SUM($M$13:$M$22))*$O$25,0))</f>
        <v>33381</v>
      </c>
      <c r="S17" s="91">
        <f t="shared" si="1"/>
        <v>1268542</v>
      </c>
      <c r="U17" s="84" t="s">
        <v>108</v>
      </c>
      <c r="V17" s="85"/>
      <c r="W17" s="85"/>
      <c r="X17" s="86"/>
      <c r="Y17" s="85"/>
      <c r="Z17" s="87">
        <f>+S57</f>
        <v>6072013</v>
      </c>
    </row>
    <row r="18" spans="1:26" ht="16.5" thickBot="1" x14ac:dyDescent="0.3">
      <c r="B18" s="62" t="s">
        <v>51</v>
      </c>
      <c r="G18" s="91"/>
      <c r="I18" s="91"/>
      <c r="M18" s="91"/>
      <c r="O18" s="91"/>
      <c r="S18" s="91"/>
      <c r="U18" s="12" t="s">
        <v>87</v>
      </c>
      <c r="V18" s="85"/>
      <c r="W18" s="85"/>
      <c r="X18" s="85"/>
      <c r="Y18" s="85"/>
      <c r="Z18" s="95">
        <f>+Z16-Z17</f>
        <v>0</v>
      </c>
    </row>
    <row r="19" spans="1:26" ht="17.25" thickTop="1" thickBot="1" x14ac:dyDescent="0.3">
      <c r="C19" s="62" t="s">
        <v>109</v>
      </c>
      <c r="G19" s="91">
        <f>+'[1]Sch 3 - IS'!E21-G20</f>
        <v>2208288</v>
      </c>
      <c r="I19" s="91">
        <v>415052</v>
      </c>
      <c r="K19" s="63" t="s">
        <v>27</v>
      </c>
      <c r="M19" s="91">
        <f t="shared" ref="M19:M24" si="2">+G19+I19</f>
        <v>2623340</v>
      </c>
      <c r="O19" s="91">
        <f>IF(+M19=0,0,ROUND((+M19/SUM($M$13:$M$22))*$O$25,0))</f>
        <v>70897</v>
      </c>
      <c r="S19" s="91">
        <f t="shared" si="1"/>
        <v>2694237</v>
      </c>
      <c r="U19" s="96"/>
      <c r="V19" s="97"/>
      <c r="W19" s="97"/>
      <c r="X19" s="97"/>
      <c r="Y19" s="97"/>
      <c r="Z19" s="98"/>
    </row>
    <row r="20" spans="1:26" ht="15.75" x14ac:dyDescent="0.25">
      <c r="C20" s="62" t="s">
        <v>110</v>
      </c>
      <c r="G20" s="91">
        <v>1239611</v>
      </c>
      <c r="I20" s="91">
        <f>+'[1]Sch 5 - Inc Adj'!O113</f>
        <v>-134963</v>
      </c>
      <c r="K20" s="69" t="s">
        <v>111</v>
      </c>
      <c r="M20" s="91">
        <f t="shared" si="2"/>
        <v>1104648</v>
      </c>
      <c r="O20" s="91">
        <f>IF(+M20=0,0,ROUND((+M20/SUM($M$13:$M$22))*$O$25,0))</f>
        <v>29853</v>
      </c>
      <c r="S20" s="91">
        <f t="shared" si="1"/>
        <v>1134501</v>
      </c>
      <c r="U20" s="85"/>
      <c r="V20" s="85"/>
      <c r="W20" s="85"/>
      <c r="X20" s="85"/>
      <c r="Y20" s="85"/>
      <c r="Z20" s="85"/>
    </row>
    <row r="21" spans="1:26" ht="15.75" x14ac:dyDescent="0.25">
      <c r="C21" s="77" t="s">
        <v>112</v>
      </c>
      <c r="G21" s="91">
        <f>+'[1]Sch 3 - IS'!E22</f>
        <v>526780</v>
      </c>
      <c r="I21" s="91">
        <v>82807</v>
      </c>
      <c r="K21" s="63" t="s">
        <v>27</v>
      </c>
      <c r="M21" s="91">
        <f t="shared" si="2"/>
        <v>609587</v>
      </c>
      <c r="O21" s="91">
        <f>IF(+M21=0,0,ROUND((+M21/SUM($M$13:$M$22))*$O$25,0))</f>
        <v>16474</v>
      </c>
      <c r="S21" s="91">
        <f t="shared" si="1"/>
        <v>626061</v>
      </c>
      <c r="U21" s="85"/>
      <c r="V21" s="85"/>
      <c r="W21" s="85"/>
      <c r="X21" s="85"/>
      <c r="Y21" s="85"/>
      <c r="Z21" s="85"/>
    </row>
    <row r="22" spans="1:26" ht="15.75" x14ac:dyDescent="0.25">
      <c r="B22" s="62" t="s">
        <v>54</v>
      </c>
      <c r="G22" s="91">
        <f>+'[1]Sch 3 - IS'!E24</f>
        <v>147946</v>
      </c>
      <c r="I22" s="91">
        <f>+'[1]Sch 5 - Summary'!P21</f>
        <v>26979</v>
      </c>
      <c r="K22" s="63" t="s">
        <v>102</v>
      </c>
      <c r="M22" s="91">
        <f>+G22+I22</f>
        <v>174925</v>
      </c>
      <c r="O22" s="91">
        <f>IF(+M22=0,0,ROUND((+M22/SUM($M$13:$M$22))*$O$25,0))</f>
        <v>4727</v>
      </c>
      <c r="S22" s="91">
        <f t="shared" si="1"/>
        <v>179652</v>
      </c>
    </row>
    <row r="23" spans="1:26" ht="15.75" x14ac:dyDescent="0.25">
      <c r="B23" s="62"/>
      <c r="C23" s="62"/>
      <c r="G23" s="91"/>
      <c r="I23" s="91"/>
      <c r="K23" s="70"/>
      <c r="M23" s="91"/>
      <c r="O23" s="91"/>
      <c r="S23" s="91"/>
    </row>
    <row r="24" spans="1:26" ht="15.75" x14ac:dyDescent="0.25">
      <c r="B24" s="62" t="s">
        <v>113</v>
      </c>
      <c r="G24" s="91">
        <f>+'[1]Sch 3 - IS'!E25</f>
        <v>457282</v>
      </c>
      <c r="I24" s="91">
        <v>67194</v>
      </c>
      <c r="K24" s="70" t="s">
        <v>27</v>
      </c>
      <c r="M24" s="91">
        <f t="shared" si="2"/>
        <v>524476</v>
      </c>
      <c r="O24" s="91"/>
      <c r="S24" s="91">
        <f t="shared" si="1"/>
        <v>524476</v>
      </c>
    </row>
    <row r="25" spans="1:26" x14ac:dyDescent="0.25">
      <c r="E25" s="77" t="s">
        <v>57</v>
      </c>
      <c r="G25" s="99">
        <f>SUM(G13:G24)</f>
        <v>29178126</v>
      </c>
      <c r="I25" s="99">
        <f>SUM(I13:I24)</f>
        <v>5138560</v>
      </c>
      <c r="M25" s="99">
        <f>SUM(M13:M24)</f>
        <v>34316686</v>
      </c>
      <c r="O25" s="367">
        <f>+'[1]Sch 1A - Phased Increases'!E35</f>
        <v>913245</v>
      </c>
      <c r="Q25" s="78" t="s">
        <v>257</v>
      </c>
      <c r="S25" s="99">
        <f>SUM(S13:S24)</f>
        <v>35229931</v>
      </c>
    </row>
    <row r="26" spans="1:26" ht="15.75" x14ac:dyDescent="0.25">
      <c r="E26" s="100"/>
      <c r="G26" s="91"/>
      <c r="I26" s="91"/>
      <c r="M26" s="91"/>
      <c r="O26" s="72"/>
      <c r="S26" s="91"/>
    </row>
    <row r="27" spans="1:26" x14ac:dyDescent="0.25">
      <c r="A27" s="77" t="s">
        <v>114</v>
      </c>
      <c r="G27" s="101"/>
      <c r="I27" s="91"/>
      <c r="M27" s="91"/>
      <c r="O27" s="91"/>
      <c r="S27" s="91"/>
    </row>
    <row r="28" spans="1:26" ht="15.75" x14ac:dyDescent="0.25">
      <c r="B28" s="73" t="s">
        <v>58</v>
      </c>
      <c r="C28" s="73"/>
      <c r="D28" s="73"/>
      <c r="E28" s="62"/>
      <c r="G28" s="91">
        <f>+'Sch 3 '!E30</f>
        <v>6626457</v>
      </c>
      <c r="I28" s="91">
        <v>1027839</v>
      </c>
      <c r="K28" s="102" t="s">
        <v>27</v>
      </c>
      <c r="M28" s="91">
        <f>+G28+I28</f>
        <v>7654296</v>
      </c>
      <c r="O28" s="91"/>
      <c r="S28" s="91">
        <f>+M28+O28</f>
        <v>7654296</v>
      </c>
    </row>
    <row r="29" spans="1:26" ht="15.75" x14ac:dyDescent="0.25">
      <c r="B29" s="73" t="s">
        <v>59</v>
      </c>
      <c r="C29" s="73"/>
      <c r="D29" s="73"/>
      <c r="E29" s="62"/>
      <c r="G29" s="91">
        <f>+'Sch 3 '!E31</f>
        <v>3585723</v>
      </c>
      <c r="I29" s="91"/>
      <c r="K29" s="102"/>
      <c r="M29" s="91">
        <f>+G29+SUM(I30:I34)</f>
        <v>4477433</v>
      </c>
      <c r="O29" s="91"/>
      <c r="S29" s="91">
        <f>+M29+O29</f>
        <v>4477433</v>
      </c>
    </row>
    <row r="30" spans="1:26" ht="15.75" x14ac:dyDescent="0.25">
      <c r="B30" s="73"/>
      <c r="C30" s="73" t="s">
        <v>115</v>
      </c>
      <c r="D30" s="73"/>
      <c r="E30" s="62"/>
      <c r="G30" s="91"/>
      <c r="I30" s="91">
        <v>89092</v>
      </c>
      <c r="K30" s="102" t="s">
        <v>27</v>
      </c>
      <c r="M30" s="91"/>
      <c r="O30" s="91"/>
      <c r="S30" s="91"/>
    </row>
    <row r="31" spans="1:26" ht="15.75" x14ac:dyDescent="0.25">
      <c r="C31" s="73" t="s">
        <v>116</v>
      </c>
      <c r="D31" s="73"/>
      <c r="G31" s="91"/>
      <c r="I31" s="91">
        <v>-200111</v>
      </c>
      <c r="K31" s="70" t="s">
        <v>248</v>
      </c>
      <c r="M31" s="103"/>
      <c r="O31" s="91"/>
      <c r="S31" s="91"/>
    </row>
    <row r="32" spans="1:26" ht="15.75" x14ac:dyDescent="0.25">
      <c r="C32" s="73" t="s">
        <v>117</v>
      </c>
      <c r="D32" s="73"/>
      <c r="G32" s="91"/>
      <c r="I32" s="91">
        <v>1008258</v>
      </c>
      <c r="K32" s="102" t="s">
        <v>27</v>
      </c>
      <c r="M32" s="103"/>
      <c r="O32" s="91"/>
      <c r="S32" s="91"/>
      <c r="U32" s="91"/>
      <c r="V32" s="91"/>
      <c r="W32" s="91"/>
    </row>
    <row r="33" spans="2:24" ht="15.75" x14ac:dyDescent="0.25">
      <c r="C33" s="73" t="s">
        <v>118</v>
      </c>
      <c r="D33" s="73"/>
      <c r="G33" s="91"/>
      <c r="I33" s="91">
        <v>-5584</v>
      </c>
      <c r="K33" s="102" t="s">
        <v>27</v>
      </c>
      <c r="M33" s="103"/>
      <c r="O33" s="91"/>
      <c r="S33" s="91"/>
      <c r="U33" s="91"/>
      <c r="V33" s="91"/>
      <c r="W33" s="91"/>
    </row>
    <row r="34" spans="2:24" ht="15.75" x14ac:dyDescent="0.25">
      <c r="C34" s="73" t="s">
        <v>119</v>
      </c>
      <c r="D34" s="73"/>
      <c r="G34" s="91"/>
      <c r="I34" s="91">
        <v>55</v>
      </c>
      <c r="K34" s="102" t="s">
        <v>27</v>
      </c>
      <c r="M34" s="103"/>
      <c r="O34" s="91"/>
      <c r="S34" s="91"/>
      <c r="U34" s="91"/>
      <c r="V34" s="91"/>
      <c r="W34" s="91"/>
    </row>
    <row r="35" spans="2:24" ht="15.75" x14ac:dyDescent="0.25">
      <c r="B35" s="37" t="s">
        <v>60</v>
      </c>
      <c r="C35" s="73"/>
      <c r="D35" s="73"/>
      <c r="G35" s="91">
        <f>+'Sch 3 '!E32</f>
        <v>1331344</v>
      </c>
      <c r="I35" s="91"/>
      <c r="K35" s="77"/>
      <c r="M35" s="104">
        <f>+G35+I35</f>
        <v>1331344</v>
      </c>
      <c r="O35" s="91"/>
      <c r="S35" s="91">
        <f>+M35+O35</f>
        <v>1331344</v>
      </c>
      <c r="U35" s="91"/>
      <c r="V35" s="91"/>
      <c r="W35" s="91"/>
    </row>
    <row r="36" spans="2:24" ht="15.75" x14ac:dyDescent="0.25">
      <c r="B36" s="37" t="s">
        <v>61</v>
      </c>
      <c r="C36" s="73"/>
      <c r="D36" s="73"/>
      <c r="G36" s="91">
        <f>+'Sch 3 '!E33</f>
        <v>1096964</v>
      </c>
      <c r="I36" s="91"/>
      <c r="K36" s="102"/>
      <c r="M36" s="104">
        <f t="shared" ref="M36:M43" si="3">+G36+I36</f>
        <v>1096964</v>
      </c>
      <c r="O36" s="91"/>
      <c r="S36" s="91">
        <f t="shared" ref="S36:S44" si="4">+M36+O36</f>
        <v>1096964</v>
      </c>
      <c r="U36" s="91"/>
      <c r="V36" s="91"/>
      <c r="W36" s="91"/>
    </row>
    <row r="37" spans="2:24" ht="15.75" x14ac:dyDescent="0.25">
      <c r="B37" s="37" t="s">
        <v>62</v>
      </c>
      <c r="C37" s="73"/>
      <c r="D37" s="73"/>
      <c r="G37" s="91">
        <f>+'Sch 3 '!E34</f>
        <v>1001035</v>
      </c>
      <c r="I37" s="91">
        <v>23438</v>
      </c>
      <c r="K37" s="102" t="s">
        <v>27</v>
      </c>
      <c r="M37" s="104">
        <f t="shared" si="3"/>
        <v>1024473</v>
      </c>
      <c r="O37" s="91"/>
      <c r="S37" s="91">
        <f t="shared" si="4"/>
        <v>1024473</v>
      </c>
      <c r="U37" s="91"/>
      <c r="V37" s="91"/>
      <c r="W37" s="91"/>
    </row>
    <row r="38" spans="2:24" ht="15.75" x14ac:dyDescent="0.25">
      <c r="B38" s="37" t="s">
        <v>63</v>
      </c>
      <c r="C38" s="73"/>
      <c r="D38" s="73"/>
      <c r="G38" s="91">
        <f>+'Sch 3 '!E35</f>
        <v>2341209</v>
      </c>
      <c r="I38" s="91">
        <f>+'[1]Sch 6 - Exp Adj'!K55</f>
        <v>999227</v>
      </c>
      <c r="K38" s="70" t="s">
        <v>247</v>
      </c>
      <c r="M38" s="104">
        <f t="shared" si="3"/>
        <v>3340436</v>
      </c>
      <c r="O38" s="91"/>
      <c r="S38" s="91">
        <f t="shared" si="4"/>
        <v>3340436</v>
      </c>
      <c r="U38" s="91"/>
      <c r="V38" s="91"/>
      <c r="W38" s="91"/>
    </row>
    <row r="39" spans="2:24" ht="15.75" x14ac:dyDescent="0.25">
      <c r="B39" s="37" t="s">
        <v>65</v>
      </c>
      <c r="C39" s="73"/>
      <c r="D39" s="73"/>
      <c r="G39" s="91">
        <f>+'Sch 3 '!E36</f>
        <v>2577799</v>
      </c>
      <c r="I39" s="91">
        <v>155203</v>
      </c>
      <c r="K39" s="102" t="s">
        <v>27</v>
      </c>
      <c r="M39" s="104">
        <f t="shared" si="3"/>
        <v>2733002</v>
      </c>
      <c r="O39" s="91"/>
      <c r="S39" s="91">
        <f t="shared" si="4"/>
        <v>2733002</v>
      </c>
      <c r="U39" s="89"/>
      <c r="V39" s="85"/>
      <c r="W39" s="89"/>
      <c r="X39" s="85"/>
    </row>
    <row r="40" spans="2:24" ht="15.75" x14ac:dyDescent="0.25">
      <c r="B40" s="37" t="s">
        <v>66</v>
      </c>
      <c r="C40" s="73"/>
      <c r="D40" s="73"/>
      <c r="G40" s="91">
        <f>+'Sch 3 '!E37</f>
        <v>103066</v>
      </c>
      <c r="I40" s="91">
        <v>131852</v>
      </c>
      <c r="K40" s="70" t="s">
        <v>27</v>
      </c>
      <c r="M40" s="104">
        <f t="shared" si="3"/>
        <v>234918</v>
      </c>
      <c r="O40" s="91"/>
      <c r="S40" s="91">
        <f t="shared" si="4"/>
        <v>234918</v>
      </c>
      <c r="U40" s="89"/>
      <c r="V40" s="89"/>
      <c r="W40" s="89"/>
      <c r="X40" s="85"/>
    </row>
    <row r="41" spans="2:24" ht="15.75" x14ac:dyDescent="0.25">
      <c r="B41" s="37" t="s">
        <v>67</v>
      </c>
      <c r="C41" s="73"/>
      <c r="D41" s="73"/>
      <c r="G41" s="91">
        <f>+'Sch 3 '!E38</f>
        <v>276125</v>
      </c>
      <c r="I41" s="91"/>
      <c r="K41" s="77"/>
      <c r="M41" s="104">
        <f t="shared" si="3"/>
        <v>276125</v>
      </c>
      <c r="O41" s="91"/>
      <c r="S41" s="91">
        <f t="shared" si="4"/>
        <v>276125</v>
      </c>
      <c r="U41" s="85"/>
      <c r="V41" s="85"/>
      <c r="W41" s="85"/>
      <c r="X41" s="85"/>
    </row>
    <row r="42" spans="2:24" ht="15.75" x14ac:dyDescent="0.25">
      <c r="B42" s="37" t="s">
        <v>68</v>
      </c>
      <c r="C42" s="73"/>
      <c r="D42" s="73"/>
      <c r="G42" s="91">
        <f>+'Sch 3 '!E39</f>
        <v>351141</v>
      </c>
      <c r="I42" s="91"/>
      <c r="K42" s="77"/>
      <c r="M42" s="104">
        <f t="shared" si="3"/>
        <v>351141</v>
      </c>
      <c r="O42" s="91"/>
      <c r="S42" s="91">
        <f t="shared" si="4"/>
        <v>351141</v>
      </c>
      <c r="U42" s="85"/>
      <c r="V42" s="85"/>
      <c r="W42" s="85"/>
      <c r="X42" s="85"/>
    </row>
    <row r="43" spans="2:24" ht="15.75" x14ac:dyDescent="0.25">
      <c r="B43" s="37" t="s">
        <v>69</v>
      </c>
      <c r="C43" s="73"/>
      <c r="D43" s="73"/>
      <c r="G43" s="91">
        <f>+'Sch 3 '!E40</f>
        <v>136416</v>
      </c>
      <c r="I43" s="91">
        <f>+'[1]Sch 6 - Exp Adj'!K83</f>
        <v>26008</v>
      </c>
      <c r="K43" s="70" t="s">
        <v>246</v>
      </c>
      <c r="M43" s="104">
        <f t="shared" si="3"/>
        <v>162424</v>
      </c>
      <c r="O43" s="374">
        <f>+'[1]Sch 1A - Phased Increases'!E64</f>
        <v>4391</v>
      </c>
      <c r="Q43" s="102" t="s">
        <v>260</v>
      </c>
      <c r="S43" s="91">
        <f t="shared" si="4"/>
        <v>166815</v>
      </c>
    </row>
    <row r="44" spans="2:24" ht="15.75" x14ac:dyDescent="0.25">
      <c r="B44" s="37" t="s">
        <v>70</v>
      </c>
      <c r="C44" s="73"/>
      <c r="D44" s="73"/>
      <c r="G44" s="91">
        <f>+'Sch 3 '!E41</f>
        <v>359318</v>
      </c>
      <c r="I44" s="91"/>
      <c r="K44" s="102"/>
      <c r="M44" s="104">
        <f>+G44+I44+I45+I46+I47</f>
        <v>330472</v>
      </c>
      <c r="O44" s="91"/>
      <c r="S44" s="91">
        <f t="shared" si="4"/>
        <v>330472</v>
      </c>
    </row>
    <row r="45" spans="2:24" ht="15.75" x14ac:dyDescent="0.25">
      <c r="B45" s="73"/>
      <c r="C45" s="73" t="s">
        <v>120</v>
      </c>
      <c r="D45" s="73"/>
      <c r="G45" s="91"/>
      <c r="I45" s="91">
        <v>-203567</v>
      </c>
      <c r="K45" s="70" t="s">
        <v>27</v>
      </c>
      <c r="M45" s="103"/>
      <c r="O45" s="91"/>
      <c r="S45" s="91"/>
    </row>
    <row r="46" spans="2:24" ht="15.75" x14ac:dyDescent="0.25">
      <c r="B46" s="73"/>
      <c r="C46" s="73" t="s">
        <v>121</v>
      </c>
      <c r="D46" s="73"/>
      <c r="G46" s="91"/>
      <c r="I46" s="91">
        <v>-450858</v>
      </c>
      <c r="K46" s="70" t="s">
        <v>27</v>
      </c>
      <c r="M46" s="103"/>
      <c r="O46" s="91"/>
      <c r="S46" s="91"/>
    </row>
    <row r="47" spans="2:24" ht="15.75" x14ac:dyDescent="0.25">
      <c r="B47" s="62"/>
      <c r="C47" s="73" t="s">
        <v>122</v>
      </c>
      <c r="D47" s="73"/>
      <c r="G47" s="91"/>
      <c r="I47" s="91">
        <v>625579</v>
      </c>
      <c r="K47" s="70" t="s">
        <v>27</v>
      </c>
      <c r="M47" s="103"/>
      <c r="O47" s="91"/>
      <c r="S47" s="91"/>
    </row>
    <row r="48" spans="2:24" ht="15.75" x14ac:dyDescent="0.25">
      <c r="B48" s="73"/>
      <c r="E48" s="70"/>
      <c r="G48" s="100"/>
      <c r="I48" s="91"/>
      <c r="K48" s="102"/>
      <c r="M48" s="91"/>
      <c r="O48" s="105"/>
      <c r="S48" s="91"/>
      <c r="U48" s="74"/>
    </row>
    <row r="49" spans="1:24" ht="15.75" x14ac:dyDescent="0.25">
      <c r="A49" s="77" t="s">
        <v>72</v>
      </c>
      <c r="G49" s="91">
        <v>3845446</v>
      </c>
      <c r="I49" s="91"/>
      <c r="K49" s="70"/>
      <c r="M49" s="91">
        <f>+G49+I49</f>
        <v>3845446</v>
      </c>
      <c r="O49" s="91"/>
      <c r="S49" s="91">
        <f t="shared" ref="S49" si="5">+M49+O49</f>
        <v>3845446</v>
      </c>
    </row>
    <row r="50" spans="1:24" x14ac:dyDescent="0.25">
      <c r="G50" s="91"/>
      <c r="I50" s="91"/>
      <c r="M50" s="91"/>
      <c r="O50" s="91"/>
      <c r="S50" s="91"/>
    </row>
    <row r="51" spans="1:24" x14ac:dyDescent="0.25">
      <c r="A51" s="77" t="s">
        <v>74</v>
      </c>
      <c r="G51" s="91"/>
      <c r="I51" s="91"/>
      <c r="M51" s="91"/>
      <c r="Q51" s="77"/>
      <c r="S51" s="91"/>
    </row>
    <row r="52" spans="1:24" ht="15.75" x14ac:dyDescent="0.25">
      <c r="B52" s="62" t="s">
        <v>123</v>
      </c>
      <c r="G52" s="91">
        <f>+'[1]Sch 3 - IS'!E47</f>
        <v>1135896</v>
      </c>
      <c r="I52" s="91">
        <f>+'[1]Sch 1A - Phased Increases'!E16-'[1]Sch 4'!G52</f>
        <v>746404</v>
      </c>
      <c r="K52" s="102" t="s">
        <v>27</v>
      </c>
      <c r="M52" s="91">
        <f>+G52+I52</f>
        <v>1882300</v>
      </c>
      <c r="O52" s="91"/>
      <c r="S52" s="91">
        <f t="shared" ref="S52:S53" si="6">+M52+O52</f>
        <v>1882300</v>
      </c>
      <c r="U52" s="62"/>
    </row>
    <row r="53" spans="1:24" ht="15.75" x14ac:dyDescent="0.25">
      <c r="B53" s="73" t="s">
        <v>76</v>
      </c>
      <c r="C53" s="73"/>
      <c r="D53" s="73"/>
      <c r="G53" s="91">
        <f>+'[1]Sch 3 - IS'!E48</f>
        <v>354798</v>
      </c>
      <c r="I53" s="91">
        <v>47277</v>
      </c>
      <c r="K53" s="70" t="s">
        <v>245</v>
      </c>
      <c r="M53" s="91">
        <f>+G53+I53</f>
        <v>402075</v>
      </c>
      <c r="O53" s="375">
        <f>+'[1]Sch 1A - Phased Increases'!E67</f>
        <v>10678</v>
      </c>
      <c r="P53" s="62"/>
      <c r="Q53" s="102" t="s">
        <v>260</v>
      </c>
      <c r="R53" s="62"/>
      <c r="S53" s="91">
        <f t="shared" si="6"/>
        <v>412753</v>
      </c>
      <c r="U53" s="75"/>
      <c r="W53" s="75"/>
    </row>
    <row r="54" spans="1:24" x14ac:dyDescent="0.25">
      <c r="G54" s="91"/>
      <c r="I54" s="91"/>
      <c r="M54" s="91"/>
      <c r="O54" s="91"/>
      <c r="S54" s="91"/>
      <c r="U54" s="100"/>
    </row>
    <row r="55" spans="1:24" x14ac:dyDescent="0.25">
      <c r="E55" s="77" t="s">
        <v>77</v>
      </c>
      <c r="G55" s="99">
        <f>SUM(G27:G54)</f>
        <v>25122737</v>
      </c>
      <c r="I55" s="99">
        <f>SUM(I27:I54)</f>
        <v>4020112</v>
      </c>
      <c r="M55" s="99">
        <f>SUM(M27:M54)</f>
        <v>29142849</v>
      </c>
      <c r="O55" s="99">
        <f>SUM(O27:O54)</f>
        <v>15069</v>
      </c>
      <c r="S55" s="99">
        <f>SUM(S27:S54)</f>
        <v>29157918</v>
      </c>
      <c r="U55" s="100"/>
    </row>
    <row r="56" spans="1:24" x14ac:dyDescent="0.25">
      <c r="G56" s="91"/>
      <c r="I56" s="91"/>
      <c r="M56" s="91"/>
      <c r="O56" s="91"/>
      <c r="S56" s="91"/>
    </row>
    <row r="57" spans="1:24" ht="16.5" thickBot="1" x14ac:dyDescent="0.3">
      <c r="A57" s="77" t="s">
        <v>78</v>
      </c>
      <c r="G57" s="106">
        <f>+G25-G55</f>
        <v>4055389</v>
      </c>
      <c r="I57" s="106">
        <f>+I25-I55</f>
        <v>1118448</v>
      </c>
      <c r="M57" s="106">
        <f>+M25-M55</f>
        <v>5173837</v>
      </c>
      <c r="O57" s="378">
        <f>+O25-O55</f>
        <v>898176</v>
      </c>
      <c r="Q57" s="78" t="s">
        <v>261</v>
      </c>
      <c r="S57" s="106">
        <f>+S25-S55</f>
        <v>6072013</v>
      </c>
      <c r="V57" s="62"/>
      <c r="X57" s="62"/>
    </row>
    <row r="58" spans="1:24" ht="15.75" thickTop="1" x14ac:dyDescent="0.25">
      <c r="G58" s="91"/>
      <c r="I58" s="91"/>
      <c r="M58" s="91"/>
      <c r="O58" s="91"/>
      <c r="S58" s="91"/>
    </row>
    <row r="59" spans="1:24" ht="15.75" x14ac:dyDescent="0.25">
      <c r="S59" s="52" t="s">
        <v>2</v>
      </c>
    </row>
    <row r="60" spans="1:24" x14ac:dyDescent="0.25">
      <c r="I60" s="100"/>
      <c r="S60" s="79" t="s">
        <v>89</v>
      </c>
    </row>
    <row r="61" spans="1:24" ht="15.75" x14ac:dyDescent="0.25">
      <c r="S61" s="52" t="s">
        <v>124</v>
      </c>
    </row>
    <row r="62" spans="1:24" ht="15.75" x14ac:dyDescent="0.25">
      <c r="A62" s="400" t="str">
        <f>+A4</f>
        <v>Municipal Water</v>
      </c>
      <c r="B62" s="400"/>
      <c r="C62" s="400"/>
      <c r="D62" s="400"/>
      <c r="E62" s="400"/>
      <c r="F62" s="400"/>
      <c r="G62" s="400"/>
      <c r="H62" s="400"/>
      <c r="I62" s="400"/>
      <c r="J62" s="400"/>
      <c r="K62" s="400"/>
      <c r="L62" s="400"/>
      <c r="M62" s="400"/>
      <c r="N62" s="400"/>
      <c r="O62" s="400"/>
      <c r="P62" s="400"/>
      <c r="Q62" s="400"/>
      <c r="R62" s="400"/>
      <c r="S62" s="400"/>
    </row>
    <row r="63" spans="1:24" ht="15.75" x14ac:dyDescent="0.25">
      <c r="A63" s="400" t="str">
        <f>+A5</f>
        <v>Cause Number XXXXX</v>
      </c>
      <c r="B63" s="400"/>
      <c r="C63" s="400"/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</row>
    <row r="64" spans="1:24" ht="15.75" thickBot="1" x14ac:dyDescent="0.3"/>
    <row r="65" spans="1:26" ht="15.75" x14ac:dyDescent="0.25">
      <c r="A65" s="409" t="s">
        <v>125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U65" s="80" t="s">
        <v>92</v>
      </c>
      <c r="V65" s="81"/>
      <c r="W65" s="81"/>
      <c r="X65" s="82"/>
      <c r="Y65" s="81"/>
      <c r="Z65" s="83"/>
    </row>
    <row r="66" spans="1:26" ht="15.7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U66" s="84"/>
      <c r="V66" s="85"/>
      <c r="W66" s="85"/>
      <c r="X66" s="86"/>
      <c r="Y66" s="85"/>
      <c r="Z66" s="87"/>
    </row>
    <row r="67" spans="1:26" ht="15.75" x14ac:dyDescent="0.25">
      <c r="G67" s="53" t="s">
        <v>36</v>
      </c>
      <c r="S67" s="53" t="s">
        <v>28</v>
      </c>
      <c r="U67" s="84" t="s">
        <v>93</v>
      </c>
      <c r="V67" s="85"/>
      <c r="W67" s="85"/>
      <c r="X67" s="86"/>
      <c r="Y67" s="85"/>
      <c r="Z67" s="87">
        <f>+'[1]Sch 1A - Phased Increases'!Q15-'[1]Sch 4'!S100</f>
        <v>2115498</v>
      </c>
    </row>
    <row r="68" spans="1:26" ht="15.75" x14ac:dyDescent="0.25">
      <c r="G68" s="76" t="s">
        <v>95</v>
      </c>
      <c r="M68" s="55" t="s">
        <v>95</v>
      </c>
      <c r="O68" s="88"/>
      <c r="S68" s="55" t="s">
        <v>95</v>
      </c>
      <c r="U68" s="57" t="s">
        <v>24</v>
      </c>
      <c r="V68" s="85"/>
      <c r="W68" s="85"/>
      <c r="X68" s="86"/>
      <c r="Y68" s="85"/>
      <c r="Z68" s="87">
        <v>0</v>
      </c>
    </row>
    <row r="69" spans="1:26" ht="15.75" x14ac:dyDescent="0.25">
      <c r="G69" s="59" t="s">
        <v>19</v>
      </c>
      <c r="K69" s="59" t="s">
        <v>26</v>
      </c>
      <c r="M69" s="53" t="s">
        <v>97</v>
      </c>
      <c r="Q69" s="59" t="s">
        <v>26</v>
      </c>
      <c r="S69" s="59" t="s">
        <v>19</v>
      </c>
      <c r="U69" s="84" t="s">
        <v>25</v>
      </c>
      <c r="V69" s="85"/>
      <c r="W69" s="85"/>
      <c r="X69" s="86"/>
      <c r="Y69" s="85"/>
      <c r="Z69" s="87">
        <f>+'[1]Sch 1A - Phased Increases'!Q18+'[1]Sch 1A - Phased Increases'!Q19</f>
        <v>15536076</v>
      </c>
    </row>
    <row r="70" spans="1:26" ht="15.75" x14ac:dyDescent="0.25">
      <c r="G70" s="60" t="s">
        <v>99</v>
      </c>
      <c r="I70" s="60" t="s">
        <v>98</v>
      </c>
      <c r="K70" s="60" t="s">
        <v>18</v>
      </c>
      <c r="M70" s="60" t="s">
        <v>99</v>
      </c>
      <c r="O70" s="60" t="s">
        <v>98</v>
      </c>
      <c r="Q70" s="60" t="s">
        <v>18</v>
      </c>
      <c r="S70" s="60" t="s">
        <v>99</v>
      </c>
      <c r="U70" s="84" t="s">
        <v>100</v>
      </c>
      <c r="V70" s="89"/>
      <c r="W70" s="85"/>
      <c r="X70" s="86"/>
      <c r="Y70" s="85"/>
      <c r="Z70" s="87">
        <v>0</v>
      </c>
    </row>
    <row r="71" spans="1:26" ht="15.75" x14ac:dyDescent="0.25">
      <c r="A71" s="77" t="s">
        <v>44</v>
      </c>
      <c r="U71" s="57" t="s">
        <v>126</v>
      </c>
      <c r="V71" s="89"/>
      <c r="W71" s="85"/>
      <c r="X71" s="86"/>
      <c r="Y71" s="85"/>
      <c r="Z71" s="87">
        <v>0</v>
      </c>
    </row>
    <row r="72" spans="1:26" ht="15.75" x14ac:dyDescent="0.25">
      <c r="C72" s="62" t="s">
        <v>101</v>
      </c>
      <c r="G72" s="88">
        <f>+S13</f>
        <v>16762169</v>
      </c>
      <c r="I72" s="88"/>
      <c r="M72" s="90">
        <f>+G72+I72</f>
        <v>16762169</v>
      </c>
      <c r="O72" s="91">
        <f>+O84-SUM(O73:O81)</f>
        <v>1735804</v>
      </c>
      <c r="S72" s="90">
        <f>+M72+O72</f>
        <v>18497973</v>
      </c>
      <c r="U72" s="84" t="s">
        <v>127</v>
      </c>
      <c r="V72" s="89"/>
      <c r="W72" s="85"/>
      <c r="X72" s="86"/>
      <c r="Y72" s="85"/>
      <c r="Z72" s="87">
        <v>0</v>
      </c>
    </row>
    <row r="73" spans="1:26" ht="15.75" x14ac:dyDescent="0.25">
      <c r="C73" s="62" t="s">
        <v>104</v>
      </c>
      <c r="G73" s="91">
        <f>+S14</f>
        <v>7563966</v>
      </c>
      <c r="M73" s="91">
        <f t="shared" ref="M73:M83" si="7">+G73+I73</f>
        <v>7563966</v>
      </c>
      <c r="N73" s="91"/>
      <c r="O73" s="91">
        <f>IF(+M73=0,0,ROUND((+M73/SUM($M$72:$M$81))*$O$84,0))</f>
        <v>913449</v>
      </c>
      <c r="P73" s="91"/>
      <c r="Q73" s="107"/>
      <c r="R73" s="91"/>
      <c r="S73" s="91">
        <f t="shared" ref="S73:S83" si="8">+M73+O73</f>
        <v>8477415</v>
      </c>
      <c r="U73" s="84" t="s">
        <v>103</v>
      </c>
      <c r="V73" s="85"/>
      <c r="W73" s="85"/>
      <c r="X73" s="86"/>
      <c r="Y73" s="85"/>
      <c r="Z73" s="87">
        <v>0</v>
      </c>
    </row>
    <row r="74" spans="1:26" ht="15.75" x14ac:dyDescent="0.25">
      <c r="C74" s="62" t="s">
        <v>105</v>
      </c>
      <c r="D74" s="62"/>
      <c r="E74" s="62"/>
      <c r="G74" s="91">
        <f>+S15</f>
        <v>2568211</v>
      </c>
      <c r="I74" s="91"/>
      <c r="M74" s="91">
        <f t="shared" si="7"/>
        <v>2568211</v>
      </c>
      <c r="N74" s="91"/>
      <c r="O74" s="91">
        <f>IF(+M74=0,0,ROUND((+M74/SUM($M$72:$M$81))*$O$84,0))</f>
        <v>310145</v>
      </c>
      <c r="P74" s="91"/>
      <c r="Q74" s="107"/>
      <c r="R74" s="91"/>
      <c r="S74" s="91">
        <f t="shared" si="8"/>
        <v>2878356</v>
      </c>
      <c r="U74" s="84" t="s">
        <v>106</v>
      </c>
      <c r="V74" s="89"/>
      <c r="W74" s="85"/>
      <c r="X74" s="86"/>
      <c r="Y74" s="85"/>
      <c r="Z74" s="93">
        <f>SUM('[1]Sch 1A - Phased Increases'!Q22:Q26)+M83</f>
        <v>-8084376</v>
      </c>
    </row>
    <row r="75" spans="1:26" ht="15.75" x14ac:dyDescent="0.25">
      <c r="C75" s="62" t="s">
        <v>107</v>
      </c>
      <c r="E75" s="62"/>
      <c r="G75" s="91">
        <f>+S16</f>
        <v>1908116</v>
      </c>
      <c r="K75" s="77"/>
      <c r="M75" s="91">
        <f t="shared" si="7"/>
        <v>1908116</v>
      </c>
      <c r="N75" s="91"/>
      <c r="O75" s="91">
        <f>IF(+M75=0,0,ROUND((+M75/SUM($M$72:$M$81))*$O$84,0))</f>
        <v>230430</v>
      </c>
      <c r="P75" s="91"/>
      <c r="Q75" s="107"/>
      <c r="R75" s="91"/>
      <c r="S75" s="91">
        <f t="shared" si="8"/>
        <v>2138546</v>
      </c>
      <c r="U75" s="92"/>
      <c r="V75" s="89"/>
      <c r="W75" s="85"/>
      <c r="X75" s="86"/>
      <c r="Y75" s="85"/>
      <c r="Z75" s="87">
        <f>SUM(Z67:Z74)</f>
        <v>9567198</v>
      </c>
    </row>
    <row r="76" spans="1:26" ht="15.75" x14ac:dyDescent="0.25">
      <c r="C76" s="62" t="s">
        <v>49</v>
      </c>
      <c r="G76" s="91">
        <f>+S17</f>
        <v>1268542</v>
      </c>
      <c r="M76" s="91">
        <f t="shared" si="7"/>
        <v>1268542</v>
      </c>
      <c r="N76" s="91"/>
      <c r="O76" s="91">
        <f>IF(+M76=0,0,ROUND((+M76/SUM($M$72:$M$81))*$O$84,0))</f>
        <v>153193</v>
      </c>
      <c r="P76" s="91"/>
      <c r="Q76" s="107"/>
      <c r="R76" s="91"/>
      <c r="S76" s="91">
        <f t="shared" si="8"/>
        <v>1421735</v>
      </c>
      <c r="U76" s="84" t="s">
        <v>108</v>
      </c>
      <c r="V76" s="85"/>
      <c r="W76" s="85"/>
      <c r="X76" s="86"/>
      <c r="Y76" s="85"/>
      <c r="Z76" s="87">
        <f>+S108</f>
        <v>9567198</v>
      </c>
    </row>
    <row r="77" spans="1:26" ht="16.5" thickBot="1" x14ac:dyDescent="0.3">
      <c r="B77" s="62" t="s">
        <v>51</v>
      </c>
      <c r="G77" s="91"/>
      <c r="I77" s="91"/>
      <c r="K77" s="102"/>
      <c r="M77" s="91"/>
      <c r="N77" s="91"/>
      <c r="O77" s="91"/>
      <c r="P77" s="91"/>
      <c r="Q77" s="107"/>
      <c r="R77" s="91"/>
      <c r="S77" s="91"/>
      <c r="U77" s="84" t="s">
        <v>87</v>
      </c>
      <c r="V77" s="89"/>
      <c r="W77" s="85"/>
      <c r="X77" s="86"/>
      <c r="Y77" s="85"/>
      <c r="Z77" s="108">
        <f>+Z75-Z76</f>
        <v>0</v>
      </c>
    </row>
    <row r="78" spans="1:26" ht="17.25" thickTop="1" thickBot="1" x14ac:dyDescent="0.3">
      <c r="C78" s="62" t="s">
        <v>109</v>
      </c>
      <c r="G78" s="91">
        <f>+S19</f>
        <v>2694237</v>
      </c>
      <c r="I78" s="91"/>
      <c r="M78" s="91">
        <f t="shared" si="7"/>
        <v>2694237</v>
      </c>
      <c r="N78" s="91"/>
      <c r="O78" s="91">
        <f>IF(+M78=0,0,ROUND((+M78/SUM($M$72:$M$81))*$O$84,0))</f>
        <v>325365</v>
      </c>
      <c r="P78" s="91"/>
      <c r="Q78" s="107"/>
      <c r="R78" s="91"/>
      <c r="S78" s="91">
        <f t="shared" si="8"/>
        <v>3019602</v>
      </c>
      <c r="U78" s="96"/>
      <c r="V78" s="109"/>
      <c r="W78" s="97"/>
      <c r="X78" s="110"/>
      <c r="Y78" s="97"/>
      <c r="Z78" s="98"/>
    </row>
    <row r="79" spans="1:26" ht="15.75" x14ac:dyDescent="0.25">
      <c r="C79" s="62" t="s">
        <v>110</v>
      </c>
      <c r="G79" s="91">
        <f>+S20</f>
        <v>1134501</v>
      </c>
      <c r="I79" s="91"/>
      <c r="M79" s="91">
        <f t="shared" si="7"/>
        <v>1134501</v>
      </c>
      <c r="N79" s="91"/>
      <c r="O79" s="91">
        <f>IF(+M79=0,0,ROUND((+M79/SUM($M$72:$M$81))*$O$84,0))</f>
        <v>137006</v>
      </c>
      <c r="P79" s="91"/>
      <c r="Q79" s="107"/>
      <c r="R79" s="91"/>
      <c r="S79" s="91">
        <f t="shared" si="8"/>
        <v>1271507</v>
      </c>
      <c r="U79" s="85"/>
      <c r="V79" s="89"/>
      <c r="W79" s="85"/>
      <c r="X79" s="86"/>
      <c r="Y79" s="85"/>
      <c r="Z79" s="85"/>
    </row>
    <row r="80" spans="1:26" x14ac:dyDescent="0.25">
      <c r="C80" s="77" t="s">
        <v>112</v>
      </c>
      <c r="G80" s="91">
        <f>+S21</f>
        <v>626061</v>
      </c>
      <c r="I80" s="91"/>
      <c r="M80" s="91">
        <f t="shared" si="7"/>
        <v>626061</v>
      </c>
      <c r="N80" s="91"/>
      <c r="O80" s="91">
        <f>IF(+M80=0,0,ROUND((+M80/SUM($M$72:$M$81))*$O$84,0))</f>
        <v>75605</v>
      </c>
      <c r="P80" s="91"/>
      <c r="Q80" s="107"/>
      <c r="R80" s="91"/>
      <c r="S80" s="91">
        <f t="shared" si="8"/>
        <v>701666</v>
      </c>
    </row>
    <row r="81" spans="1:24" ht="15.75" x14ac:dyDescent="0.25">
      <c r="B81" s="62" t="s">
        <v>54</v>
      </c>
      <c r="G81" s="91">
        <f>+S22</f>
        <v>179652</v>
      </c>
      <c r="I81" s="91"/>
      <c r="K81" s="70"/>
      <c r="M81" s="91">
        <f t="shared" si="7"/>
        <v>179652</v>
      </c>
      <c r="N81" s="91"/>
      <c r="O81" s="91">
        <f>IF(+M74=0,0,ROUND((+M74/SUM($M$72:$M$81))*$O$84,0))</f>
        <v>310145</v>
      </c>
      <c r="P81" s="91"/>
      <c r="Q81" s="107"/>
      <c r="R81" s="91"/>
      <c r="S81" s="91">
        <f t="shared" si="8"/>
        <v>489797</v>
      </c>
    </row>
    <row r="82" spans="1:24" ht="15.75" x14ac:dyDescent="0.25">
      <c r="B82" s="62"/>
      <c r="G82" s="91"/>
      <c r="K82" s="77"/>
      <c r="M82" s="91"/>
      <c r="N82" s="91"/>
      <c r="O82" s="91"/>
      <c r="P82" s="91"/>
      <c r="Q82" s="107"/>
      <c r="R82" s="91"/>
      <c r="S82" s="91"/>
    </row>
    <row r="83" spans="1:24" ht="15.75" x14ac:dyDescent="0.25">
      <c r="B83" s="62" t="s">
        <v>113</v>
      </c>
      <c r="G83" s="91">
        <f>+S24</f>
        <v>524476</v>
      </c>
      <c r="K83" s="102"/>
      <c r="M83" s="91">
        <f t="shared" si="7"/>
        <v>524476</v>
      </c>
      <c r="N83" s="91"/>
      <c r="O83" s="91"/>
      <c r="P83" s="91"/>
      <c r="Q83" s="107"/>
      <c r="R83" s="91"/>
      <c r="S83" s="91">
        <f t="shared" si="8"/>
        <v>524476</v>
      </c>
    </row>
    <row r="84" spans="1:24" x14ac:dyDescent="0.25">
      <c r="B84" s="77" t="s">
        <v>88</v>
      </c>
      <c r="E84" s="77" t="s">
        <v>57</v>
      </c>
      <c r="G84" s="99">
        <f>SUM(G72:G83)</f>
        <v>35229931</v>
      </c>
      <c r="I84" s="99">
        <f>SUM(I72:I83)</f>
        <v>0</v>
      </c>
      <c r="M84" s="99">
        <f>SUM(M72:M83)</f>
        <v>35229931</v>
      </c>
      <c r="O84" s="99">
        <f>+'[1]Sch 1A - Phased Increases'!Q35</f>
        <v>4191142</v>
      </c>
      <c r="Q84" s="78">
        <v>1</v>
      </c>
      <c r="S84" s="99">
        <f>SUM(S72:S83)</f>
        <v>39421073</v>
      </c>
    </row>
    <row r="85" spans="1:24" ht="15.75" x14ac:dyDescent="0.25">
      <c r="E85" s="100"/>
      <c r="G85" s="91"/>
      <c r="I85" s="91"/>
      <c r="M85" s="91"/>
      <c r="O85" s="72"/>
      <c r="S85" s="91"/>
    </row>
    <row r="86" spans="1:24" x14ac:dyDescent="0.25">
      <c r="A86" s="77" t="s">
        <v>114</v>
      </c>
      <c r="G86" s="91"/>
      <c r="I86" s="91"/>
      <c r="M86" s="91"/>
      <c r="O86" s="91"/>
      <c r="S86" s="91"/>
    </row>
    <row r="87" spans="1:24" ht="15.75" x14ac:dyDescent="0.25">
      <c r="B87" s="73" t="s">
        <v>58</v>
      </c>
      <c r="C87" s="73"/>
      <c r="D87" s="73"/>
      <c r="E87" s="62"/>
      <c r="G87" s="91">
        <f>+S28</f>
        <v>7654296</v>
      </c>
      <c r="I87" s="91"/>
      <c r="K87" s="102"/>
      <c r="M87" s="91">
        <f>+G87+I87</f>
        <v>7654296</v>
      </c>
      <c r="O87" s="91"/>
      <c r="S87" s="91">
        <f>+M87+O87</f>
        <v>7654296</v>
      </c>
    </row>
    <row r="88" spans="1:24" ht="15.75" x14ac:dyDescent="0.25">
      <c r="B88" s="73" t="s">
        <v>59</v>
      </c>
      <c r="C88" s="73"/>
      <c r="D88" s="73"/>
      <c r="G88" s="91">
        <f>+S29</f>
        <v>4477433</v>
      </c>
      <c r="I88" s="91"/>
      <c r="K88" s="102"/>
      <c r="M88" s="91">
        <f t="shared" ref="M88:M98" si="9">+G88+I88</f>
        <v>4477433</v>
      </c>
      <c r="O88" s="91"/>
      <c r="S88" s="91">
        <f t="shared" ref="S88:S100" si="10">+M88+O88</f>
        <v>4477433</v>
      </c>
    </row>
    <row r="89" spans="1:24" ht="15.75" x14ac:dyDescent="0.25">
      <c r="B89" s="37" t="s">
        <v>60</v>
      </c>
      <c r="C89" s="73"/>
      <c r="D89" s="73"/>
      <c r="G89" s="91">
        <f t="shared" ref="G89:G98" si="11">+S35</f>
        <v>1331344</v>
      </c>
      <c r="I89" s="91"/>
      <c r="K89" s="102"/>
      <c r="M89" s="91">
        <f t="shared" si="9"/>
        <v>1331344</v>
      </c>
      <c r="O89" s="91"/>
      <c r="S89" s="91">
        <f t="shared" si="10"/>
        <v>1331344</v>
      </c>
      <c r="U89" s="91"/>
      <c r="V89" s="91"/>
      <c r="W89" s="91"/>
    </row>
    <row r="90" spans="1:24" ht="15.75" x14ac:dyDescent="0.25">
      <c r="B90" s="37" t="s">
        <v>61</v>
      </c>
      <c r="C90" s="73"/>
      <c r="D90" s="73"/>
      <c r="G90" s="91">
        <f t="shared" si="11"/>
        <v>1096964</v>
      </c>
      <c r="I90" s="91"/>
      <c r="K90" s="102"/>
      <c r="M90" s="91">
        <f t="shared" si="9"/>
        <v>1096964</v>
      </c>
      <c r="O90" s="91"/>
      <c r="S90" s="91">
        <f t="shared" si="10"/>
        <v>1096964</v>
      </c>
      <c r="U90" s="91"/>
      <c r="V90" s="91"/>
      <c r="W90" s="91"/>
    </row>
    <row r="91" spans="1:24" ht="15.75" x14ac:dyDescent="0.25">
      <c r="B91" s="37" t="s">
        <v>62</v>
      </c>
      <c r="C91" s="73"/>
      <c r="D91" s="73"/>
      <c r="G91" s="91">
        <f t="shared" si="11"/>
        <v>1024473</v>
      </c>
      <c r="I91" s="91"/>
      <c r="K91" s="102"/>
      <c r="M91" s="91">
        <f t="shared" si="9"/>
        <v>1024473</v>
      </c>
      <c r="O91" s="91"/>
      <c r="S91" s="91">
        <f t="shared" si="10"/>
        <v>1024473</v>
      </c>
      <c r="U91" s="91"/>
      <c r="V91" s="91"/>
      <c r="W91" s="91"/>
    </row>
    <row r="92" spans="1:24" ht="15.75" x14ac:dyDescent="0.25">
      <c r="B92" s="37" t="s">
        <v>63</v>
      </c>
      <c r="C92" s="73"/>
      <c r="D92" s="73"/>
      <c r="G92" s="91">
        <f t="shared" si="11"/>
        <v>3340436</v>
      </c>
      <c r="I92" s="91"/>
      <c r="K92" s="102"/>
      <c r="M92" s="91">
        <f t="shared" si="9"/>
        <v>3340436</v>
      </c>
      <c r="O92" s="91"/>
      <c r="S92" s="91">
        <f t="shared" si="10"/>
        <v>3340436</v>
      </c>
      <c r="U92" s="89"/>
      <c r="V92" s="85"/>
      <c r="W92" s="89"/>
      <c r="X92" s="85"/>
    </row>
    <row r="93" spans="1:24" ht="15.75" x14ac:dyDescent="0.25">
      <c r="B93" s="37" t="s">
        <v>65</v>
      </c>
      <c r="C93" s="73"/>
      <c r="D93" s="73"/>
      <c r="G93" s="91">
        <f t="shared" si="11"/>
        <v>2733002</v>
      </c>
      <c r="I93" s="91"/>
      <c r="K93" s="102"/>
      <c r="M93" s="91">
        <f t="shared" si="9"/>
        <v>2733002</v>
      </c>
      <c r="O93" s="91"/>
      <c r="S93" s="91">
        <f t="shared" si="10"/>
        <v>2733002</v>
      </c>
      <c r="U93" s="89"/>
      <c r="V93" s="89"/>
      <c r="W93" s="89"/>
      <c r="X93" s="85"/>
    </row>
    <row r="94" spans="1:24" ht="15.75" x14ac:dyDescent="0.25">
      <c r="B94" s="37" t="s">
        <v>66</v>
      </c>
      <c r="C94" s="73"/>
      <c r="D94" s="73"/>
      <c r="G94" s="91">
        <f t="shared" si="11"/>
        <v>234918</v>
      </c>
      <c r="I94" s="91"/>
      <c r="K94" s="102"/>
      <c r="M94" s="91">
        <f t="shared" si="9"/>
        <v>234918</v>
      </c>
      <c r="O94" s="91"/>
      <c r="S94" s="91">
        <f t="shared" si="10"/>
        <v>234918</v>
      </c>
    </row>
    <row r="95" spans="1:24" ht="15.75" x14ac:dyDescent="0.25">
      <c r="B95" s="37" t="s">
        <v>67</v>
      </c>
      <c r="C95" s="73"/>
      <c r="D95" s="73"/>
      <c r="G95" s="91">
        <f t="shared" si="11"/>
        <v>276125</v>
      </c>
      <c r="I95" s="91"/>
      <c r="K95" s="70"/>
      <c r="M95" s="91">
        <f t="shared" si="9"/>
        <v>276125</v>
      </c>
      <c r="O95" s="91"/>
      <c r="S95" s="91">
        <f t="shared" si="10"/>
        <v>276125</v>
      </c>
    </row>
    <row r="96" spans="1:24" ht="15.75" x14ac:dyDescent="0.25">
      <c r="B96" s="37" t="s">
        <v>68</v>
      </c>
      <c r="C96" s="73"/>
      <c r="D96" s="73"/>
      <c r="G96" s="91">
        <f t="shared" si="11"/>
        <v>351141</v>
      </c>
      <c r="I96" s="91"/>
      <c r="K96" s="102"/>
      <c r="M96" s="91">
        <f t="shared" si="9"/>
        <v>351141</v>
      </c>
      <c r="O96" s="91">
        <f>+'[1]Sch 1A - Phased Increases'!Q64</f>
        <v>20153</v>
      </c>
      <c r="Q96" s="102">
        <v>1</v>
      </c>
      <c r="S96" s="91">
        <f t="shared" si="10"/>
        <v>371294</v>
      </c>
    </row>
    <row r="97" spans="1:23" ht="15.75" x14ac:dyDescent="0.25">
      <c r="B97" s="37" t="s">
        <v>69</v>
      </c>
      <c r="C97" s="73"/>
      <c r="D97" s="73"/>
      <c r="G97" s="91">
        <f t="shared" si="11"/>
        <v>166815</v>
      </c>
      <c r="I97" s="91"/>
      <c r="K97" s="102"/>
      <c r="M97" s="91">
        <f t="shared" si="9"/>
        <v>166815</v>
      </c>
      <c r="O97" s="91"/>
      <c r="S97" s="91">
        <f t="shared" si="10"/>
        <v>166815</v>
      </c>
    </row>
    <row r="98" spans="1:23" ht="15.75" x14ac:dyDescent="0.25">
      <c r="B98" s="37" t="s">
        <v>70</v>
      </c>
      <c r="C98" s="73"/>
      <c r="D98" s="73"/>
      <c r="G98" s="91">
        <f t="shared" si="11"/>
        <v>330472</v>
      </c>
      <c r="I98" s="91"/>
      <c r="K98" s="102"/>
      <c r="M98" s="91">
        <f t="shared" si="9"/>
        <v>330472</v>
      </c>
      <c r="O98" s="91"/>
      <c r="S98" s="91">
        <f t="shared" si="10"/>
        <v>330472</v>
      </c>
    </row>
    <row r="99" spans="1:23" ht="15.75" x14ac:dyDescent="0.25">
      <c r="B99" s="73"/>
      <c r="E99" s="70"/>
      <c r="I99" s="91"/>
      <c r="K99" s="102"/>
      <c r="M99" s="91"/>
      <c r="O99" s="91"/>
      <c r="S99" s="91"/>
      <c r="U99" s="74"/>
    </row>
    <row r="100" spans="1:23" ht="15.75" x14ac:dyDescent="0.25">
      <c r="A100" s="77" t="s">
        <v>72</v>
      </c>
      <c r="G100" s="91">
        <f>+S49</f>
        <v>3845446</v>
      </c>
      <c r="I100" s="91"/>
      <c r="K100" s="70"/>
      <c r="M100" s="91">
        <f>+G100+I100</f>
        <v>3845446</v>
      </c>
      <c r="O100" s="91"/>
      <c r="S100" s="91">
        <f t="shared" si="10"/>
        <v>3845446</v>
      </c>
    </row>
    <row r="101" spans="1:23" x14ac:dyDescent="0.25">
      <c r="G101" s="91"/>
      <c r="I101" s="91"/>
      <c r="M101" s="91"/>
      <c r="O101" s="91"/>
      <c r="S101" s="91"/>
    </row>
    <row r="102" spans="1:23" x14ac:dyDescent="0.25">
      <c r="A102" s="77" t="s">
        <v>74</v>
      </c>
      <c r="G102" s="91"/>
      <c r="I102" s="91"/>
      <c r="M102" s="91"/>
      <c r="Q102" s="77"/>
      <c r="S102" s="91"/>
    </row>
    <row r="103" spans="1:23" ht="15.75" x14ac:dyDescent="0.25">
      <c r="B103" s="62" t="s">
        <v>24</v>
      </c>
      <c r="G103" s="91">
        <f>+S52</f>
        <v>1882300</v>
      </c>
      <c r="I103" s="91">
        <f>+M103-G103</f>
        <v>626800</v>
      </c>
      <c r="K103" s="102" t="s">
        <v>27</v>
      </c>
      <c r="M103" s="91">
        <f>+'[1]Sch 1A - Phased Increases'!Q16</f>
        <v>2509100</v>
      </c>
      <c r="O103" s="91"/>
      <c r="S103" s="91">
        <f t="shared" ref="S103:S104" si="12">+M103+O103</f>
        <v>2509100</v>
      </c>
      <c r="U103" s="62"/>
    </row>
    <row r="104" spans="1:23" ht="15.75" x14ac:dyDescent="0.25">
      <c r="B104" s="73" t="s">
        <v>76</v>
      </c>
      <c r="C104" s="73"/>
      <c r="D104" s="73"/>
      <c r="G104" s="91">
        <f>+S53</f>
        <v>412753</v>
      </c>
      <c r="I104" s="91"/>
      <c r="K104" s="70"/>
      <c r="M104" s="91">
        <f t="shared" ref="M104" si="13">+G104+I104</f>
        <v>412753</v>
      </c>
      <c r="O104" s="72">
        <f>+'[1]Sch 1A - Phased Increases'!Q67</f>
        <v>49004</v>
      </c>
      <c r="P104" s="62"/>
      <c r="Q104" s="63">
        <v>1</v>
      </c>
      <c r="R104" s="62"/>
      <c r="S104" s="91">
        <f t="shared" si="12"/>
        <v>461757</v>
      </c>
      <c r="U104" s="75"/>
      <c r="W104" s="75"/>
    </row>
    <row r="105" spans="1:23" x14ac:dyDescent="0.25">
      <c r="G105" s="91"/>
      <c r="I105" s="91"/>
      <c r="M105" s="91"/>
      <c r="O105" s="91"/>
      <c r="S105" s="91"/>
      <c r="U105" s="100"/>
    </row>
    <row r="106" spans="1:23" x14ac:dyDescent="0.25">
      <c r="E106" s="77" t="s">
        <v>77</v>
      </c>
      <c r="G106" s="99">
        <f>SUM(G86:G105)</f>
        <v>29157918</v>
      </c>
      <c r="I106" s="99">
        <f>SUM(I86:I105)</f>
        <v>626800</v>
      </c>
      <c r="M106" s="99">
        <f>SUM(M86:M105)</f>
        <v>29784718</v>
      </c>
      <c r="O106" s="99">
        <f>SUM(O86:O105)</f>
        <v>69157</v>
      </c>
      <c r="S106" s="99">
        <f>SUM(S86:S105)</f>
        <v>29853875</v>
      </c>
      <c r="U106" s="100"/>
    </row>
    <row r="107" spans="1:23" x14ac:dyDescent="0.25">
      <c r="G107" s="91"/>
      <c r="I107" s="91"/>
      <c r="M107" s="91"/>
      <c r="O107" s="91"/>
      <c r="S107" s="91"/>
    </row>
    <row r="108" spans="1:23" ht="15.75" thickBot="1" x14ac:dyDescent="0.3">
      <c r="A108" s="77" t="s">
        <v>78</v>
      </c>
      <c r="G108" s="106">
        <f>+G84-G106</f>
        <v>6072013</v>
      </c>
      <c r="I108" s="106">
        <f>+I84-I106</f>
        <v>-626800</v>
      </c>
      <c r="M108" s="106">
        <f>+M84-M106</f>
        <v>5445213</v>
      </c>
      <c r="O108" s="106">
        <f>+O84-O106</f>
        <v>4121985</v>
      </c>
      <c r="S108" s="106">
        <f>+S84-S106</f>
        <v>9567198</v>
      </c>
    </row>
    <row r="109" spans="1:23" ht="15.75" thickTop="1" x14ac:dyDescent="0.25">
      <c r="G109" s="91"/>
      <c r="I109" s="91"/>
      <c r="M109" s="91"/>
      <c r="O109" s="91"/>
      <c r="S109" s="91"/>
    </row>
    <row r="110" spans="1:23" ht="15.75" x14ac:dyDescent="0.25">
      <c r="S110" s="52" t="s">
        <v>2</v>
      </c>
    </row>
    <row r="111" spans="1:23" x14ac:dyDescent="0.25">
      <c r="S111" s="79" t="s">
        <v>89</v>
      </c>
    </row>
    <row r="112" spans="1:23" ht="15.75" x14ac:dyDescent="0.25">
      <c r="S112" s="52" t="s">
        <v>128</v>
      </c>
    </row>
    <row r="113" spans="1:26" ht="15.75" x14ac:dyDescent="0.25">
      <c r="A113" s="400" t="str">
        <f>+A4</f>
        <v>Municipal Water</v>
      </c>
      <c r="B113" s="400"/>
      <c r="C113" s="400"/>
      <c r="D113" s="400"/>
      <c r="E113" s="400"/>
      <c r="F113" s="400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  <c r="Q113" s="400"/>
      <c r="R113" s="400"/>
      <c r="S113" s="400"/>
    </row>
    <row r="114" spans="1:26" ht="15.75" x14ac:dyDescent="0.25">
      <c r="A114" s="400" t="str">
        <f>+A5</f>
        <v>Cause Number XXXXX</v>
      </c>
      <c r="B114" s="400"/>
      <c r="C114" s="400"/>
      <c r="D114" s="400"/>
      <c r="E114" s="400"/>
      <c r="F114" s="400"/>
      <c r="G114" s="400"/>
      <c r="H114" s="400"/>
      <c r="I114" s="400"/>
      <c r="J114" s="400"/>
      <c r="K114" s="400"/>
      <c r="L114" s="400"/>
      <c r="M114" s="400"/>
      <c r="N114" s="400"/>
      <c r="O114" s="400"/>
      <c r="P114" s="400"/>
      <c r="Q114" s="400"/>
      <c r="R114" s="400"/>
      <c r="S114" s="400"/>
    </row>
    <row r="115" spans="1:26" ht="15.75" thickBot="1" x14ac:dyDescent="0.3"/>
    <row r="116" spans="1:26" ht="15.75" x14ac:dyDescent="0.25">
      <c r="A116" s="409" t="s">
        <v>129</v>
      </c>
      <c r="B116" s="409"/>
      <c r="C116" s="409"/>
      <c r="D116" s="409"/>
      <c r="E116" s="409"/>
      <c r="F116" s="409"/>
      <c r="G116" s="409"/>
      <c r="H116" s="409"/>
      <c r="I116" s="409"/>
      <c r="J116" s="409"/>
      <c r="K116" s="409"/>
      <c r="L116" s="409"/>
      <c r="M116" s="409"/>
      <c r="N116" s="409"/>
      <c r="O116" s="409"/>
      <c r="P116" s="409"/>
      <c r="Q116" s="409"/>
      <c r="R116" s="409"/>
      <c r="S116" s="409"/>
      <c r="U116" s="80" t="s">
        <v>92</v>
      </c>
      <c r="V116" s="81"/>
      <c r="W116" s="81"/>
      <c r="X116" s="82"/>
      <c r="Y116" s="81"/>
      <c r="Z116" s="83"/>
    </row>
    <row r="117" spans="1:26" ht="15.7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U117" s="84"/>
      <c r="V117" s="85"/>
      <c r="W117" s="85"/>
      <c r="X117" s="86"/>
      <c r="Y117" s="85"/>
      <c r="Z117" s="87"/>
    </row>
    <row r="118" spans="1:26" ht="15.75" x14ac:dyDescent="0.25">
      <c r="G118" s="53" t="s">
        <v>28</v>
      </c>
      <c r="S118" s="53" t="s">
        <v>29</v>
      </c>
      <c r="U118" s="84" t="s">
        <v>93</v>
      </c>
      <c r="V118" s="85"/>
      <c r="W118" s="85"/>
      <c r="X118" s="86"/>
      <c r="Y118" s="85"/>
      <c r="Z118" s="87">
        <f>+'[1]Sch 1A - Phased Increases'!AC15-'[1]Sch 4'!S151</f>
        <v>2308755</v>
      </c>
    </row>
    <row r="119" spans="1:26" ht="15.75" x14ac:dyDescent="0.25">
      <c r="G119" s="76" t="s">
        <v>95</v>
      </c>
      <c r="M119" s="76" t="s">
        <v>95</v>
      </c>
      <c r="O119" s="88"/>
      <c r="S119" s="76" t="s">
        <v>95</v>
      </c>
      <c r="U119" s="57" t="s">
        <v>24</v>
      </c>
      <c r="V119" s="85"/>
      <c r="W119" s="85"/>
      <c r="X119" s="86"/>
      <c r="Y119" s="85"/>
      <c r="Z119" s="87">
        <v>0</v>
      </c>
    </row>
    <row r="120" spans="1:26" ht="15.75" x14ac:dyDescent="0.25">
      <c r="G120" s="59" t="s">
        <v>19</v>
      </c>
      <c r="K120" s="59" t="s">
        <v>26</v>
      </c>
      <c r="M120" s="53" t="s">
        <v>97</v>
      </c>
      <c r="Q120" s="59" t="s">
        <v>26</v>
      </c>
      <c r="S120" s="59" t="s">
        <v>19</v>
      </c>
      <c r="U120" s="84" t="s">
        <v>25</v>
      </c>
      <c r="V120" s="85"/>
      <c r="W120" s="85"/>
      <c r="X120" s="86"/>
      <c r="Y120" s="85"/>
      <c r="Z120" s="87">
        <f>+'[1]Sch 1A - Phased Increases'!AC18+'[1]Sch 1A - Phased Increases'!AC19</f>
        <v>17825770</v>
      </c>
    </row>
    <row r="121" spans="1:26" ht="15.75" x14ac:dyDescent="0.25">
      <c r="G121" s="60" t="s">
        <v>99</v>
      </c>
      <c r="I121" s="60" t="s">
        <v>98</v>
      </c>
      <c r="K121" s="60" t="s">
        <v>18</v>
      </c>
      <c r="M121" s="60" t="s">
        <v>99</v>
      </c>
      <c r="O121" s="60" t="s">
        <v>98</v>
      </c>
      <c r="Q121" s="60" t="s">
        <v>18</v>
      </c>
      <c r="S121" s="60" t="s">
        <v>99</v>
      </c>
      <c r="U121" s="84" t="s">
        <v>100</v>
      </c>
      <c r="V121" s="89"/>
      <c r="W121" s="85"/>
      <c r="X121" s="86"/>
      <c r="Y121" s="85"/>
      <c r="Z121" s="87">
        <v>0</v>
      </c>
    </row>
    <row r="122" spans="1:26" ht="15.75" x14ac:dyDescent="0.25">
      <c r="A122" s="77" t="s">
        <v>44</v>
      </c>
      <c r="U122" s="57" t="s">
        <v>126</v>
      </c>
      <c r="V122" s="89"/>
      <c r="W122" s="85"/>
      <c r="X122" s="86"/>
      <c r="Y122" s="85"/>
      <c r="Z122" s="87">
        <v>0</v>
      </c>
    </row>
    <row r="123" spans="1:26" ht="15.75" x14ac:dyDescent="0.25">
      <c r="C123" s="62" t="s">
        <v>101</v>
      </c>
      <c r="G123" s="88">
        <f>+S72</f>
        <v>18497973</v>
      </c>
      <c r="I123" s="88"/>
      <c r="M123" s="90">
        <f>+G123+I123</f>
        <v>18497973</v>
      </c>
      <c r="O123" s="91">
        <v>1463720</v>
      </c>
      <c r="S123" s="90">
        <f>+M123+O123</f>
        <v>19961693</v>
      </c>
      <c r="U123" s="84" t="s">
        <v>127</v>
      </c>
      <c r="V123" s="89"/>
      <c r="W123" s="85"/>
      <c r="X123" s="86"/>
      <c r="Y123" s="85"/>
      <c r="Z123" s="87">
        <v>0</v>
      </c>
    </row>
    <row r="124" spans="1:26" ht="15.75" x14ac:dyDescent="0.25">
      <c r="C124" s="62" t="s">
        <v>104</v>
      </c>
      <c r="G124" s="91">
        <f>+S73</f>
        <v>8477415</v>
      </c>
      <c r="M124" s="91">
        <f t="shared" ref="M124:M134" si="14">+G124+I124</f>
        <v>8477415</v>
      </c>
      <c r="O124" s="91">
        <v>670807</v>
      </c>
      <c r="S124" s="91">
        <f t="shared" ref="S124:S134" si="15">+M124+O124</f>
        <v>9148222</v>
      </c>
      <c r="U124" s="84" t="s">
        <v>103</v>
      </c>
      <c r="V124" s="85"/>
      <c r="W124" s="85"/>
      <c r="X124" s="86"/>
      <c r="Y124" s="85"/>
      <c r="Z124" s="87">
        <v>0</v>
      </c>
    </row>
    <row r="125" spans="1:26" ht="15.75" x14ac:dyDescent="0.25">
      <c r="C125" s="62" t="s">
        <v>105</v>
      </c>
      <c r="D125" s="62"/>
      <c r="E125" s="62"/>
      <c r="G125" s="91">
        <f>+S74</f>
        <v>2878356</v>
      </c>
      <c r="I125" s="91"/>
      <c r="M125" s="91">
        <f t="shared" si="14"/>
        <v>2878356</v>
      </c>
      <c r="O125" s="91">
        <v>227760</v>
      </c>
      <c r="S125" s="91">
        <f t="shared" si="15"/>
        <v>3106116</v>
      </c>
      <c r="U125" s="84" t="s">
        <v>106</v>
      </c>
      <c r="V125" s="89"/>
      <c r="W125" s="85"/>
      <c r="X125" s="86"/>
      <c r="Y125" s="85"/>
      <c r="Z125" s="93">
        <f>SUM('[1]Sch 1A - Phased Increases'!AC22:AC26)+'[1]Sch 4'!M134</f>
        <v>-8144078</v>
      </c>
    </row>
    <row r="126" spans="1:26" ht="15.75" x14ac:dyDescent="0.25">
      <c r="C126" s="62" t="s">
        <v>107</v>
      </c>
      <c r="E126" s="62"/>
      <c r="G126" s="91">
        <f>+S75</f>
        <v>2138546</v>
      </c>
      <c r="K126" s="77"/>
      <c r="M126" s="91">
        <f t="shared" si="14"/>
        <v>2138546</v>
      </c>
      <c r="O126" s="91">
        <v>169220</v>
      </c>
      <c r="S126" s="91">
        <f t="shared" si="15"/>
        <v>2307766</v>
      </c>
      <c r="U126" s="92"/>
      <c r="V126" s="89"/>
      <c r="W126" s="85"/>
      <c r="X126" s="86"/>
      <c r="Y126" s="85"/>
      <c r="Z126" s="87">
        <f>SUM(Z118:Z125)</f>
        <v>11990447</v>
      </c>
    </row>
    <row r="127" spans="1:26" ht="15.75" x14ac:dyDescent="0.25">
      <c r="C127" s="62" t="s">
        <v>49</v>
      </c>
      <c r="G127" s="91">
        <f>+S76</f>
        <v>1421735</v>
      </c>
      <c r="M127" s="91">
        <f t="shared" si="14"/>
        <v>1421735</v>
      </c>
      <c r="O127" s="91">
        <v>112500</v>
      </c>
      <c r="S127" s="91">
        <f t="shared" si="15"/>
        <v>1534235</v>
      </c>
      <c r="U127" s="84" t="s">
        <v>108</v>
      </c>
      <c r="V127" s="85"/>
      <c r="W127" s="85"/>
      <c r="X127" s="86"/>
      <c r="Y127" s="85"/>
      <c r="Z127" s="87">
        <f>+S159</f>
        <v>11990448</v>
      </c>
    </row>
    <row r="128" spans="1:26" ht="16.5" thickBot="1" x14ac:dyDescent="0.3">
      <c r="B128" s="62" t="s">
        <v>51</v>
      </c>
      <c r="G128" s="91"/>
      <c r="I128" s="91"/>
      <c r="K128" s="102"/>
      <c r="M128" s="91"/>
      <c r="O128" s="91"/>
      <c r="S128" s="91"/>
      <c r="U128" s="84" t="s">
        <v>87</v>
      </c>
      <c r="V128" s="89"/>
      <c r="W128" s="85"/>
      <c r="X128" s="86"/>
      <c r="Y128" s="85"/>
      <c r="Z128" s="108">
        <f>+Z126-Z127</f>
        <v>-1</v>
      </c>
    </row>
    <row r="129" spans="1:26" ht="17.25" thickTop="1" thickBot="1" x14ac:dyDescent="0.3">
      <c r="C129" s="62" t="s">
        <v>109</v>
      </c>
      <c r="G129" s="91">
        <f>+S78</f>
        <v>3019602</v>
      </c>
      <c r="I129" s="91"/>
      <c r="M129" s="91">
        <f t="shared" si="14"/>
        <v>3019602</v>
      </c>
      <c r="O129" s="91">
        <v>238937</v>
      </c>
      <c r="S129" s="91">
        <f t="shared" si="15"/>
        <v>3258539</v>
      </c>
      <c r="U129" s="96"/>
      <c r="V129" s="109"/>
      <c r="W129" s="97"/>
      <c r="X129" s="110"/>
      <c r="Y129" s="97"/>
      <c r="Z129" s="98"/>
    </row>
    <row r="130" spans="1:26" ht="15.75" x14ac:dyDescent="0.25">
      <c r="C130" s="62" t="s">
        <v>110</v>
      </c>
      <c r="G130" s="91">
        <f>+S79</f>
        <v>1271507</v>
      </c>
      <c r="I130" s="91"/>
      <c r="M130" s="91">
        <f t="shared" si="14"/>
        <v>1271507</v>
      </c>
      <c r="O130" s="91">
        <v>100613</v>
      </c>
      <c r="S130" s="91">
        <f t="shared" si="15"/>
        <v>1372120</v>
      </c>
      <c r="U130" s="85"/>
      <c r="V130" s="89"/>
      <c r="W130" s="85"/>
      <c r="X130" s="86"/>
      <c r="Y130" s="85"/>
      <c r="Z130" s="85"/>
    </row>
    <row r="131" spans="1:26" x14ac:dyDescent="0.25">
      <c r="C131" s="77" t="s">
        <v>112</v>
      </c>
      <c r="G131" s="91">
        <f>+S80</f>
        <v>701666</v>
      </c>
      <c r="I131" s="91"/>
      <c r="M131" s="91">
        <f t="shared" si="14"/>
        <v>701666</v>
      </c>
      <c r="O131" s="91">
        <v>55522</v>
      </c>
      <c r="S131" s="91">
        <f t="shared" si="15"/>
        <v>757188</v>
      </c>
    </row>
    <row r="132" spans="1:26" ht="15.75" x14ac:dyDescent="0.25">
      <c r="B132" s="62" t="s">
        <v>54</v>
      </c>
      <c r="G132" s="91">
        <f>+S81</f>
        <v>489797</v>
      </c>
      <c r="I132" s="91"/>
      <c r="K132" s="70"/>
      <c r="M132" s="91">
        <f t="shared" si="14"/>
        <v>489797</v>
      </c>
      <c r="O132" s="91">
        <v>38757</v>
      </c>
      <c r="S132" s="91">
        <f t="shared" si="15"/>
        <v>528554</v>
      </c>
    </row>
    <row r="133" spans="1:26" ht="15.75" x14ac:dyDescent="0.25">
      <c r="B133" s="62"/>
      <c r="G133" s="91"/>
      <c r="K133" s="77"/>
      <c r="M133" s="91"/>
      <c r="O133" s="91"/>
      <c r="S133" s="91"/>
    </row>
    <row r="134" spans="1:26" ht="15.75" x14ac:dyDescent="0.25">
      <c r="B134" s="62" t="s">
        <v>113</v>
      </c>
      <c r="G134" s="91">
        <f>+S83</f>
        <v>524476</v>
      </c>
      <c r="K134" s="102"/>
      <c r="M134" s="91">
        <f t="shared" si="14"/>
        <v>524476</v>
      </c>
      <c r="O134" s="91"/>
      <c r="S134" s="91">
        <f t="shared" si="15"/>
        <v>524476</v>
      </c>
    </row>
    <row r="135" spans="1:26" x14ac:dyDescent="0.25">
      <c r="E135" s="77" t="s">
        <v>57</v>
      </c>
      <c r="G135" s="99">
        <f>SUM(G123:G134)</f>
        <v>39421073</v>
      </c>
      <c r="I135" s="99">
        <f>SUM(I123:I134)</f>
        <v>0</v>
      </c>
      <c r="M135" s="99">
        <f>SUM(M123:M134)</f>
        <v>39421073</v>
      </c>
      <c r="O135" s="99">
        <f>SUM(O123:O134)</f>
        <v>3077836</v>
      </c>
      <c r="Q135" s="78">
        <v>1</v>
      </c>
      <c r="S135" s="99">
        <f>SUM(S123:S134)</f>
        <v>42498909</v>
      </c>
    </row>
    <row r="136" spans="1:26" ht="15.75" x14ac:dyDescent="0.25">
      <c r="E136" s="100"/>
      <c r="G136" s="91"/>
      <c r="I136" s="91"/>
      <c r="M136" s="91"/>
      <c r="O136" s="72"/>
      <c r="S136" s="91"/>
    </row>
    <row r="137" spans="1:26" x14ac:dyDescent="0.25">
      <c r="A137" s="77" t="s">
        <v>114</v>
      </c>
      <c r="G137" s="91"/>
      <c r="I137" s="91"/>
      <c r="M137" s="91"/>
      <c r="O137" s="91"/>
      <c r="S137" s="91"/>
    </row>
    <row r="138" spans="1:26" ht="15.75" x14ac:dyDescent="0.25">
      <c r="B138" s="73" t="s">
        <v>58</v>
      </c>
      <c r="D138" s="73"/>
      <c r="E138" s="62"/>
      <c r="G138" s="91">
        <f t="shared" ref="G138:G149" si="16">+S87</f>
        <v>7654296</v>
      </c>
      <c r="I138" s="91"/>
      <c r="K138" s="102"/>
      <c r="M138" s="91">
        <f>+G138+I138</f>
        <v>7654296</v>
      </c>
      <c r="O138" s="91"/>
      <c r="S138" s="91">
        <f>+M138+O138</f>
        <v>7654296</v>
      </c>
    </row>
    <row r="139" spans="1:26" ht="15.75" x14ac:dyDescent="0.25">
      <c r="B139" s="73" t="s">
        <v>59</v>
      </c>
      <c r="C139" s="73"/>
      <c r="D139" s="73"/>
      <c r="G139" s="91">
        <f t="shared" si="16"/>
        <v>4477433</v>
      </c>
      <c r="I139" s="91"/>
      <c r="K139" s="102"/>
      <c r="M139" s="91">
        <f t="shared" ref="M139:M155" si="17">+G139+I139</f>
        <v>4477433</v>
      </c>
      <c r="O139" s="91"/>
      <c r="S139" s="91">
        <f t="shared" ref="S139:S151" si="18">+M139+O139</f>
        <v>4477433</v>
      </c>
    </row>
    <row r="140" spans="1:26" ht="15.75" x14ac:dyDescent="0.25">
      <c r="B140" s="37" t="s">
        <v>60</v>
      </c>
      <c r="C140" s="73"/>
      <c r="D140" s="73"/>
      <c r="G140" s="91">
        <f t="shared" si="16"/>
        <v>1331344</v>
      </c>
      <c r="I140" s="91"/>
      <c r="K140" s="102"/>
      <c r="M140" s="91">
        <f t="shared" si="17"/>
        <v>1331344</v>
      </c>
      <c r="O140" s="91"/>
      <c r="S140" s="91">
        <f t="shared" si="18"/>
        <v>1331344</v>
      </c>
      <c r="U140" s="91"/>
      <c r="V140" s="91"/>
      <c r="W140" s="91"/>
    </row>
    <row r="141" spans="1:26" ht="15.75" x14ac:dyDescent="0.25">
      <c r="B141" s="37" t="s">
        <v>61</v>
      </c>
      <c r="C141" s="73"/>
      <c r="D141" s="73"/>
      <c r="G141" s="91">
        <f t="shared" si="16"/>
        <v>1096964</v>
      </c>
      <c r="I141" s="91"/>
      <c r="K141" s="102"/>
      <c r="M141" s="91">
        <f t="shared" si="17"/>
        <v>1096964</v>
      </c>
      <c r="O141" s="91"/>
      <c r="S141" s="91">
        <f t="shared" si="18"/>
        <v>1096964</v>
      </c>
      <c r="U141" s="91"/>
      <c r="V141" s="91"/>
      <c r="W141" s="91"/>
    </row>
    <row r="142" spans="1:26" ht="15.75" x14ac:dyDescent="0.25">
      <c r="B142" s="37" t="s">
        <v>62</v>
      </c>
      <c r="C142" s="73"/>
      <c r="D142" s="73"/>
      <c r="G142" s="91">
        <f t="shared" si="16"/>
        <v>1024473</v>
      </c>
      <c r="I142" s="91"/>
      <c r="K142" s="102"/>
      <c r="M142" s="91">
        <f t="shared" si="17"/>
        <v>1024473</v>
      </c>
      <c r="O142" s="91"/>
      <c r="S142" s="91">
        <f t="shared" si="18"/>
        <v>1024473</v>
      </c>
      <c r="U142" s="91"/>
      <c r="V142" s="91"/>
      <c r="W142" s="91"/>
    </row>
    <row r="143" spans="1:26" ht="15.75" x14ac:dyDescent="0.25">
      <c r="B143" s="37" t="s">
        <v>63</v>
      </c>
      <c r="C143" s="73"/>
      <c r="D143" s="73"/>
      <c r="G143" s="91">
        <f t="shared" si="16"/>
        <v>3340436</v>
      </c>
      <c r="I143" s="91"/>
      <c r="K143" s="102"/>
      <c r="M143" s="91">
        <f t="shared" si="17"/>
        <v>3340436</v>
      </c>
      <c r="O143" s="91"/>
      <c r="S143" s="91">
        <f t="shared" si="18"/>
        <v>3340436</v>
      </c>
      <c r="U143" s="91"/>
      <c r="W143" s="91"/>
    </row>
    <row r="144" spans="1:26" ht="15.75" x14ac:dyDescent="0.25">
      <c r="B144" s="37" t="s">
        <v>65</v>
      </c>
      <c r="C144" s="73"/>
      <c r="D144" s="73"/>
      <c r="G144" s="91">
        <f t="shared" si="16"/>
        <v>2733002</v>
      </c>
      <c r="I144" s="91"/>
      <c r="K144" s="102"/>
      <c r="M144" s="91">
        <f t="shared" si="17"/>
        <v>2733002</v>
      </c>
      <c r="O144" s="91"/>
      <c r="S144" s="91">
        <f t="shared" si="18"/>
        <v>2733002</v>
      </c>
      <c r="U144" s="89"/>
      <c r="V144" s="91"/>
      <c r="W144" s="89"/>
    </row>
    <row r="145" spans="1:23" ht="15.75" x14ac:dyDescent="0.25">
      <c r="B145" s="37" t="s">
        <v>66</v>
      </c>
      <c r="C145" s="73"/>
      <c r="D145" s="73"/>
      <c r="G145" s="91">
        <f t="shared" si="16"/>
        <v>234918</v>
      </c>
      <c r="I145" s="91"/>
      <c r="K145" s="102"/>
      <c r="M145" s="91">
        <f t="shared" si="17"/>
        <v>234918</v>
      </c>
      <c r="O145" s="91"/>
      <c r="S145" s="91">
        <f t="shared" si="18"/>
        <v>234918</v>
      </c>
    </row>
    <row r="146" spans="1:23" ht="15.75" x14ac:dyDescent="0.25">
      <c r="B146" s="37" t="s">
        <v>67</v>
      </c>
      <c r="C146" s="73"/>
      <c r="D146" s="73"/>
      <c r="G146" s="91">
        <f t="shared" si="16"/>
        <v>276125</v>
      </c>
      <c r="I146" s="91"/>
      <c r="K146" s="70"/>
      <c r="M146" s="91">
        <f t="shared" si="17"/>
        <v>276125</v>
      </c>
      <c r="O146" s="91"/>
      <c r="S146" s="91">
        <f t="shared" si="18"/>
        <v>276125</v>
      </c>
    </row>
    <row r="147" spans="1:23" ht="15.75" x14ac:dyDescent="0.25">
      <c r="B147" s="37" t="s">
        <v>68</v>
      </c>
      <c r="C147" s="73"/>
      <c r="D147" s="73"/>
      <c r="G147" s="91">
        <f t="shared" si="16"/>
        <v>371294</v>
      </c>
      <c r="I147" s="91"/>
      <c r="K147" s="102"/>
      <c r="M147" s="91">
        <f t="shared" si="17"/>
        <v>371294</v>
      </c>
      <c r="O147" s="91">
        <f>+'Sch 1A- Phased Inc and GRCF'!AC64</f>
        <v>14799</v>
      </c>
      <c r="Q147" s="102" t="s">
        <v>249</v>
      </c>
      <c r="S147" s="91">
        <f t="shared" si="18"/>
        <v>386093</v>
      </c>
    </row>
    <row r="148" spans="1:23" ht="15.75" x14ac:dyDescent="0.25">
      <c r="B148" s="37" t="s">
        <v>69</v>
      </c>
      <c r="C148" s="73"/>
      <c r="D148" s="73"/>
      <c r="G148" s="91">
        <f t="shared" si="16"/>
        <v>166815</v>
      </c>
      <c r="I148" s="91"/>
      <c r="K148" s="102"/>
      <c r="M148" s="91">
        <f t="shared" si="17"/>
        <v>166815</v>
      </c>
      <c r="O148" s="91"/>
      <c r="S148" s="91">
        <f t="shared" si="18"/>
        <v>166815</v>
      </c>
    </row>
    <row r="149" spans="1:23" ht="15.75" x14ac:dyDescent="0.25">
      <c r="B149" s="37" t="s">
        <v>70</v>
      </c>
      <c r="C149" s="73"/>
      <c r="D149" s="73"/>
      <c r="G149" s="91">
        <f t="shared" si="16"/>
        <v>330472</v>
      </c>
      <c r="I149" s="91"/>
      <c r="K149" s="102"/>
      <c r="M149" s="91">
        <f t="shared" si="17"/>
        <v>330472</v>
      </c>
      <c r="O149" s="91"/>
      <c r="S149" s="91">
        <f t="shared" si="18"/>
        <v>330472</v>
      </c>
    </row>
    <row r="150" spans="1:23" ht="15.75" x14ac:dyDescent="0.25">
      <c r="B150" s="73"/>
      <c r="E150" s="70"/>
      <c r="I150" s="91"/>
      <c r="K150" s="102"/>
      <c r="M150" s="91"/>
      <c r="O150" s="91"/>
      <c r="S150" s="91"/>
      <c r="U150" s="74"/>
    </row>
    <row r="151" spans="1:23" ht="15.75" x14ac:dyDescent="0.25">
      <c r="A151" s="77" t="s">
        <v>72</v>
      </c>
      <c r="G151" s="91">
        <f>+S100</f>
        <v>3845446</v>
      </c>
      <c r="I151" s="91"/>
      <c r="K151" s="70"/>
      <c r="M151" s="91">
        <f t="shared" si="17"/>
        <v>3845446</v>
      </c>
      <c r="O151" s="91"/>
      <c r="S151" s="91">
        <f t="shared" si="18"/>
        <v>3845446</v>
      </c>
    </row>
    <row r="152" spans="1:23" x14ac:dyDescent="0.25">
      <c r="G152" s="91"/>
      <c r="I152" s="91"/>
      <c r="M152" s="91"/>
      <c r="O152" s="91"/>
      <c r="S152" s="91"/>
    </row>
    <row r="153" spans="1:23" x14ac:dyDescent="0.25">
      <c r="A153" s="77" t="s">
        <v>74</v>
      </c>
      <c r="G153" s="91"/>
      <c r="I153" s="91"/>
      <c r="M153" s="91"/>
      <c r="Q153" s="77"/>
      <c r="S153" s="91"/>
    </row>
    <row r="154" spans="1:23" ht="15.75" x14ac:dyDescent="0.25">
      <c r="B154" s="62" t="s">
        <v>130</v>
      </c>
      <c r="G154" s="91">
        <f>+S103</f>
        <v>2509100</v>
      </c>
      <c r="I154" s="91">
        <f>+M154-G154</f>
        <v>603800</v>
      </c>
      <c r="K154" s="102" t="s">
        <v>27</v>
      </c>
      <c r="M154" s="91">
        <f>+'[1]Sch 1A - Phased Increases'!AC16</f>
        <v>3112900</v>
      </c>
      <c r="O154" s="91"/>
      <c r="S154" s="91">
        <f t="shared" ref="S154:S155" si="19">+M154+O154</f>
        <v>3112900</v>
      </c>
      <c r="U154" s="62"/>
    </row>
    <row r="155" spans="1:23" ht="15.75" x14ac:dyDescent="0.25">
      <c r="B155" s="73" t="s">
        <v>76</v>
      </c>
      <c r="C155" s="73"/>
      <c r="D155" s="73"/>
      <c r="G155" s="91">
        <f>+S104</f>
        <v>461757</v>
      </c>
      <c r="I155" s="91"/>
      <c r="K155" s="70"/>
      <c r="M155" s="91">
        <f t="shared" si="17"/>
        <v>461757</v>
      </c>
      <c r="O155" s="91">
        <f>+'Sch 1A- Phased Inc and GRCF'!AC67</f>
        <v>35987</v>
      </c>
      <c r="P155" s="62"/>
      <c r="Q155" s="63" t="s">
        <v>249</v>
      </c>
      <c r="R155" s="62"/>
      <c r="S155" s="91">
        <f t="shared" si="19"/>
        <v>497744</v>
      </c>
      <c r="U155" s="75"/>
      <c r="W155" s="75"/>
    </row>
    <row r="156" spans="1:23" x14ac:dyDescent="0.25">
      <c r="G156" s="91"/>
      <c r="I156" s="91"/>
      <c r="M156" s="91"/>
      <c r="O156" s="91"/>
      <c r="S156" s="91"/>
      <c r="U156" s="100"/>
    </row>
    <row r="157" spans="1:23" x14ac:dyDescent="0.25">
      <c r="E157" s="77" t="s">
        <v>77</v>
      </c>
      <c r="G157" s="99">
        <f>SUM(G137:G156)</f>
        <v>29853875</v>
      </c>
      <c r="I157" s="99">
        <f>SUM(I137:I156)</f>
        <v>603800</v>
      </c>
      <c r="M157" s="99">
        <f>SUM(M137:M156)</f>
        <v>30457675</v>
      </c>
      <c r="O157" s="99">
        <f>SUM(O137:O156)</f>
        <v>50786</v>
      </c>
      <c r="S157" s="99">
        <f>SUM(S137:S156)</f>
        <v>30508461</v>
      </c>
      <c r="U157" s="100"/>
    </row>
    <row r="158" spans="1:23" x14ac:dyDescent="0.25">
      <c r="G158" s="91"/>
      <c r="I158" s="91"/>
      <c r="M158" s="91"/>
      <c r="O158" s="91"/>
      <c r="S158" s="91"/>
    </row>
    <row r="159" spans="1:23" ht="15.75" thickBot="1" x14ac:dyDescent="0.3">
      <c r="A159" s="77" t="s">
        <v>78</v>
      </c>
      <c r="G159" s="106">
        <f>+G135-G157</f>
        <v>9567198</v>
      </c>
      <c r="I159" s="106">
        <f>+I135-I157</f>
        <v>-603800</v>
      </c>
      <c r="M159" s="106">
        <f>+M135-M157</f>
        <v>8963398</v>
      </c>
      <c r="O159" s="106">
        <f>+O135-O157</f>
        <v>3027050</v>
      </c>
      <c r="S159" s="106">
        <f>+S135-S157</f>
        <v>11990448</v>
      </c>
    </row>
    <row r="160" spans="1:23" ht="15.75" thickTop="1" x14ac:dyDescent="0.25">
      <c r="G160" s="91"/>
      <c r="I160" s="91"/>
      <c r="M160" s="91"/>
      <c r="O160" s="91"/>
      <c r="S160" s="91"/>
    </row>
  </sheetData>
  <mergeCells count="9">
    <mergeCell ref="A113:S113"/>
    <mergeCell ref="A114:S114"/>
    <mergeCell ref="A116:S116"/>
    <mergeCell ref="A4:S4"/>
    <mergeCell ref="A5:S5"/>
    <mergeCell ref="A7:S7"/>
    <mergeCell ref="A62:S62"/>
    <mergeCell ref="A63:S63"/>
    <mergeCell ref="A65:S65"/>
  </mergeCells>
  <pageMargins left="0.7" right="0.7" top="0.75" bottom="0.75" header="0.3" footer="0.3"/>
  <pageSetup scale="40" orientation="landscape" r:id="rId1"/>
  <rowBreaks count="2" manualBreakCount="2">
    <brk id="58" max="16383" man="1"/>
    <brk id="109" max="16383" man="1"/>
  </rowBreaks>
  <ignoredErrors>
    <ignoredError sqref="Z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view="pageBreakPreview" topLeftCell="A51" zoomScale="60" zoomScaleNormal="100" workbookViewId="0">
      <selection activeCell="I34" sqref="I34"/>
    </sheetView>
  </sheetViews>
  <sheetFormatPr defaultRowHeight="15.75" x14ac:dyDescent="0.25"/>
  <cols>
    <col min="1" max="1" width="5.28515625" style="19" customWidth="1"/>
    <col min="2" max="2" width="5.140625" style="19" customWidth="1"/>
    <col min="3" max="3" width="10.140625" style="19" customWidth="1"/>
    <col min="4" max="4" width="8.85546875" style="19" customWidth="1"/>
    <col min="5" max="5" width="11.85546875" style="19" customWidth="1"/>
    <col min="6" max="6" width="12.5703125" style="19" customWidth="1"/>
    <col min="7" max="7" width="15.7109375" style="19" customWidth="1"/>
    <col min="8" max="8" width="13.7109375" style="19" customWidth="1"/>
    <col min="9" max="9" width="15.28515625" style="19" customWidth="1"/>
    <col min="10" max="10" width="14.5703125" style="19" bestFit="1" customWidth="1"/>
    <col min="11" max="11" width="15" style="19" customWidth="1"/>
    <col min="12" max="12" width="5.5703125" style="19" customWidth="1"/>
    <col min="13" max="13" width="13.5703125" style="19" customWidth="1"/>
    <col min="14" max="14" width="11.5703125" style="19" customWidth="1"/>
    <col min="15" max="15" width="13.5703125" style="19" customWidth="1"/>
    <col min="16" max="16" width="9.140625" style="19"/>
    <col min="17" max="17" width="9.5703125" style="19" customWidth="1"/>
    <col min="18" max="16384" width="9.140625" style="19"/>
  </cols>
  <sheetData>
    <row r="1" spans="1:15" x14ac:dyDescent="0.25">
      <c r="K1" s="286" t="s">
        <v>2</v>
      </c>
    </row>
    <row r="2" spans="1:15" x14ac:dyDescent="0.25">
      <c r="K2" s="286" t="s">
        <v>179</v>
      </c>
    </row>
    <row r="3" spans="1:15" x14ac:dyDescent="0.25">
      <c r="K3" s="286" t="s">
        <v>1</v>
      </c>
    </row>
    <row r="4" spans="1:15" s="314" customFormat="1" ht="20.25" x14ac:dyDescent="0.3">
      <c r="A4" s="406" t="s">
        <v>239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5" s="315" customFormat="1" ht="18.75" x14ac:dyDescent="0.3">
      <c r="A5" s="407" t="s">
        <v>244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15" x14ac:dyDescent="0.25">
      <c r="A6" s="289"/>
      <c r="B6" s="289"/>
      <c r="C6" s="289"/>
      <c r="D6" s="289"/>
      <c r="E6" s="289"/>
      <c r="F6" s="289"/>
      <c r="G6" s="289"/>
      <c r="H6" s="289"/>
      <c r="I6" s="289"/>
      <c r="J6" s="289"/>
    </row>
    <row r="7" spans="1:15" x14ac:dyDescent="0.25">
      <c r="A7" s="396" t="s">
        <v>180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</row>
    <row r="9" spans="1:15" x14ac:dyDescent="0.25">
      <c r="A9" s="412" t="s">
        <v>181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</row>
    <row r="10" spans="1:15" x14ac:dyDescent="0.25">
      <c r="A10" s="414" t="s">
        <v>116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</row>
    <row r="11" spans="1:15" x14ac:dyDescent="0.25">
      <c r="A11" s="415" t="s">
        <v>182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</row>
    <row r="12" spans="1:15" x14ac:dyDescent="0.25">
      <c r="A12" s="416"/>
      <c r="B12" s="416"/>
      <c r="C12" s="416"/>
      <c r="D12" s="416"/>
      <c r="E12" s="416"/>
      <c r="F12" s="416"/>
      <c r="G12" s="416"/>
      <c r="H12" s="416"/>
      <c r="I12" s="416"/>
      <c r="J12" s="416"/>
      <c r="K12" s="416"/>
    </row>
    <row r="13" spans="1:15" x14ac:dyDescent="0.25">
      <c r="A13" s="316"/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5" x14ac:dyDescent="0.25">
      <c r="A14" s="62"/>
      <c r="B14" s="62"/>
      <c r="C14" s="62" t="s">
        <v>183</v>
      </c>
      <c r="D14" s="62"/>
      <c r="E14" s="62"/>
      <c r="F14" s="62"/>
      <c r="G14" s="62"/>
      <c r="H14" s="317">
        <v>7654296</v>
      </c>
      <c r="I14" s="139"/>
      <c r="J14" s="62"/>
      <c r="K14" s="62"/>
      <c r="L14" s="62"/>
      <c r="M14" s="62"/>
      <c r="N14" s="62"/>
      <c r="O14" s="62"/>
    </row>
    <row r="15" spans="1:15" x14ac:dyDescent="0.25">
      <c r="A15" s="62"/>
      <c r="B15" s="62"/>
      <c r="C15" s="62" t="s">
        <v>184</v>
      </c>
      <c r="D15" s="62"/>
      <c r="E15" s="62"/>
      <c r="F15" s="62"/>
      <c r="G15" s="62"/>
      <c r="H15" s="154">
        <v>10000</v>
      </c>
      <c r="I15" s="318"/>
      <c r="J15" s="62"/>
      <c r="K15" s="62"/>
      <c r="L15" s="62"/>
      <c r="M15" s="62"/>
      <c r="N15" s="62"/>
      <c r="O15" s="62"/>
    </row>
    <row r="16" spans="1:15" x14ac:dyDescent="0.25">
      <c r="A16" s="62"/>
      <c r="B16" s="62"/>
      <c r="C16" s="62"/>
      <c r="D16" s="62" t="s">
        <v>185</v>
      </c>
      <c r="E16" s="62"/>
      <c r="F16" s="62"/>
      <c r="G16" s="62"/>
      <c r="H16" s="62"/>
      <c r="I16" s="319">
        <f>+ROUND(+H14-H15,0)</f>
        <v>7644296</v>
      </c>
      <c r="J16" s="62"/>
      <c r="K16" s="62"/>
      <c r="L16" s="62"/>
      <c r="M16" s="62"/>
      <c r="N16" s="62"/>
      <c r="O16" s="62"/>
    </row>
    <row r="17" spans="1:15" x14ac:dyDescent="0.25">
      <c r="A17" s="62"/>
      <c r="B17" s="62"/>
      <c r="C17" s="62"/>
      <c r="D17" s="62" t="s">
        <v>186</v>
      </c>
      <c r="E17" s="62"/>
      <c r="F17" s="62"/>
      <c r="G17" s="62"/>
      <c r="H17" s="62"/>
      <c r="I17" s="320">
        <v>0.14199999999999999</v>
      </c>
      <c r="J17" s="62"/>
      <c r="K17" s="62"/>
      <c r="L17" s="62"/>
      <c r="M17" s="62"/>
      <c r="N17" s="62"/>
      <c r="O17" s="62"/>
    </row>
    <row r="18" spans="1:15" x14ac:dyDescent="0.25">
      <c r="A18" s="62"/>
      <c r="B18" s="62"/>
      <c r="C18" s="62"/>
      <c r="D18" s="62" t="s">
        <v>187</v>
      </c>
      <c r="E18" s="62"/>
      <c r="F18" s="62"/>
      <c r="G18" s="62"/>
      <c r="H18" s="62"/>
      <c r="I18" s="318"/>
      <c r="J18" s="321">
        <f>+ROUND(I16*I17,0)</f>
        <v>1085490</v>
      </c>
      <c r="K18" s="62"/>
      <c r="L18" s="62"/>
      <c r="M18" s="62"/>
      <c r="N18" s="62"/>
      <c r="O18" s="62"/>
    </row>
    <row r="19" spans="1:15" x14ac:dyDescent="0.25">
      <c r="A19" s="62"/>
      <c r="B19" s="62"/>
      <c r="C19" s="62"/>
      <c r="D19" s="62" t="s">
        <v>188</v>
      </c>
      <c r="E19" s="62"/>
      <c r="F19" s="62"/>
      <c r="G19" s="62"/>
      <c r="H19" s="62"/>
      <c r="I19" s="318"/>
      <c r="J19" s="154">
        <v>1285601</v>
      </c>
      <c r="K19" s="62"/>
      <c r="L19" s="62"/>
      <c r="M19" s="63"/>
      <c r="N19" s="132"/>
      <c r="O19" s="62"/>
    </row>
    <row r="20" spans="1:15" x14ac:dyDescent="0.25">
      <c r="A20" s="62"/>
      <c r="B20" s="62"/>
      <c r="C20" s="62"/>
      <c r="D20" s="62"/>
      <c r="E20" s="62"/>
      <c r="F20" s="62"/>
      <c r="G20" s="62"/>
      <c r="H20" s="62"/>
      <c r="I20" s="318"/>
      <c r="J20" s="62"/>
      <c r="K20" s="62"/>
      <c r="L20" s="62"/>
      <c r="M20" s="62"/>
      <c r="N20" s="62"/>
      <c r="O20" s="62"/>
    </row>
    <row r="21" spans="1:15" ht="16.5" thickBot="1" x14ac:dyDescent="0.3">
      <c r="G21" s="322" t="s">
        <v>189</v>
      </c>
      <c r="K21" s="323">
        <f>+J18-J19</f>
        <v>-200111</v>
      </c>
    </row>
    <row r="22" spans="1:15" ht="16.5" thickTop="1" x14ac:dyDescent="0.25">
      <c r="F22" s="322"/>
      <c r="K22" s="324"/>
    </row>
    <row r="23" spans="1:15" x14ac:dyDescent="0.25">
      <c r="A23" s="412" t="s">
        <v>190</v>
      </c>
      <c r="B23" s="412"/>
      <c r="C23" s="412"/>
      <c r="D23" s="412"/>
      <c r="E23" s="412"/>
      <c r="F23" s="412"/>
      <c r="G23" s="412"/>
      <c r="H23" s="412"/>
      <c r="I23" s="412"/>
      <c r="J23" s="412"/>
      <c r="K23" s="412"/>
    </row>
    <row r="24" spans="1:15" x14ac:dyDescent="0.25">
      <c r="A24" s="413" t="s">
        <v>191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</row>
    <row r="25" spans="1:15" x14ac:dyDescent="0.25">
      <c r="A25" s="417" t="s">
        <v>192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</row>
    <row r="26" spans="1:15" x14ac:dyDescent="0.25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8" spans="1:15" x14ac:dyDescent="0.25">
      <c r="A28" s="287"/>
      <c r="B28" s="287"/>
      <c r="C28" s="325"/>
      <c r="E28" s="290" t="s">
        <v>193</v>
      </c>
      <c r="F28" s="289" t="s">
        <v>194</v>
      </c>
      <c r="G28" s="289" t="s">
        <v>195</v>
      </c>
      <c r="H28" s="289" t="s">
        <v>196</v>
      </c>
      <c r="I28" s="322"/>
      <c r="J28" s="322"/>
      <c r="K28" s="322"/>
    </row>
    <row r="29" spans="1:15" x14ac:dyDescent="0.25">
      <c r="A29" s="326" t="s">
        <v>197</v>
      </c>
      <c r="B29" s="287"/>
      <c r="E29" s="327" t="s">
        <v>198</v>
      </c>
      <c r="F29" s="328" t="s">
        <v>199</v>
      </c>
      <c r="G29" s="328" t="s">
        <v>200</v>
      </c>
      <c r="H29" s="328" t="s">
        <v>201</v>
      </c>
      <c r="I29" s="322"/>
      <c r="J29" s="328" t="s">
        <v>202</v>
      </c>
      <c r="K29" s="322"/>
    </row>
    <row r="30" spans="1:15" x14ac:dyDescent="0.25">
      <c r="E30" s="325"/>
      <c r="F30" s="325"/>
      <c r="H30" s="329"/>
    </row>
    <row r="31" spans="1:15" x14ac:dyDescent="0.25">
      <c r="B31" s="19" t="s">
        <v>203</v>
      </c>
      <c r="E31" s="287">
        <v>7</v>
      </c>
      <c r="F31" s="287">
        <v>4</v>
      </c>
      <c r="G31" s="287">
        <f>ROUND(E31/F31,2)</f>
        <v>1.75</v>
      </c>
      <c r="H31" s="321">
        <v>35714</v>
      </c>
      <c r="I31" s="317">
        <f>ROUND(H31*E31/F31,0)</f>
        <v>62500</v>
      </c>
      <c r="K31" s="62"/>
    </row>
    <row r="32" spans="1:15" x14ac:dyDescent="0.25">
      <c r="B32" s="287"/>
      <c r="E32" s="287"/>
      <c r="F32" s="287"/>
      <c r="H32" s="62"/>
      <c r="I32" s="62"/>
      <c r="K32" s="62"/>
    </row>
    <row r="33" spans="1:14" x14ac:dyDescent="0.25">
      <c r="B33" s="19" t="s">
        <v>204</v>
      </c>
      <c r="E33" s="287">
        <v>6</v>
      </c>
      <c r="F33" s="287">
        <v>4</v>
      </c>
      <c r="G33" s="330">
        <f>ROUND(E33/F33,2)</f>
        <v>1.5</v>
      </c>
      <c r="H33" s="72">
        <v>48000</v>
      </c>
      <c r="I33" s="154">
        <f>ROUND(H33*E33/F33,0)</f>
        <v>72000</v>
      </c>
      <c r="K33" s="62"/>
    </row>
    <row r="34" spans="1:14" x14ac:dyDescent="0.25">
      <c r="B34" s="287"/>
      <c r="F34" s="287"/>
      <c r="G34" s="287"/>
      <c r="I34" s="72"/>
      <c r="J34" s="72"/>
      <c r="K34" s="62"/>
    </row>
    <row r="35" spans="1:14" x14ac:dyDescent="0.25">
      <c r="B35" s="287"/>
      <c r="C35" s="322" t="s">
        <v>205</v>
      </c>
      <c r="F35" s="287"/>
      <c r="G35" s="287"/>
      <c r="I35" s="72"/>
      <c r="J35" s="317">
        <f>+ROUND(I31+I33,0)</f>
        <v>134500</v>
      </c>
    </row>
    <row r="36" spans="1:14" x14ac:dyDescent="0.25">
      <c r="B36" s="287"/>
    </row>
    <row r="37" spans="1:14" x14ac:dyDescent="0.25">
      <c r="A37" s="326" t="s">
        <v>206</v>
      </c>
      <c r="B37" s="287"/>
      <c r="C37" s="326"/>
      <c r="E37" s="331"/>
      <c r="F37" s="332"/>
      <c r="G37" s="322"/>
      <c r="H37" s="331"/>
      <c r="I37" s="322"/>
    </row>
    <row r="38" spans="1:14" x14ac:dyDescent="0.25">
      <c r="B38" s="287"/>
      <c r="G38" s="333"/>
      <c r="L38" s="334"/>
    </row>
    <row r="39" spans="1:14" ht="15.75" customHeight="1" x14ac:dyDescent="0.25">
      <c r="B39" s="335" t="s">
        <v>207</v>
      </c>
      <c r="C39" s="335"/>
      <c r="D39" s="335"/>
      <c r="E39" s="336">
        <v>24</v>
      </c>
      <c r="F39" s="287">
        <v>2.4</v>
      </c>
      <c r="G39" s="330">
        <v>10</v>
      </c>
      <c r="H39" s="19">
        <v>112000</v>
      </c>
      <c r="J39" s="72">
        <f>ROUND(H39*24/10,0)</f>
        <v>268800</v>
      </c>
      <c r="L39" s="334"/>
    </row>
    <row r="40" spans="1:14" x14ac:dyDescent="0.25">
      <c r="B40" s="335"/>
      <c r="C40" s="335"/>
      <c r="D40" s="335"/>
      <c r="E40" s="336"/>
      <c r="G40" s="333"/>
      <c r="H40" s="72"/>
      <c r="I40" s="279"/>
      <c r="L40" s="334"/>
    </row>
    <row r="41" spans="1:14" x14ac:dyDescent="0.25">
      <c r="A41" s="326" t="s">
        <v>208</v>
      </c>
      <c r="H41" s="322" t="s">
        <v>209</v>
      </c>
      <c r="I41" s="321"/>
      <c r="J41" s="143">
        <v>236580</v>
      </c>
      <c r="K41" s="132"/>
      <c r="L41" s="62"/>
    </row>
    <row r="42" spans="1:14" x14ac:dyDescent="0.25">
      <c r="H42" s="322"/>
      <c r="J42" s="263"/>
    </row>
    <row r="43" spans="1:14" x14ac:dyDescent="0.25">
      <c r="A43" s="326" t="s">
        <v>210</v>
      </c>
      <c r="H43" s="322" t="s">
        <v>209</v>
      </c>
      <c r="J43" s="278">
        <f>505884+8425</f>
        <v>514309</v>
      </c>
    </row>
    <row r="44" spans="1:14" x14ac:dyDescent="0.25">
      <c r="H44" s="322"/>
      <c r="J44" s="278"/>
    </row>
    <row r="45" spans="1:14" x14ac:dyDescent="0.25">
      <c r="A45" s="326" t="s">
        <v>211</v>
      </c>
      <c r="B45" s="287"/>
      <c r="H45" s="322"/>
      <c r="J45" s="278"/>
      <c r="M45" s="62"/>
      <c r="N45" s="62"/>
    </row>
    <row r="46" spans="1:14" x14ac:dyDescent="0.25">
      <c r="A46" s="287"/>
      <c r="B46" s="19" t="s">
        <v>212</v>
      </c>
      <c r="H46" s="322"/>
      <c r="I46" s="278"/>
      <c r="J46" s="72"/>
      <c r="K46" s="278"/>
      <c r="M46" s="62"/>
      <c r="N46" s="62"/>
    </row>
    <row r="47" spans="1:14" x14ac:dyDescent="0.25">
      <c r="A47" s="287"/>
      <c r="B47" s="287"/>
      <c r="C47" s="337"/>
      <c r="D47" s="292"/>
      <c r="E47" s="292"/>
      <c r="H47" s="338"/>
      <c r="I47" s="263"/>
      <c r="J47" s="143"/>
      <c r="K47" s="263"/>
      <c r="M47" s="358"/>
      <c r="N47" s="62"/>
    </row>
    <row r="48" spans="1:14" x14ac:dyDescent="0.25">
      <c r="A48" s="326" t="s">
        <v>213</v>
      </c>
      <c r="B48" s="287"/>
      <c r="H48" s="322" t="s">
        <v>209</v>
      </c>
      <c r="I48" s="278"/>
      <c r="J48" s="278">
        <v>61680</v>
      </c>
      <c r="K48" s="279"/>
      <c r="M48" s="62"/>
      <c r="N48" s="62"/>
    </row>
    <row r="49" spans="1:14" x14ac:dyDescent="0.25">
      <c r="A49" s="287"/>
      <c r="H49" s="289"/>
      <c r="I49" s="278"/>
      <c r="J49" s="278"/>
      <c r="K49" s="279"/>
      <c r="M49" s="62"/>
      <c r="N49" s="62"/>
    </row>
    <row r="50" spans="1:14" x14ac:dyDescent="0.25">
      <c r="A50" s="326" t="s">
        <v>214</v>
      </c>
      <c r="B50" s="287"/>
      <c r="C50" s="326"/>
      <c r="H50" s="322" t="s">
        <v>209</v>
      </c>
      <c r="I50" s="278"/>
      <c r="J50" s="339">
        <v>492883</v>
      </c>
      <c r="K50" s="279"/>
    </row>
    <row r="51" spans="1:14" x14ac:dyDescent="0.25">
      <c r="A51" s="287"/>
      <c r="B51" s="287"/>
      <c r="C51" s="326"/>
      <c r="G51" s="287"/>
      <c r="H51" s="278"/>
      <c r="I51" s="278"/>
      <c r="K51" s="279"/>
    </row>
    <row r="52" spans="1:14" x14ac:dyDescent="0.25">
      <c r="A52" s="287"/>
      <c r="B52" s="287"/>
      <c r="C52" s="19" t="s">
        <v>215</v>
      </c>
      <c r="G52" s="287"/>
      <c r="H52" s="278"/>
      <c r="I52" s="278"/>
      <c r="J52" s="285">
        <f>SUM(J35:J50)</f>
        <v>1708752</v>
      </c>
      <c r="K52" s="279"/>
    </row>
    <row r="53" spans="1:14" x14ac:dyDescent="0.25">
      <c r="A53" s="287"/>
      <c r="B53" s="287"/>
      <c r="C53" s="19" t="s">
        <v>216</v>
      </c>
      <c r="G53" s="287"/>
      <c r="H53" s="278"/>
      <c r="I53" s="278"/>
      <c r="J53" s="339">
        <v>709525</v>
      </c>
      <c r="K53" s="279"/>
    </row>
    <row r="54" spans="1:14" x14ac:dyDescent="0.25">
      <c r="A54" s="287"/>
      <c r="B54" s="287"/>
      <c r="G54" s="287"/>
      <c r="H54" s="278"/>
      <c r="I54" s="278"/>
      <c r="J54" s="285"/>
      <c r="K54" s="279"/>
    </row>
    <row r="55" spans="1:14" ht="16.5" thickBot="1" x14ac:dyDescent="0.3">
      <c r="A55" s="287"/>
      <c r="B55" s="287"/>
      <c r="G55" s="340" t="s">
        <v>189</v>
      </c>
      <c r="H55" s="278"/>
      <c r="I55" s="278"/>
      <c r="J55" s="285"/>
      <c r="K55" s="323">
        <f>+J52-J53</f>
        <v>999227</v>
      </c>
    </row>
    <row r="56" spans="1:14" ht="16.5" thickTop="1" x14ac:dyDescent="0.25">
      <c r="B56" s="287"/>
      <c r="H56" s="341"/>
    </row>
    <row r="57" spans="1:14" x14ac:dyDescent="0.25">
      <c r="K57" s="286" t="s">
        <v>2</v>
      </c>
    </row>
    <row r="58" spans="1:14" x14ac:dyDescent="0.25">
      <c r="K58" s="286" t="s">
        <v>179</v>
      </c>
    </row>
    <row r="59" spans="1:14" x14ac:dyDescent="0.25">
      <c r="K59" s="286" t="s">
        <v>217</v>
      </c>
    </row>
    <row r="60" spans="1:14" s="314" customFormat="1" ht="20.25" x14ac:dyDescent="0.3">
      <c r="A60" s="406" t="s">
        <v>253</v>
      </c>
      <c r="B60" s="406"/>
      <c r="C60" s="406"/>
      <c r="D60" s="406"/>
      <c r="E60" s="406"/>
      <c r="F60" s="406"/>
      <c r="G60" s="406"/>
      <c r="H60" s="406"/>
      <c r="I60" s="406"/>
      <c r="J60" s="406"/>
      <c r="K60" s="406"/>
    </row>
    <row r="61" spans="1:14" s="315" customFormat="1" ht="18.75" x14ac:dyDescent="0.3">
      <c r="A61" s="407" t="s">
        <v>244</v>
      </c>
      <c r="B61" s="407"/>
      <c r="C61" s="407"/>
      <c r="D61" s="407"/>
      <c r="E61" s="407"/>
      <c r="F61" s="407"/>
      <c r="G61" s="407"/>
      <c r="H61" s="407"/>
      <c r="I61" s="407"/>
      <c r="J61" s="407"/>
      <c r="K61" s="407"/>
    </row>
    <row r="62" spans="1:14" x14ac:dyDescent="0.25">
      <c r="A62" s="289"/>
      <c r="B62" s="289"/>
      <c r="C62" s="289"/>
      <c r="D62" s="289"/>
      <c r="E62" s="289"/>
      <c r="F62" s="289"/>
      <c r="G62" s="289"/>
      <c r="H62" s="289"/>
      <c r="I62" s="289"/>
      <c r="J62" s="289"/>
    </row>
    <row r="63" spans="1:14" x14ac:dyDescent="0.25">
      <c r="A63" s="396" t="s">
        <v>180</v>
      </c>
      <c r="B63" s="396"/>
      <c r="C63" s="396"/>
      <c r="D63" s="396"/>
      <c r="E63" s="396"/>
      <c r="F63" s="396"/>
      <c r="G63" s="396"/>
      <c r="H63" s="396"/>
      <c r="I63" s="396"/>
      <c r="J63" s="396"/>
      <c r="K63" s="396"/>
    </row>
    <row r="65" spans="1:18" x14ac:dyDescent="0.25">
      <c r="A65" s="410" t="s">
        <v>218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</row>
    <row r="66" spans="1:18" x14ac:dyDescent="0.25">
      <c r="A66" s="408" t="s">
        <v>69</v>
      </c>
      <c r="B66" s="408"/>
      <c r="C66" s="408"/>
      <c r="D66" s="408"/>
      <c r="E66" s="408"/>
      <c r="F66" s="408"/>
      <c r="G66" s="408"/>
      <c r="H66" s="408"/>
      <c r="I66" s="408"/>
      <c r="J66" s="408"/>
      <c r="K66" s="408"/>
    </row>
    <row r="67" spans="1:18" ht="24" customHeight="1" x14ac:dyDescent="0.25">
      <c r="A67" s="411" t="s">
        <v>219</v>
      </c>
      <c r="B67" s="411"/>
      <c r="C67" s="411"/>
      <c r="D67" s="411"/>
      <c r="E67" s="411"/>
      <c r="F67" s="411"/>
      <c r="G67" s="411"/>
      <c r="H67" s="411"/>
      <c r="I67" s="411"/>
      <c r="J67" s="411"/>
      <c r="K67" s="411"/>
    </row>
    <row r="68" spans="1:18" x14ac:dyDescent="0.25">
      <c r="A68" s="342"/>
      <c r="B68" s="2"/>
      <c r="C68" s="2"/>
      <c r="D68" s="2"/>
      <c r="E68" s="62"/>
    </row>
    <row r="69" spans="1:18" x14ac:dyDescent="0.25">
      <c r="A69" s="342"/>
      <c r="B69" s="2"/>
      <c r="C69" s="2" t="s">
        <v>220</v>
      </c>
      <c r="D69" s="2"/>
      <c r="E69" s="62"/>
      <c r="G69" s="274">
        <f>+'[1]Sch 4'!G13</f>
        <v>13696042</v>
      </c>
    </row>
    <row r="70" spans="1:18" x14ac:dyDescent="0.25">
      <c r="A70" s="342"/>
      <c r="B70" s="2"/>
      <c r="C70" s="2" t="s">
        <v>221</v>
      </c>
      <c r="D70" s="2"/>
      <c r="E70" s="62"/>
      <c r="G70" s="278">
        <f>+'[1]Sch 4'!G14</f>
        <v>6197076</v>
      </c>
    </row>
    <row r="71" spans="1:18" x14ac:dyDescent="0.25">
      <c r="A71" s="342"/>
      <c r="B71" s="2"/>
      <c r="C71" s="2" t="s">
        <v>222</v>
      </c>
      <c r="D71" s="2"/>
      <c r="E71" s="62"/>
      <c r="G71" s="343">
        <f>+G69+G70</f>
        <v>19893118</v>
      </c>
    </row>
    <row r="72" spans="1:18" x14ac:dyDescent="0.25">
      <c r="A72" s="342"/>
      <c r="B72" s="2"/>
      <c r="C72" s="2" t="s">
        <v>223</v>
      </c>
      <c r="D72" s="2"/>
      <c r="E72" s="62"/>
      <c r="G72" s="278">
        <f>+'[1]Sch 4'!G43</f>
        <v>136416</v>
      </c>
    </row>
    <row r="73" spans="1:18" ht="16.5" thickBot="1" x14ac:dyDescent="0.3">
      <c r="A73" s="342"/>
      <c r="B73" s="2"/>
      <c r="C73" s="2" t="s">
        <v>224</v>
      </c>
      <c r="D73" s="2"/>
      <c r="E73" s="62"/>
      <c r="G73" s="344">
        <f>ROUND(G72/G71,6)</f>
        <v>6.8570000000000002E-3</v>
      </c>
    </row>
    <row r="74" spans="1:18" ht="16.5" thickTop="1" x14ac:dyDescent="0.25">
      <c r="A74" s="342"/>
      <c r="B74" s="2"/>
      <c r="C74" s="2"/>
      <c r="D74" s="2"/>
      <c r="E74" s="62"/>
      <c r="G74" s="278"/>
    </row>
    <row r="75" spans="1:18" x14ac:dyDescent="0.25">
      <c r="A75" s="342"/>
      <c r="B75" s="2"/>
      <c r="C75" s="2"/>
      <c r="D75" s="2"/>
      <c r="E75" s="62"/>
    </row>
    <row r="76" spans="1:18" ht="18" x14ac:dyDescent="0.4">
      <c r="B76" s="342" t="s">
        <v>225</v>
      </c>
      <c r="C76" s="2"/>
      <c r="D76" s="2"/>
      <c r="E76" s="143"/>
      <c r="H76" s="345"/>
      <c r="K76" s="346"/>
      <c r="M76" s="346"/>
      <c r="N76" s="346"/>
      <c r="O76" s="2"/>
      <c r="P76" s="2"/>
      <c r="Q76" s="2"/>
      <c r="R76" s="2"/>
    </row>
    <row r="77" spans="1:18" x14ac:dyDescent="0.25">
      <c r="C77" s="2" t="s">
        <v>46</v>
      </c>
      <c r="D77" s="2"/>
      <c r="E77" s="2"/>
      <c r="H77" s="274">
        <f>+'[1]Sch 4'!I13</f>
        <v>2625043</v>
      </c>
      <c r="K77" s="275"/>
      <c r="M77" s="143"/>
      <c r="N77" s="143"/>
      <c r="O77" s="2"/>
      <c r="P77" s="2"/>
      <c r="Q77" s="2"/>
      <c r="R77" s="2"/>
    </row>
    <row r="78" spans="1:18" x14ac:dyDescent="0.25">
      <c r="C78" s="2" t="s">
        <v>47</v>
      </c>
      <c r="D78" s="2"/>
      <c r="E78" s="2"/>
      <c r="H78" s="339">
        <f>+'[1]Sch 4'!I14</f>
        <v>1167851</v>
      </c>
      <c r="K78" s="279"/>
      <c r="M78" s="143"/>
      <c r="N78" s="143"/>
      <c r="O78" s="2"/>
      <c r="P78" s="2"/>
      <c r="Q78" s="2"/>
      <c r="R78" s="2"/>
    </row>
    <row r="79" spans="1:18" x14ac:dyDescent="0.25">
      <c r="B79" s="2"/>
      <c r="C79" s="2"/>
      <c r="D79" s="2"/>
      <c r="E79" s="2"/>
      <c r="H79" s="278"/>
      <c r="K79" s="263"/>
      <c r="M79" s="143"/>
      <c r="N79" s="143"/>
      <c r="O79" s="2"/>
      <c r="P79" s="2"/>
      <c r="Q79" s="2"/>
      <c r="R79" s="2"/>
    </row>
    <row r="80" spans="1:18" x14ac:dyDescent="0.25">
      <c r="B80" s="2"/>
      <c r="C80" s="2"/>
      <c r="D80" s="2" t="s">
        <v>226</v>
      </c>
      <c r="E80" s="2"/>
      <c r="I80" s="274">
        <f>+H77+H78</f>
        <v>3792894</v>
      </c>
      <c r="K80" s="275"/>
      <c r="M80" s="143"/>
      <c r="N80" s="143"/>
      <c r="O80" s="2"/>
      <c r="P80" s="2"/>
      <c r="Q80" s="2"/>
      <c r="R80" s="2"/>
    </row>
    <row r="81" spans="1:18" x14ac:dyDescent="0.25">
      <c r="B81" s="2"/>
      <c r="C81" s="2"/>
      <c r="D81" s="2" t="s">
        <v>227</v>
      </c>
      <c r="E81" s="2"/>
      <c r="I81" s="347">
        <f>+G73</f>
        <v>6.8570000000000002E-3</v>
      </c>
      <c r="K81" s="348"/>
      <c r="M81" s="359"/>
      <c r="N81" s="359"/>
      <c r="O81" s="2"/>
      <c r="P81" s="2"/>
      <c r="Q81" s="2"/>
      <c r="R81" s="2"/>
    </row>
    <row r="82" spans="1:18" x14ac:dyDescent="0.25">
      <c r="B82" s="2"/>
      <c r="C82" s="2"/>
      <c r="D82" s="2"/>
      <c r="E82" s="2"/>
      <c r="H82" s="278"/>
      <c r="K82" s="279"/>
      <c r="M82" s="143"/>
      <c r="N82" s="143"/>
      <c r="O82" s="2"/>
      <c r="P82" s="2"/>
      <c r="Q82" s="2"/>
      <c r="R82" s="2"/>
    </row>
    <row r="83" spans="1:18" ht="16.5" thickBot="1" x14ac:dyDescent="0.3">
      <c r="G83" s="340" t="s">
        <v>189</v>
      </c>
      <c r="J83" s="282"/>
      <c r="K83" s="349">
        <f>+ROUND(I80*I81,0)</f>
        <v>26008</v>
      </c>
      <c r="M83" s="143"/>
      <c r="N83" s="143"/>
      <c r="O83" s="2"/>
      <c r="P83" s="2"/>
      <c r="Q83" s="2"/>
      <c r="R83" s="2"/>
    </row>
    <row r="84" spans="1:18" ht="16.5" thickTop="1" x14ac:dyDescent="0.25">
      <c r="B84" s="19" t="s">
        <v>88</v>
      </c>
    </row>
    <row r="85" spans="1:18" x14ac:dyDescent="0.25">
      <c r="A85" s="412" t="s">
        <v>228</v>
      </c>
      <c r="B85" s="412"/>
      <c r="C85" s="412"/>
      <c r="D85" s="412"/>
      <c r="E85" s="412"/>
      <c r="F85" s="412"/>
      <c r="G85" s="412"/>
      <c r="H85" s="412"/>
      <c r="I85" s="412"/>
      <c r="J85" s="412"/>
      <c r="K85" s="412"/>
      <c r="M85" s="350"/>
    </row>
    <row r="86" spans="1:18" x14ac:dyDescent="0.25">
      <c r="A86" s="413" t="s">
        <v>76</v>
      </c>
      <c r="B86" s="413"/>
      <c r="C86" s="413"/>
      <c r="D86" s="413"/>
      <c r="E86" s="413"/>
      <c r="F86" s="413"/>
      <c r="G86" s="413"/>
      <c r="H86" s="413"/>
      <c r="I86" s="413"/>
      <c r="J86" s="413"/>
      <c r="K86" s="413"/>
      <c r="M86" s="278"/>
    </row>
    <row r="87" spans="1:18" ht="25.5" customHeight="1" x14ac:dyDescent="0.25">
      <c r="A87" s="351" t="s">
        <v>229</v>
      </c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M87" s="278"/>
    </row>
    <row r="88" spans="1:18" x14ac:dyDescent="0.25">
      <c r="A88" s="351"/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M88" s="278"/>
    </row>
    <row r="89" spans="1:18" x14ac:dyDescent="0.25">
      <c r="I89" s="327"/>
      <c r="J89" s="352"/>
    </row>
    <row r="90" spans="1:18" x14ac:dyDescent="0.25">
      <c r="C90" s="19" t="s">
        <v>230</v>
      </c>
      <c r="E90" s="62"/>
      <c r="F90" s="62"/>
      <c r="G90" s="62"/>
      <c r="I90" s="321">
        <f>+ProformaPresentRateRevenue</f>
        <v>34316686</v>
      </c>
    </row>
    <row r="91" spans="1:18" x14ac:dyDescent="0.25">
      <c r="C91" s="19" t="s">
        <v>231</v>
      </c>
      <c r="D91" s="19" t="s">
        <v>232</v>
      </c>
      <c r="E91" s="62"/>
      <c r="F91" s="62"/>
      <c r="G91" s="62"/>
      <c r="I91" s="72">
        <v>-1000</v>
      </c>
      <c r="M91" s="282"/>
      <c r="N91" s="282"/>
    </row>
    <row r="92" spans="1:18" x14ac:dyDescent="0.25">
      <c r="D92" s="19" t="s">
        <v>69</v>
      </c>
      <c r="E92" s="62"/>
      <c r="F92" s="62"/>
      <c r="G92" s="62"/>
      <c r="I92" s="72">
        <f>-'[1]Sch 4'!M43</f>
        <v>-162424</v>
      </c>
    </row>
    <row r="93" spans="1:18" x14ac:dyDescent="0.25">
      <c r="D93" s="62" t="s">
        <v>49</v>
      </c>
      <c r="E93" s="62"/>
      <c r="F93" s="62"/>
      <c r="G93" s="62"/>
      <c r="I93" s="72">
        <f>-'[1]Sch 4'!M17</f>
        <v>-1235161</v>
      </c>
      <c r="K93" s="282"/>
      <c r="M93" s="62"/>
    </row>
    <row r="94" spans="1:18" x14ac:dyDescent="0.25">
      <c r="D94" s="62" t="s">
        <v>233</v>
      </c>
      <c r="E94" s="62"/>
      <c r="F94" s="62"/>
      <c r="I94" s="154">
        <f>-6145667+1947230</f>
        <v>-4198437</v>
      </c>
      <c r="K94" s="353"/>
      <c r="M94" s="72"/>
    </row>
    <row r="95" spans="1:18" x14ac:dyDescent="0.25">
      <c r="E95" s="62"/>
      <c r="F95" s="62"/>
      <c r="G95" s="62"/>
      <c r="I95" s="2"/>
      <c r="J95" s="62"/>
    </row>
    <row r="96" spans="1:18" x14ac:dyDescent="0.25">
      <c r="E96" s="62" t="s">
        <v>234</v>
      </c>
      <c r="F96" s="62"/>
      <c r="G96" s="62"/>
      <c r="I96" s="235"/>
      <c r="J96" s="317">
        <f>SUM(I90:I94)</f>
        <v>28719664</v>
      </c>
    </row>
    <row r="97" spans="5:18" x14ac:dyDescent="0.25">
      <c r="E97" s="19" t="s">
        <v>235</v>
      </c>
      <c r="F97" s="19" t="s">
        <v>236</v>
      </c>
      <c r="I97" s="194"/>
      <c r="J97" s="354">
        <v>1.4E-2</v>
      </c>
    </row>
    <row r="98" spans="5:18" x14ac:dyDescent="0.25">
      <c r="I98" s="2"/>
      <c r="J98" s="62"/>
    </row>
    <row r="99" spans="5:18" x14ac:dyDescent="0.25">
      <c r="E99" s="19" t="s">
        <v>237</v>
      </c>
      <c r="I99" s="143"/>
      <c r="J99" s="72">
        <f>+ROUND(J96*J97,0)</f>
        <v>402075</v>
      </c>
    </row>
    <row r="100" spans="5:18" x14ac:dyDescent="0.25">
      <c r="E100" s="19" t="s">
        <v>238</v>
      </c>
      <c r="I100" s="158"/>
      <c r="J100" s="154">
        <f>+'[1]Sch 4'!G53</f>
        <v>354798</v>
      </c>
    </row>
    <row r="101" spans="5:18" x14ac:dyDescent="0.25">
      <c r="I101" s="2"/>
      <c r="J101" s="62"/>
    </row>
    <row r="102" spans="5:18" ht="16.5" thickBot="1" x14ac:dyDescent="0.3">
      <c r="G102" s="322" t="s">
        <v>189</v>
      </c>
      <c r="I102" s="355"/>
      <c r="K102" s="323">
        <f>+J99-J100</f>
        <v>47277</v>
      </c>
    </row>
    <row r="103" spans="5:18" ht="16.5" thickTop="1" x14ac:dyDescent="0.25">
      <c r="I103" s="263"/>
      <c r="J103" s="263"/>
    </row>
    <row r="105" spans="5:18" x14ac:dyDescent="0.25">
      <c r="N105" s="2"/>
      <c r="O105" s="2"/>
      <c r="P105" s="2"/>
      <c r="Q105" s="356"/>
      <c r="R105" s="357"/>
    </row>
    <row r="106" spans="5:18" x14ac:dyDescent="0.25">
      <c r="N106" s="275"/>
      <c r="O106" s="139"/>
      <c r="P106" s="139"/>
      <c r="Q106" s="356"/>
      <c r="R106" s="357"/>
    </row>
  </sheetData>
  <mergeCells count="17">
    <mergeCell ref="A63:K63"/>
    <mergeCell ref="A4:K4"/>
    <mergeCell ref="A5:K5"/>
    <mergeCell ref="A7:K7"/>
    <mergeCell ref="A9:K9"/>
    <mergeCell ref="A10:K10"/>
    <mergeCell ref="A11:K12"/>
    <mergeCell ref="A23:K23"/>
    <mergeCell ref="A24:K24"/>
    <mergeCell ref="A25:K26"/>
    <mergeCell ref="A60:K60"/>
    <mergeCell ref="A61:K61"/>
    <mergeCell ref="A65:K65"/>
    <mergeCell ref="A66:K66"/>
    <mergeCell ref="A67:K67"/>
    <mergeCell ref="A85:K85"/>
    <mergeCell ref="A86:K86"/>
  </mergeCells>
  <pageMargins left="0.7" right="0.7" top="0.75" bottom="0.75" header="0.3" footer="0.3"/>
  <pageSetup scale="70" orientation="portrait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view="pageBreakPreview" topLeftCell="A8" zoomScale="60" zoomScaleNormal="100" workbookViewId="0">
      <selection activeCell="A6" sqref="A6"/>
    </sheetView>
  </sheetViews>
  <sheetFormatPr defaultColWidth="10.28515625" defaultRowHeight="15" x14ac:dyDescent="0.25"/>
  <cols>
    <col min="1" max="1" width="3.42578125" style="20" customWidth="1"/>
    <col min="2" max="2" width="3" style="20" customWidth="1"/>
    <col min="3" max="3" width="35" style="20" customWidth="1"/>
    <col min="4" max="4" width="2.42578125" style="20" customWidth="1"/>
    <col min="5" max="5" width="15.140625" style="20" bestFit="1" customWidth="1"/>
    <col min="6" max="6" width="2.42578125" style="20" customWidth="1"/>
    <col min="7" max="7" width="14.28515625" style="20" bestFit="1" customWidth="1"/>
    <col min="8" max="8" width="3.5703125" style="20" customWidth="1"/>
    <col min="9" max="9" width="14.42578125" style="20" customWidth="1"/>
    <col min="10" max="10" width="2.42578125" style="20" customWidth="1"/>
    <col min="11" max="11" width="14.42578125" style="20" customWidth="1"/>
    <col min="12" max="16384" width="10.28515625" style="20"/>
  </cols>
  <sheetData>
    <row r="1" spans="1:11" x14ac:dyDescent="0.25">
      <c r="K1" s="21" t="s">
        <v>2</v>
      </c>
    </row>
    <row r="2" spans="1:11" x14ac:dyDescent="0.25">
      <c r="K2" s="21" t="s">
        <v>38</v>
      </c>
    </row>
    <row r="3" spans="1:11" x14ac:dyDescent="0.25">
      <c r="K3" s="21" t="s">
        <v>39</v>
      </c>
    </row>
    <row r="4" spans="1:11" ht="20.25" x14ac:dyDescent="0.3">
      <c r="A4" s="406" t="s">
        <v>239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1" ht="18.75" x14ac:dyDescent="0.3">
      <c r="A5" s="407" t="s">
        <v>244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7" spans="1:11" ht="15.75" x14ac:dyDescent="0.25">
      <c r="A7" s="400" t="s">
        <v>40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</row>
    <row r="8" spans="1:11" ht="15.75" x14ac:dyDescent="0.25">
      <c r="A8" s="400" t="s">
        <v>41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</row>
    <row r="9" spans="1:1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25">
      <c r="E11" s="26" t="s">
        <v>42</v>
      </c>
      <c r="G11" s="27" t="s">
        <v>43</v>
      </c>
      <c r="I11" s="27" t="s">
        <v>43</v>
      </c>
      <c r="K11" s="27" t="s">
        <v>43</v>
      </c>
    </row>
    <row r="12" spans="1:11" x14ac:dyDescent="0.25">
      <c r="E12" s="28">
        <v>2017</v>
      </c>
      <c r="G12" s="29">
        <v>2017</v>
      </c>
      <c r="I12" s="29">
        <v>2016</v>
      </c>
      <c r="K12" s="29">
        <v>2015</v>
      </c>
    </row>
    <row r="13" spans="1:11" x14ac:dyDescent="0.25">
      <c r="A13" s="20" t="s">
        <v>44</v>
      </c>
    </row>
    <row r="14" spans="1:11" x14ac:dyDescent="0.25">
      <c r="B14" s="20" t="s">
        <v>45</v>
      </c>
      <c r="G14" s="30"/>
      <c r="I14" s="31"/>
    </row>
    <row r="15" spans="1:11" x14ac:dyDescent="0.25">
      <c r="C15" s="20" t="s">
        <v>46</v>
      </c>
      <c r="E15" s="23">
        <v>13696042</v>
      </c>
      <c r="F15" s="33"/>
      <c r="G15" s="33">
        <v>14049944</v>
      </c>
      <c r="H15" s="33"/>
      <c r="I15" s="33">
        <v>11160679</v>
      </c>
      <c r="J15" s="33"/>
      <c r="K15" s="33">
        <v>11188398</v>
      </c>
    </row>
    <row r="16" spans="1:11" x14ac:dyDescent="0.25">
      <c r="C16" s="20" t="s">
        <v>47</v>
      </c>
      <c r="E16" s="25">
        <v>6197076</v>
      </c>
      <c r="F16" s="25"/>
      <c r="G16" s="25">
        <v>6321110</v>
      </c>
      <c r="H16" s="25"/>
      <c r="I16" s="25">
        <v>5039561</v>
      </c>
      <c r="J16" s="25"/>
      <c r="K16" s="25">
        <v>4872646</v>
      </c>
    </row>
    <row r="17" spans="1:11" x14ac:dyDescent="0.25">
      <c r="C17" s="20" t="s">
        <v>48</v>
      </c>
      <c r="E17" s="22">
        <f>3775573-E18</f>
        <v>2120285</v>
      </c>
      <c r="F17" s="25"/>
      <c r="G17" s="25">
        <v>2346366</v>
      </c>
      <c r="H17" s="25"/>
      <c r="I17" s="25">
        <f>3243414-I18</f>
        <v>1980803</v>
      </c>
      <c r="J17" s="25"/>
      <c r="K17" s="25">
        <f>3212321-K18</f>
        <v>2032302</v>
      </c>
    </row>
    <row r="18" spans="1:11" x14ac:dyDescent="0.25">
      <c r="C18" s="20" t="s">
        <v>49</v>
      </c>
      <c r="E18" s="25">
        <f>+'[1]Sch 5 - Summary'!L11</f>
        <v>1655288</v>
      </c>
      <c r="F18" s="25"/>
      <c r="G18" s="25">
        <v>1495034</v>
      </c>
      <c r="H18" s="25"/>
      <c r="I18" s="25">
        <v>1262611</v>
      </c>
      <c r="J18" s="25"/>
      <c r="K18" s="25">
        <v>1180019</v>
      </c>
    </row>
    <row r="19" spans="1:11" x14ac:dyDescent="0.25">
      <c r="C19" s="20" t="s">
        <v>50</v>
      </c>
      <c r="E19" s="22">
        <v>929528</v>
      </c>
      <c r="F19" s="25"/>
      <c r="G19" s="25">
        <v>949658</v>
      </c>
      <c r="H19" s="25"/>
      <c r="I19" s="25">
        <v>739220</v>
      </c>
      <c r="J19" s="25"/>
      <c r="K19" s="25">
        <v>760917</v>
      </c>
    </row>
    <row r="20" spans="1:11" x14ac:dyDescent="0.25">
      <c r="B20" s="20" t="s">
        <v>51</v>
      </c>
      <c r="E20" s="25"/>
      <c r="F20" s="25"/>
      <c r="G20" s="22"/>
      <c r="H20" s="25"/>
      <c r="I20" s="22"/>
      <c r="J20" s="25"/>
      <c r="K20" s="22"/>
    </row>
    <row r="21" spans="1:11" x14ac:dyDescent="0.25">
      <c r="C21" s="20" t="s">
        <v>52</v>
      </c>
      <c r="E21" s="25">
        <f>3974679-E22</f>
        <v>3974679</v>
      </c>
      <c r="F21" s="25"/>
      <c r="G21" s="25">
        <v>3591481</v>
      </c>
      <c r="H21" s="25"/>
      <c r="I21" s="25">
        <v>2827979</v>
      </c>
      <c r="J21" s="25"/>
      <c r="K21" s="25">
        <v>2763376</v>
      </c>
    </row>
    <row r="22" spans="1:11" x14ac:dyDescent="0.25">
      <c r="C22" s="20" t="s">
        <v>53</v>
      </c>
      <c r="E22" s="25">
        <f>ROUND(+E98,0)</f>
        <v>0</v>
      </c>
      <c r="F22" s="25"/>
      <c r="G22" s="25">
        <v>517394</v>
      </c>
      <c r="H22" s="25"/>
      <c r="I22" s="25">
        <v>397910</v>
      </c>
      <c r="J22" s="25"/>
      <c r="K22" s="25">
        <v>389479</v>
      </c>
    </row>
    <row r="23" spans="1:11" x14ac:dyDescent="0.25">
      <c r="E23" s="25"/>
      <c r="F23" s="25"/>
      <c r="G23" s="34"/>
      <c r="H23" s="25"/>
      <c r="I23" s="25"/>
      <c r="J23" s="25"/>
      <c r="K23" s="25"/>
    </row>
    <row r="24" spans="1:11" x14ac:dyDescent="0.25">
      <c r="B24" s="20" t="s">
        <v>54</v>
      </c>
      <c r="E24" s="25">
        <v>147946</v>
      </c>
      <c r="F24" s="25"/>
      <c r="G24" s="25">
        <v>157166</v>
      </c>
      <c r="H24" s="25"/>
      <c r="I24" s="25">
        <v>119071</v>
      </c>
      <c r="J24" s="25"/>
      <c r="K24" s="25">
        <v>127178</v>
      </c>
    </row>
    <row r="25" spans="1:11" x14ac:dyDescent="0.25">
      <c r="B25" s="20" t="s">
        <v>55</v>
      </c>
      <c r="E25" s="25">
        <v>457282</v>
      </c>
      <c r="F25" s="25"/>
      <c r="G25" s="25">
        <v>330330</v>
      </c>
      <c r="H25" s="25"/>
      <c r="I25" s="25">
        <f>67194*0+432628</f>
        <v>432628</v>
      </c>
      <c r="J25" s="25"/>
      <c r="K25" s="25">
        <v>487501</v>
      </c>
    </row>
    <row r="26" spans="1:11" x14ac:dyDescent="0.25">
      <c r="B26" s="20" t="s">
        <v>56</v>
      </c>
      <c r="E26" s="22">
        <v>5370243</v>
      </c>
      <c r="F26" s="25"/>
      <c r="G26" s="25">
        <v>5383983</v>
      </c>
      <c r="H26" s="25"/>
      <c r="I26" s="25">
        <v>5358365</v>
      </c>
      <c r="J26" s="25"/>
      <c r="K26" s="25">
        <v>5338491</v>
      </c>
    </row>
    <row r="27" spans="1:11" x14ac:dyDescent="0.25">
      <c r="C27" s="20" t="s">
        <v>57</v>
      </c>
      <c r="E27" s="35">
        <f>SUM(E15:E26)</f>
        <v>34548369</v>
      </c>
      <c r="F27" s="25"/>
      <c r="G27" s="35">
        <f>SUM(G15:G26)</f>
        <v>35142466</v>
      </c>
      <c r="H27" s="25"/>
      <c r="I27" s="35">
        <f>SUM(I15:I26)</f>
        <v>29318827</v>
      </c>
      <c r="J27" s="25"/>
      <c r="K27" s="35">
        <f>SUM(K15:K26)</f>
        <v>29140307</v>
      </c>
    </row>
    <row r="28" spans="1:11" x14ac:dyDescent="0.25">
      <c r="E28" s="25"/>
      <c r="F28" s="25"/>
      <c r="G28" s="25"/>
      <c r="H28" s="25"/>
      <c r="I28" s="25"/>
      <c r="J28" s="25"/>
      <c r="K28" s="25"/>
    </row>
    <row r="29" spans="1:11" x14ac:dyDescent="0.25">
      <c r="A29" s="20" t="s">
        <v>22</v>
      </c>
      <c r="E29" s="25"/>
      <c r="F29" s="25"/>
      <c r="G29" s="25"/>
      <c r="H29" s="25"/>
      <c r="I29" s="36"/>
      <c r="J29" s="25"/>
      <c r="K29" s="25"/>
    </row>
    <row r="30" spans="1:11" x14ac:dyDescent="0.25">
      <c r="B30" s="37" t="s">
        <v>58</v>
      </c>
      <c r="E30" s="25">
        <v>6626457</v>
      </c>
      <c r="F30" s="25"/>
      <c r="G30" s="25">
        <v>6717938</v>
      </c>
      <c r="H30" s="25"/>
      <c r="I30" s="25">
        <v>6477216</v>
      </c>
      <c r="J30" s="25"/>
      <c r="K30" s="25">
        <v>6315097</v>
      </c>
    </row>
    <row r="31" spans="1:11" x14ac:dyDescent="0.25">
      <c r="B31" s="37" t="s">
        <v>59</v>
      </c>
      <c r="E31" s="25">
        <v>3585723</v>
      </c>
      <c r="F31" s="25"/>
      <c r="G31" s="25">
        <v>4420167</v>
      </c>
      <c r="H31" s="25"/>
      <c r="I31" s="25">
        <v>3877382</v>
      </c>
      <c r="J31" s="25"/>
      <c r="K31" s="25">
        <v>4955423</v>
      </c>
    </row>
    <row r="32" spans="1:11" x14ac:dyDescent="0.25">
      <c r="B32" s="37" t="s">
        <v>60</v>
      </c>
      <c r="E32" s="25">
        <v>1331344</v>
      </c>
      <c r="F32" s="25"/>
      <c r="G32" s="25">
        <v>1307991</v>
      </c>
      <c r="H32" s="25"/>
      <c r="I32" s="25">
        <v>1278248</v>
      </c>
      <c r="J32" s="25"/>
      <c r="K32" s="25">
        <v>1125963</v>
      </c>
    </row>
    <row r="33" spans="2:13" x14ac:dyDescent="0.25">
      <c r="B33" s="37" t="s">
        <v>61</v>
      </c>
      <c r="E33" s="25">
        <v>1096964</v>
      </c>
      <c r="F33" s="25"/>
      <c r="G33" s="25">
        <v>975310</v>
      </c>
      <c r="H33" s="25"/>
      <c r="I33" s="25">
        <v>1236254</v>
      </c>
      <c r="J33" s="25"/>
      <c r="K33" s="25">
        <v>1206901</v>
      </c>
    </row>
    <row r="34" spans="2:13" x14ac:dyDescent="0.25">
      <c r="B34" s="37" t="s">
        <v>62</v>
      </c>
      <c r="E34" s="25">
        <v>1001035</v>
      </c>
      <c r="F34" s="25"/>
      <c r="G34" s="25">
        <v>714478</v>
      </c>
      <c r="H34" s="25"/>
      <c r="I34" s="25">
        <v>1003363</v>
      </c>
      <c r="J34" s="25"/>
      <c r="K34" s="25">
        <v>833225</v>
      </c>
    </row>
    <row r="35" spans="2:13" ht="17.25" x14ac:dyDescent="0.25">
      <c r="B35" s="37" t="s">
        <v>63</v>
      </c>
      <c r="E35" s="25">
        <v>2341209</v>
      </c>
      <c r="F35" s="25"/>
      <c r="G35" s="25">
        <v>0</v>
      </c>
      <c r="H35" s="38" t="s">
        <v>64</v>
      </c>
      <c r="I35" s="25">
        <v>1652898</v>
      </c>
      <c r="J35" s="25"/>
      <c r="K35" s="25">
        <v>1871403</v>
      </c>
    </row>
    <row r="36" spans="2:13" ht="17.25" x14ac:dyDescent="0.25">
      <c r="B36" s="37" t="s">
        <v>65</v>
      </c>
      <c r="E36" s="25">
        <v>2577799</v>
      </c>
      <c r="F36" s="25"/>
      <c r="G36" s="25">
        <f>2713952+110876+45000+140569+2164051</f>
        <v>5174448</v>
      </c>
      <c r="H36" s="38" t="s">
        <v>64</v>
      </c>
      <c r="I36" s="25">
        <v>2791463</v>
      </c>
      <c r="J36" s="25"/>
      <c r="K36" s="25">
        <v>2767922</v>
      </c>
    </row>
    <row r="37" spans="2:13" x14ac:dyDescent="0.25">
      <c r="B37" s="37" t="s">
        <v>66</v>
      </c>
      <c r="E37" s="25">
        <v>103066</v>
      </c>
      <c r="F37" s="25"/>
      <c r="G37" s="25">
        <v>103106</v>
      </c>
      <c r="H37" s="25"/>
      <c r="I37" s="25">
        <v>102938</v>
      </c>
      <c r="J37" s="25"/>
      <c r="K37" s="25">
        <v>101679</v>
      </c>
    </row>
    <row r="38" spans="2:13" x14ac:dyDescent="0.25">
      <c r="B38" s="37" t="s">
        <v>67</v>
      </c>
      <c r="E38" s="25">
        <v>276125</v>
      </c>
      <c r="F38" s="25"/>
      <c r="G38" s="25">
        <v>300872</v>
      </c>
      <c r="H38" s="25"/>
      <c r="I38" s="25">
        <v>296713</v>
      </c>
      <c r="J38" s="25"/>
      <c r="K38" s="25">
        <v>364229</v>
      </c>
    </row>
    <row r="39" spans="2:13" x14ac:dyDescent="0.25">
      <c r="B39" s="37" t="s">
        <v>68</v>
      </c>
      <c r="E39" s="25">
        <v>351141</v>
      </c>
      <c r="G39" s="25">
        <v>351141</v>
      </c>
      <c r="I39" s="25">
        <v>351141</v>
      </c>
      <c r="K39" s="25">
        <v>347664</v>
      </c>
    </row>
    <row r="40" spans="2:13" x14ac:dyDescent="0.25">
      <c r="B40" s="37" t="s">
        <v>69</v>
      </c>
      <c r="E40" s="25">
        <v>136416</v>
      </c>
      <c r="F40" s="39"/>
      <c r="G40" s="25">
        <v>129712</v>
      </c>
      <c r="H40" s="39"/>
      <c r="I40" s="25">
        <v>136416</v>
      </c>
      <c r="J40" s="25"/>
      <c r="K40" s="25">
        <v>294844</v>
      </c>
    </row>
    <row r="41" spans="2:13" x14ac:dyDescent="0.25">
      <c r="B41" s="37" t="s">
        <v>70</v>
      </c>
      <c r="E41" s="25">
        <v>359318</v>
      </c>
      <c r="G41" s="25">
        <f>201858+63000</f>
        <v>264858</v>
      </c>
      <c r="I41" s="25">
        <v>319941</v>
      </c>
      <c r="K41" s="25">
        <v>320513</v>
      </c>
    </row>
    <row r="42" spans="2:13" x14ac:dyDescent="0.25">
      <c r="C42" s="20" t="s">
        <v>71</v>
      </c>
      <c r="E42" s="40">
        <f>SUM(E30:E41)</f>
        <v>19786597</v>
      </c>
      <c r="F42" s="25"/>
      <c r="G42" s="40">
        <f>SUM(G30:G41)</f>
        <v>20460021</v>
      </c>
      <c r="H42" s="25"/>
      <c r="I42" s="40">
        <f>SUM(I30:I41)</f>
        <v>19523973</v>
      </c>
      <c r="J42" s="25"/>
      <c r="K42" s="40">
        <f>SUM(K30:K41)</f>
        <v>20504863</v>
      </c>
    </row>
    <row r="43" spans="2:13" x14ac:dyDescent="0.25">
      <c r="E43" s="25"/>
      <c r="F43" s="25"/>
      <c r="G43" s="25"/>
      <c r="H43" s="25"/>
      <c r="I43" s="25"/>
      <c r="J43" s="25"/>
      <c r="K43" s="25"/>
    </row>
    <row r="44" spans="2:13" x14ac:dyDescent="0.25">
      <c r="B44" s="20" t="s">
        <v>72</v>
      </c>
      <c r="E44" s="25">
        <v>3845446</v>
      </c>
      <c r="F44" s="25"/>
      <c r="G44" s="25">
        <v>3892231</v>
      </c>
      <c r="H44" s="25"/>
      <c r="I44" s="25">
        <v>3484574</v>
      </c>
      <c r="J44" s="25"/>
      <c r="K44" s="25">
        <v>3331192</v>
      </c>
    </row>
    <row r="45" spans="2:13" hidden="1" x14ac:dyDescent="0.25">
      <c r="B45" s="20" t="s">
        <v>73</v>
      </c>
      <c r="E45" s="25">
        <f>135089*0</f>
        <v>0</v>
      </c>
      <c r="F45" s="25"/>
      <c r="G45" s="25">
        <v>0</v>
      </c>
      <c r="H45" s="25"/>
      <c r="I45" s="25">
        <v>0</v>
      </c>
      <c r="J45" s="25"/>
      <c r="K45" s="25">
        <v>0</v>
      </c>
    </row>
    <row r="46" spans="2:13" x14ac:dyDescent="0.25">
      <c r="B46" s="20" t="s">
        <v>74</v>
      </c>
      <c r="E46" s="25"/>
      <c r="F46" s="25"/>
      <c r="G46" s="25"/>
      <c r="H46" s="25"/>
      <c r="I46" s="25"/>
      <c r="J46" s="25"/>
      <c r="K46" s="25"/>
    </row>
    <row r="47" spans="2:13" x14ac:dyDescent="0.25">
      <c r="C47" s="20" t="s">
        <v>75</v>
      </c>
      <c r="E47" s="22">
        <v>1135896</v>
      </c>
      <c r="F47" s="25"/>
      <c r="G47" s="25">
        <v>1677172</v>
      </c>
      <c r="H47" s="25"/>
      <c r="I47" s="25">
        <v>1363900</v>
      </c>
      <c r="J47" s="25"/>
      <c r="K47" s="25">
        <v>1363900</v>
      </c>
    </row>
    <row r="48" spans="2:13" x14ac:dyDescent="0.25">
      <c r="C48" s="20" t="s">
        <v>76</v>
      </c>
      <c r="E48" s="22">
        <v>354798</v>
      </c>
      <c r="F48" s="25"/>
      <c r="G48" s="25">
        <v>351599</v>
      </c>
      <c r="H48" s="25"/>
      <c r="I48" s="111">
        <v>284320</v>
      </c>
      <c r="J48" s="25"/>
      <c r="K48" s="111">
        <v>292027</v>
      </c>
      <c r="M48" s="111"/>
    </row>
    <row r="49" spans="1:11" x14ac:dyDescent="0.25">
      <c r="B49" s="20" t="s">
        <v>77</v>
      </c>
      <c r="E49" s="35">
        <f>SUM(E42:E48)</f>
        <v>25122737</v>
      </c>
      <c r="F49" s="25"/>
      <c r="G49" s="35">
        <f>SUM(G42:G48)</f>
        <v>26381023</v>
      </c>
      <c r="H49" s="25"/>
      <c r="I49" s="35">
        <f>SUM(I42:I48)</f>
        <v>24656767</v>
      </c>
      <c r="J49" s="25"/>
      <c r="K49" s="35">
        <f>SUM(K42:K48)</f>
        <v>25491982</v>
      </c>
    </row>
    <row r="50" spans="1:11" x14ac:dyDescent="0.25">
      <c r="E50" s="25"/>
      <c r="F50" s="25"/>
      <c r="G50" s="25"/>
      <c r="H50" s="25"/>
      <c r="I50" s="25"/>
      <c r="J50" s="25"/>
      <c r="K50" s="25"/>
    </row>
    <row r="51" spans="1:11" x14ac:dyDescent="0.25">
      <c r="A51" s="20" t="s">
        <v>78</v>
      </c>
      <c r="E51" s="25">
        <f>+E27-E49</f>
        <v>9425632</v>
      </c>
      <c r="F51" s="25"/>
      <c r="G51" s="25">
        <f>+G27-G49</f>
        <v>8761443</v>
      </c>
      <c r="H51" s="25"/>
      <c r="I51" s="25">
        <f>+I27-I49</f>
        <v>4662060</v>
      </c>
      <c r="J51" s="25"/>
      <c r="K51" s="25">
        <f>+K27-K49</f>
        <v>3648325</v>
      </c>
    </row>
    <row r="52" spans="1:11" x14ac:dyDescent="0.25">
      <c r="E52" s="25"/>
      <c r="F52" s="25"/>
      <c r="G52" s="32"/>
      <c r="H52" s="25"/>
      <c r="I52" s="32"/>
      <c r="J52" s="25"/>
    </row>
    <row r="53" spans="1:11" x14ac:dyDescent="0.25">
      <c r="A53" s="20" t="s">
        <v>79</v>
      </c>
      <c r="E53" s="25"/>
      <c r="F53" s="25"/>
      <c r="G53" s="32"/>
      <c r="H53" s="25"/>
      <c r="I53" s="32"/>
      <c r="J53" s="25"/>
    </row>
    <row r="54" spans="1:11" x14ac:dyDescent="0.25">
      <c r="B54" s="20" t="s">
        <v>7</v>
      </c>
      <c r="E54" s="25">
        <v>127365</v>
      </c>
      <c r="F54" s="25"/>
      <c r="G54" s="25">
        <v>139958</v>
      </c>
      <c r="H54" s="25"/>
      <c r="I54" s="25">
        <v>74911</v>
      </c>
      <c r="J54" s="25"/>
      <c r="K54" s="25">
        <v>41231</v>
      </c>
    </row>
    <row r="55" spans="1:11" x14ac:dyDescent="0.25">
      <c r="B55" s="20" t="s">
        <v>80</v>
      </c>
      <c r="E55" s="25">
        <v>479467</v>
      </c>
      <c r="F55" s="25"/>
      <c r="G55" s="25">
        <v>111684</v>
      </c>
      <c r="H55" s="25"/>
      <c r="I55" s="25">
        <v>594306</v>
      </c>
      <c r="J55" s="25"/>
      <c r="K55" s="25">
        <v>221544</v>
      </c>
    </row>
    <row r="56" spans="1:11" x14ac:dyDescent="0.25">
      <c r="B56" s="20" t="s">
        <v>81</v>
      </c>
      <c r="E56" s="25">
        <v>-3740016</v>
      </c>
      <c r="F56" s="25"/>
      <c r="G56" s="25">
        <v>-3579771</v>
      </c>
      <c r="H56" s="25"/>
      <c r="I56" s="25">
        <v>-3137713</v>
      </c>
      <c r="J56" s="25"/>
      <c r="K56" s="25">
        <v>-2652326</v>
      </c>
    </row>
    <row r="57" spans="1:11" x14ac:dyDescent="0.25">
      <c r="B57" s="20" t="s">
        <v>82</v>
      </c>
      <c r="E57" s="25">
        <v>-249252</v>
      </c>
      <c r="F57" s="25"/>
      <c r="G57" s="25">
        <v>-146229</v>
      </c>
      <c r="H57" s="25"/>
      <c r="I57" s="25">
        <v>-184151</v>
      </c>
      <c r="J57" s="25"/>
      <c r="K57" s="25">
        <v>-188852</v>
      </c>
    </row>
    <row r="58" spans="1:11" x14ac:dyDescent="0.25">
      <c r="B58" s="20" t="s">
        <v>83</v>
      </c>
      <c r="E58" s="25">
        <v>-250</v>
      </c>
      <c r="F58" s="25"/>
      <c r="G58" s="25">
        <v>0</v>
      </c>
      <c r="H58" s="25"/>
      <c r="I58" s="25">
        <v>-11542</v>
      </c>
      <c r="J58" s="25"/>
      <c r="K58" s="25">
        <v>-264562</v>
      </c>
    </row>
    <row r="59" spans="1:11" x14ac:dyDescent="0.25">
      <c r="C59" s="20" t="s">
        <v>84</v>
      </c>
      <c r="E59" s="41">
        <f>SUM(E54:E58)</f>
        <v>-3382686</v>
      </c>
      <c r="G59" s="41">
        <f>SUM(G54:G58)</f>
        <v>-3474358</v>
      </c>
      <c r="I59" s="41">
        <f>SUM(I54:I58)</f>
        <v>-2664189</v>
      </c>
      <c r="K59" s="41">
        <f>SUM(K54:K58)</f>
        <v>-2842965</v>
      </c>
    </row>
    <row r="61" spans="1:11" ht="15.75" thickBot="1" x14ac:dyDescent="0.3">
      <c r="A61" s="20" t="s">
        <v>85</v>
      </c>
      <c r="E61" s="42">
        <f>+E51+E59</f>
        <v>6042946</v>
      </c>
      <c r="G61" s="42">
        <f>+G51+G59</f>
        <v>5287085</v>
      </c>
      <c r="I61" s="42">
        <f>+I51+I59</f>
        <v>1997871</v>
      </c>
      <c r="K61" s="42">
        <f>+K51+K59</f>
        <v>805360</v>
      </c>
    </row>
    <row r="62" spans="1:11" ht="15.75" thickTop="1" x14ac:dyDescent="0.25"/>
    <row r="64" spans="1:11" ht="38.25" customHeight="1" x14ac:dyDescent="0.25">
      <c r="B64" s="44" t="s">
        <v>64</v>
      </c>
      <c r="C64" s="418" t="s">
        <v>86</v>
      </c>
      <c r="D64" s="419"/>
      <c r="E64" s="419"/>
      <c r="F64" s="419"/>
      <c r="G64" s="419"/>
      <c r="H64" s="419"/>
      <c r="I64" s="419"/>
    </row>
    <row r="65" spans="1:12" ht="16.5" x14ac:dyDescent="0.25">
      <c r="B65" s="44"/>
      <c r="C65" s="45"/>
      <c r="D65" s="46"/>
      <c r="E65" s="46"/>
      <c r="F65" s="46"/>
      <c r="G65" s="46"/>
      <c r="H65" s="46"/>
      <c r="I65" s="46"/>
    </row>
    <row r="66" spans="1:12" ht="16.5" x14ac:dyDescent="0.25">
      <c r="B66" s="44"/>
      <c r="C66" s="45"/>
      <c r="D66" s="46"/>
      <c r="E66" s="43"/>
      <c r="F66" s="46"/>
      <c r="G66" s="43"/>
      <c r="I66" s="43"/>
      <c r="K66" s="43"/>
    </row>
    <row r="67" spans="1:12" ht="16.5" x14ac:dyDescent="0.25">
      <c r="B67" s="44"/>
      <c r="C67" s="45"/>
      <c r="D67" s="46"/>
      <c r="E67" s="43"/>
      <c r="F67" s="46"/>
      <c r="I67" s="43"/>
      <c r="K67" s="43"/>
    </row>
    <row r="68" spans="1:12" ht="16.5" x14ac:dyDescent="0.25">
      <c r="B68" s="44"/>
      <c r="C68" s="45"/>
      <c r="D68" s="46"/>
      <c r="E68" s="47"/>
      <c r="F68" s="46"/>
      <c r="G68" s="47"/>
      <c r="H68" s="46"/>
      <c r="I68" s="47"/>
      <c r="K68" s="47"/>
    </row>
    <row r="69" spans="1:12" ht="16.5" x14ac:dyDescent="0.25">
      <c r="B69" s="44"/>
      <c r="C69" s="45"/>
      <c r="D69" s="46"/>
      <c r="E69" s="47"/>
      <c r="F69" s="46"/>
      <c r="G69" s="47"/>
      <c r="H69" s="46"/>
      <c r="I69" s="47"/>
      <c r="K69" s="47"/>
    </row>
    <row r="70" spans="1:12" ht="16.5" x14ac:dyDescent="0.25">
      <c r="B70" s="44"/>
      <c r="C70" s="45"/>
      <c r="D70" s="46"/>
      <c r="E70" s="47"/>
      <c r="F70" s="46"/>
      <c r="G70" s="47"/>
      <c r="H70" s="46"/>
      <c r="I70" s="47"/>
      <c r="K70" s="47"/>
    </row>
    <row r="71" spans="1:12" ht="16.5" x14ac:dyDescent="0.25">
      <c r="B71" s="44"/>
      <c r="C71" s="45"/>
      <c r="D71" s="46"/>
      <c r="E71" s="48"/>
      <c r="F71" s="46"/>
      <c r="G71" s="48"/>
      <c r="H71" s="45"/>
      <c r="I71" s="48"/>
      <c r="K71" s="48"/>
    </row>
    <row r="72" spans="1:12" ht="16.5" x14ac:dyDescent="0.25">
      <c r="A72" s="3"/>
      <c r="B72" s="360"/>
      <c r="C72" s="361"/>
      <c r="D72" s="362"/>
      <c r="E72" s="363"/>
      <c r="F72" s="362"/>
      <c r="G72" s="364"/>
      <c r="H72" s="361"/>
      <c r="I72" s="364"/>
      <c r="J72" s="3"/>
      <c r="K72" s="364"/>
      <c r="L72" s="3"/>
    </row>
    <row r="73" spans="1:12" ht="16.5" x14ac:dyDescent="0.25">
      <c r="A73" s="3"/>
      <c r="B73" s="360"/>
      <c r="C73" s="361"/>
      <c r="D73" s="362"/>
      <c r="E73" s="363"/>
      <c r="F73" s="362"/>
      <c r="G73" s="364"/>
      <c r="H73" s="361"/>
      <c r="I73" s="364"/>
      <c r="J73" s="3"/>
      <c r="K73" s="364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159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65"/>
      <c r="H76" s="3"/>
      <c r="I76" s="365"/>
      <c r="J76" s="3"/>
      <c r="K76" s="159"/>
      <c r="L76" s="3"/>
    </row>
    <row r="77" spans="1:12" x14ac:dyDescent="0.25">
      <c r="A77" s="3"/>
      <c r="B77" s="3"/>
      <c r="C77" s="3"/>
      <c r="D77" s="3"/>
      <c r="E77" s="3"/>
      <c r="F77" s="3"/>
      <c r="G77" s="365"/>
      <c r="H77" s="3"/>
      <c r="I77" s="365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65"/>
      <c r="H78" s="3"/>
      <c r="I78" s="365"/>
      <c r="J78" s="3"/>
      <c r="K78" s="159"/>
      <c r="L78" s="3"/>
    </row>
    <row r="79" spans="1:12" x14ac:dyDescent="0.25">
      <c r="A79" s="3"/>
      <c r="B79" s="3"/>
      <c r="C79" s="3"/>
      <c r="D79" s="3"/>
      <c r="E79" s="3"/>
      <c r="F79" s="3"/>
      <c r="G79" s="365"/>
      <c r="H79" s="3"/>
      <c r="I79" s="365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65"/>
      <c r="H80" s="3"/>
      <c r="I80" s="365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65"/>
      <c r="H81" s="3"/>
      <c r="I81" s="365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65"/>
      <c r="H82" s="3"/>
      <c r="I82" s="365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65"/>
      <c r="H83" s="3"/>
      <c r="I83" s="365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65"/>
      <c r="H84" s="3"/>
      <c r="I84" s="365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65"/>
      <c r="H85" s="3"/>
      <c r="I85" s="365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65"/>
      <c r="H86" s="3"/>
      <c r="I86" s="365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65"/>
      <c r="H87" s="3"/>
      <c r="I87" s="365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65"/>
      <c r="H88" s="3"/>
      <c r="I88" s="3"/>
      <c r="J88" s="3"/>
      <c r="K88" s="3"/>
      <c r="L88" s="3"/>
    </row>
    <row r="89" spans="1:12" x14ac:dyDescent="0.25">
      <c r="G89" s="22"/>
    </row>
    <row r="90" spans="1:12" x14ac:dyDescent="0.25">
      <c r="E90" s="49"/>
      <c r="F90" s="49"/>
      <c r="G90" s="49"/>
      <c r="H90" s="49"/>
      <c r="I90" s="49"/>
      <c r="J90" s="49"/>
    </row>
    <row r="91" spans="1:12" x14ac:dyDescent="0.25">
      <c r="E91" s="49"/>
      <c r="F91" s="49"/>
      <c r="G91" s="49"/>
      <c r="H91" s="49"/>
      <c r="I91" s="49"/>
      <c r="J91" s="49"/>
    </row>
    <row r="92" spans="1:12" x14ac:dyDescent="0.25">
      <c r="E92" s="49"/>
      <c r="F92" s="49"/>
      <c r="G92" s="49"/>
      <c r="H92" s="49"/>
      <c r="I92" s="49"/>
      <c r="J92" s="49"/>
    </row>
    <row r="93" spans="1:12" x14ac:dyDescent="0.25">
      <c r="E93" s="49"/>
      <c r="F93" s="49"/>
      <c r="G93" s="49"/>
      <c r="H93" s="49"/>
      <c r="I93" s="49"/>
      <c r="J93" s="49"/>
    </row>
    <row r="94" spans="1:12" x14ac:dyDescent="0.25">
      <c r="E94" s="49"/>
      <c r="F94" s="49"/>
      <c r="G94" s="49"/>
      <c r="H94" s="49"/>
      <c r="I94" s="49"/>
      <c r="J94" s="49"/>
    </row>
    <row r="95" spans="1:12" x14ac:dyDescent="0.25">
      <c r="E95" s="49"/>
      <c r="F95" s="49"/>
      <c r="G95" s="49"/>
      <c r="H95" s="49"/>
      <c r="I95" s="49"/>
      <c r="J95" s="49"/>
    </row>
    <row r="96" spans="1:12" x14ac:dyDescent="0.25">
      <c r="E96" s="49"/>
      <c r="F96" s="49"/>
      <c r="G96" s="49"/>
      <c r="H96" s="49"/>
      <c r="I96" s="49"/>
      <c r="J96" s="49"/>
    </row>
    <row r="97" spans="5:11" x14ac:dyDescent="0.25">
      <c r="E97" s="49"/>
      <c r="F97" s="49"/>
      <c r="G97" s="49"/>
      <c r="H97" s="49"/>
      <c r="I97" s="49"/>
      <c r="J97" s="49"/>
    </row>
    <row r="98" spans="5:11" x14ac:dyDescent="0.25">
      <c r="E98" s="49"/>
      <c r="F98" s="49"/>
      <c r="G98" s="49"/>
      <c r="H98" s="49"/>
      <c r="I98" s="49"/>
      <c r="J98" s="49"/>
    </row>
    <row r="99" spans="5:11" x14ac:dyDescent="0.25">
      <c r="E99" s="49"/>
      <c r="F99" s="49"/>
      <c r="G99" s="49"/>
      <c r="H99" s="49"/>
      <c r="I99" s="49"/>
      <c r="J99" s="49"/>
    </row>
    <row r="100" spans="5:11" x14ac:dyDescent="0.25">
      <c r="E100" s="49"/>
      <c r="F100" s="49"/>
      <c r="G100" s="49"/>
      <c r="H100" s="49"/>
      <c r="I100" s="49"/>
      <c r="J100" s="49"/>
    </row>
    <row r="101" spans="5:11" x14ac:dyDescent="0.25">
      <c r="E101" s="49"/>
      <c r="F101" s="49"/>
      <c r="G101" s="49"/>
      <c r="H101" s="49"/>
      <c r="I101" s="49"/>
      <c r="J101" s="49"/>
    </row>
    <row r="102" spans="5:11" x14ac:dyDescent="0.25">
      <c r="E102" s="49"/>
      <c r="F102" s="49"/>
      <c r="G102" s="49"/>
      <c r="H102" s="49"/>
      <c r="I102" s="49"/>
      <c r="J102" s="49"/>
    </row>
    <row r="103" spans="5:11" x14ac:dyDescent="0.25">
      <c r="E103" s="49"/>
      <c r="F103" s="49"/>
      <c r="G103" s="22"/>
      <c r="H103" s="49"/>
      <c r="I103" s="49"/>
      <c r="J103" s="49"/>
      <c r="K103" s="112"/>
    </row>
    <row r="104" spans="5:11" x14ac:dyDescent="0.25">
      <c r="E104" s="49"/>
      <c r="F104" s="49"/>
      <c r="G104" s="49"/>
      <c r="H104" s="49"/>
      <c r="I104" s="49"/>
      <c r="J104" s="49"/>
    </row>
    <row r="105" spans="5:11" x14ac:dyDescent="0.25">
      <c r="E105" s="49"/>
      <c r="F105" s="49"/>
      <c r="G105" s="49"/>
      <c r="H105" s="49"/>
      <c r="I105" s="49"/>
      <c r="J105" s="49"/>
    </row>
    <row r="106" spans="5:11" x14ac:dyDescent="0.25">
      <c r="E106" s="49"/>
      <c r="F106" s="49"/>
      <c r="G106" s="49"/>
      <c r="H106" s="49"/>
      <c r="I106" s="49"/>
      <c r="J106" s="49"/>
    </row>
    <row r="107" spans="5:11" x14ac:dyDescent="0.25">
      <c r="E107" s="49"/>
      <c r="F107" s="49"/>
      <c r="G107" s="49"/>
      <c r="H107" s="49"/>
      <c r="I107" s="49"/>
      <c r="J107" s="49"/>
    </row>
    <row r="108" spans="5:11" x14ac:dyDescent="0.25">
      <c r="E108" s="49"/>
      <c r="F108" s="49"/>
      <c r="G108" s="49"/>
      <c r="H108" s="49"/>
      <c r="I108" s="49"/>
      <c r="J108" s="49"/>
    </row>
    <row r="109" spans="5:11" x14ac:dyDescent="0.25">
      <c r="E109" s="49"/>
      <c r="F109" s="49"/>
      <c r="G109" s="49"/>
      <c r="H109" s="49"/>
      <c r="I109" s="49"/>
      <c r="J109" s="49"/>
    </row>
    <row r="110" spans="5:11" x14ac:dyDescent="0.25">
      <c r="E110" s="49"/>
      <c r="F110" s="49"/>
      <c r="G110" s="49"/>
      <c r="H110" s="49"/>
      <c r="I110" s="49"/>
      <c r="J110" s="49"/>
    </row>
    <row r="111" spans="5:11" x14ac:dyDescent="0.25">
      <c r="E111" s="49"/>
      <c r="F111" s="49"/>
      <c r="G111" s="49"/>
      <c r="H111" s="49"/>
      <c r="I111" s="49"/>
      <c r="J111" s="49"/>
    </row>
    <row r="112" spans="5:11" x14ac:dyDescent="0.25">
      <c r="E112" s="49"/>
      <c r="F112" s="49"/>
      <c r="G112" s="49"/>
      <c r="H112" s="49"/>
      <c r="I112" s="49"/>
      <c r="J112" s="49"/>
    </row>
    <row r="113" spans="5:10" x14ac:dyDescent="0.25">
      <c r="E113" s="49"/>
      <c r="F113" s="49"/>
      <c r="G113" s="49"/>
      <c r="H113" s="49"/>
      <c r="I113" s="49"/>
      <c r="J113" s="49"/>
    </row>
    <row r="114" spans="5:10" x14ac:dyDescent="0.25">
      <c r="E114" s="49"/>
      <c r="F114" s="49"/>
      <c r="G114" s="49"/>
      <c r="H114" s="49"/>
      <c r="I114" s="49"/>
      <c r="J114" s="49"/>
    </row>
    <row r="115" spans="5:10" x14ac:dyDescent="0.25">
      <c r="E115" s="49"/>
      <c r="F115" s="49"/>
      <c r="G115" s="49"/>
      <c r="H115" s="49"/>
      <c r="I115" s="49"/>
      <c r="J115" s="49"/>
    </row>
    <row r="116" spans="5:10" x14ac:dyDescent="0.25">
      <c r="E116" s="50"/>
      <c r="F116" s="49"/>
      <c r="G116" s="49"/>
      <c r="H116" s="49"/>
      <c r="I116" s="49"/>
      <c r="J116" s="49"/>
    </row>
    <row r="117" spans="5:10" x14ac:dyDescent="0.25">
      <c r="E117" s="50"/>
      <c r="F117" s="49"/>
      <c r="G117" s="49"/>
      <c r="H117" s="49"/>
      <c r="I117" s="49"/>
      <c r="J117" s="49"/>
    </row>
    <row r="118" spans="5:10" x14ac:dyDescent="0.25">
      <c r="E118" s="50"/>
      <c r="F118" s="49"/>
      <c r="G118" s="49"/>
      <c r="H118" s="49"/>
      <c r="I118" s="49"/>
      <c r="J118" s="49"/>
    </row>
    <row r="119" spans="5:10" x14ac:dyDescent="0.25">
      <c r="E119" s="49"/>
      <c r="F119" s="49"/>
      <c r="G119" s="49"/>
      <c r="H119" s="49"/>
      <c r="I119" s="49"/>
      <c r="J119" s="49"/>
    </row>
    <row r="120" spans="5:10" x14ac:dyDescent="0.25">
      <c r="E120" s="49"/>
      <c r="F120" s="49"/>
      <c r="G120" s="49"/>
      <c r="H120" s="49"/>
      <c r="I120" s="49"/>
      <c r="J120" s="49"/>
    </row>
    <row r="121" spans="5:10" x14ac:dyDescent="0.25">
      <c r="E121" s="49"/>
      <c r="F121" s="49"/>
      <c r="G121" s="49"/>
      <c r="H121" s="49"/>
      <c r="I121" s="49"/>
      <c r="J121" s="49"/>
    </row>
    <row r="122" spans="5:10" x14ac:dyDescent="0.25">
      <c r="E122" s="49"/>
      <c r="F122" s="49"/>
      <c r="G122" s="49"/>
      <c r="H122" s="49"/>
      <c r="I122" s="49"/>
      <c r="J122" s="49"/>
    </row>
    <row r="123" spans="5:10" x14ac:dyDescent="0.25">
      <c r="E123" s="49"/>
      <c r="F123" s="49"/>
      <c r="G123" s="49"/>
      <c r="H123" s="49"/>
      <c r="I123" s="49"/>
      <c r="J123" s="49"/>
    </row>
    <row r="124" spans="5:10" x14ac:dyDescent="0.25">
      <c r="E124" s="49"/>
      <c r="F124" s="49"/>
      <c r="G124" s="49"/>
      <c r="H124" s="49"/>
      <c r="I124" s="49"/>
      <c r="J124" s="49"/>
    </row>
    <row r="125" spans="5:10" x14ac:dyDescent="0.25">
      <c r="E125" s="49"/>
      <c r="F125" s="49"/>
      <c r="G125" s="49"/>
      <c r="H125" s="49"/>
      <c r="I125" s="49"/>
      <c r="J125" s="49"/>
    </row>
    <row r="126" spans="5:10" x14ac:dyDescent="0.25">
      <c r="E126" s="49"/>
      <c r="F126" s="49"/>
      <c r="G126" s="49"/>
      <c r="H126" s="49"/>
      <c r="I126" s="49"/>
      <c r="J126" s="49"/>
    </row>
    <row r="127" spans="5:10" x14ac:dyDescent="0.25">
      <c r="E127" s="49"/>
      <c r="F127" s="49"/>
      <c r="G127" s="49"/>
      <c r="H127" s="49"/>
      <c r="I127" s="49"/>
      <c r="J127" s="49"/>
    </row>
    <row r="128" spans="5:10" x14ac:dyDescent="0.25">
      <c r="E128" s="49"/>
      <c r="F128" s="49"/>
      <c r="G128" s="49"/>
      <c r="H128" s="49"/>
      <c r="I128" s="49"/>
      <c r="J128" s="49"/>
    </row>
    <row r="129" spans="5:10" x14ac:dyDescent="0.25">
      <c r="E129" s="49"/>
      <c r="F129" s="49"/>
      <c r="G129" s="49"/>
      <c r="H129" s="49"/>
      <c r="I129" s="49"/>
      <c r="J129" s="49"/>
    </row>
    <row r="130" spans="5:10" x14ac:dyDescent="0.25">
      <c r="E130" s="49"/>
      <c r="F130" s="49"/>
      <c r="G130" s="49"/>
      <c r="H130" s="49"/>
      <c r="I130" s="49"/>
      <c r="J130" s="49"/>
    </row>
    <row r="131" spans="5:10" x14ac:dyDescent="0.25">
      <c r="E131" s="49"/>
      <c r="F131" s="49"/>
      <c r="G131" s="49"/>
      <c r="H131" s="49"/>
      <c r="I131" s="49"/>
      <c r="J131" s="49"/>
    </row>
    <row r="132" spans="5:10" x14ac:dyDescent="0.25">
      <c r="E132" s="49"/>
      <c r="F132" s="49"/>
      <c r="G132" s="49"/>
      <c r="H132" s="49"/>
      <c r="I132" s="49"/>
      <c r="J132" s="49"/>
    </row>
    <row r="133" spans="5:10" x14ac:dyDescent="0.25">
      <c r="E133" s="49"/>
      <c r="F133" s="49"/>
      <c r="G133" s="49"/>
      <c r="H133" s="49"/>
      <c r="I133" s="49"/>
      <c r="J133" s="49"/>
    </row>
    <row r="134" spans="5:10" x14ac:dyDescent="0.25">
      <c r="E134" s="49"/>
      <c r="F134" s="49"/>
      <c r="G134" s="49"/>
      <c r="H134" s="49"/>
      <c r="I134" s="49"/>
      <c r="J134" s="49"/>
    </row>
    <row r="135" spans="5:10" x14ac:dyDescent="0.25">
      <c r="E135" s="49"/>
      <c r="F135" s="49"/>
      <c r="G135" s="49"/>
      <c r="H135" s="49"/>
      <c r="I135" s="49"/>
      <c r="J135" s="49"/>
    </row>
    <row r="136" spans="5:10" x14ac:dyDescent="0.25">
      <c r="E136" s="49"/>
      <c r="F136" s="49"/>
      <c r="G136" s="49"/>
      <c r="H136" s="49"/>
      <c r="I136" s="49"/>
      <c r="J136" s="49"/>
    </row>
    <row r="137" spans="5:10" x14ac:dyDescent="0.25">
      <c r="E137" s="49"/>
      <c r="F137" s="49"/>
      <c r="G137" s="49"/>
      <c r="H137" s="49"/>
      <c r="I137" s="49"/>
      <c r="J137" s="49"/>
    </row>
    <row r="138" spans="5:10" x14ac:dyDescent="0.25">
      <c r="E138" s="49"/>
      <c r="F138" s="49"/>
      <c r="G138" s="49"/>
      <c r="H138" s="49"/>
      <c r="I138" s="49"/>
      <c r="J138" s="49"/>
    </row>
    <row r="139" spans="5:10" x14ac:dyDescent="0.25">
      <c r="E139" s="49"/>
      <c r="F139" s="49"/>
      <c r="G139" s="49"/>
      <c r="H139" s="49"/>
      <c r="I139" s="49"/>
      <c r="J139" s="49"/>
    </row>
    <row r="140" spans="5:10" x14ac:dyDescent="0.25">
      <c r="E140" s="49"/>
      <c r="F140" s="49"/>
      <c r="G140" s="49"/>
      <c r="H140" s="49"/>
      <c r="I140" s="49"/>
      <c r="J140" s="49"/>
    </row>
    <row r="141" spans="5:10" x14ac:dyDescent="0.25">
      <c r="E141" s="49"/>
      <c r="F141" s="49"/>
      <c r="G141" s="49"/>
      <c r="H141" s="49"/>
      <c r="I141" s="49"/>
      <c r="J141" s="49"/>
    </row>
    <row r="142" spans="5:10" x14ac:dyDescent="0.25">
      <c r="E142" s="49"/>
      <c r="F142" s="49"/>
      <c r="G142" s="49"/>
      <c r="H142" s="49"/>
      <c r="I142" s="49"/>
      <c r="J142" s="49"/>
    </row>
    <row r="143" spans="5:10" x14ac:dyDescent="0.25">
      <c r="E143" s="49"/>
      <c r="F143" s="49"/>
      <c r="G143" s="49"/>
      <c r="H143" s="49"/>
      <c r="I143" s="49"/>
      <c r="J143" s="49"/>
    </row>
    <row r="144" spans="5:10" x14ac:dyDescent="0.25">
      <c r="E144" s="49"/>
      <c r="F144" s="49"/>
      <c r="G144" s="49"/>
      <c r="H144" s="49"/>
      <c r="I144" s="49"/>
      <c r="J144" s="49"/>
    </row>
    <row r="145" spans="5:10" x14ac:dyDescent="0.25">
      <c r="E145" s="49"/>
      <c r="F145" s="49"/>
      <c r="G145" s="49"/>
      <c r="H145" s="49"/>
      <c r="I145" s="49"/>
      <c r="J145" s="49"/>
    </row>
    <row r="146" spans="5:10" x14ac:dyDescent="0.25">
      <c r="E146" s="49"/>
      <c r="F146" s="49"/>
      <c r="G146" s="49"/>
      <c r="H146" s="49"/>
      <c r="I146" s="49"/>
      <c r="J146" s="49"/>
    </row>
    <row r="147" spans="5:10" x14ac:dyDescent="0.25">
      <c r="E147" s="49"/>
      <c r="F147" s="49"/>
      <c r="G147" s="49"/>
      <c r="H147" s="49"/>
      <c r="I147" s="49"/>
      <c r="J147" s="49"/>
    </row>
    <row r="148" spans="5:10" x14ac:dyDescent="0.25">
      <c r="E148" s="49"/>
      <c r="F148" s="49"/>
      <c r="G148" s="49"/>
      <c r="H148" s="49"/>
      <c r="I148" s="49"/>
      <c r="J148" s="49"/>
    </row>
    <row r="149" spans="5:10" x14ac:dyDescent="0.25">
      <c r="E149" s="49"/>
      <c r="F149" s="49"/>
      <c r="G149" s="49"/>
      <c r="H149" s="49"/>
      <c r="I149" s="49"/>
      <c r="J149" s="49"/>
    </row>
    <row r="150" spans="5:10" x14ac:dyDescent="0.25">
      <c r="E150" s="49"/>
      <c r="F150" s="49"/>
      <c r="G150" s="49"/>
      <c r="H150" s="49"/>
      <c r="I150" s="49"/>
      <c r="J150" s="49"/>
    </row>
    <row r="151" spans="5:10" x14ac:dyDescent="0.25">
      <c r="E151" s="49"/>
      <c r="F151" s="49"/>
      <c r="G151" s="49"/>
      <c r="H151" s="49"/>
      <c r="I151" s="49"/>
      <c r="J151" s="49"/>
    </row>
    <row r="152" spans="5:10" x14ac:dyDescent="0.25">
      <c r="E152" s="49"/>
      <c r="F152" s="49"/>
      <c r="G152" s="49"/>
      <c r="H152" s="49"/>
      <c r="I152" s="49"/>
      <c r="J152" s="49"/>
    </row>
    <row r="153" spans="5:10" x14ac:dyDescent="0.25">
      <c r="E153" s="49"/>
      <c r="F153" s="49"/>
      <c r="G153" s="49"/>
      <c r="H153" s="49"/>
      <c r="I153" s="49"/>
      <c r="J153" s="49"/>
    </row>
    <row r="154" spans="5:10" x14ac:dyDescent="0.25">
      <c r="E154" s="49"/>
      <c r="F154" s="49"/>
      <c r="G154" s="49"/>
      <c r="H154" s="49"/>
      <c r="I154" s="49"/>
      <c r="J154" s="49"/>
    </row>
    <row r="155" spans="5:10" x14ac:dyDescent="0.25">
      <c r="E155" s="49"/>
      <c r="F155" s="49"/>
      <c r="G155" s="49"/>
      <c r="H155" s="49"/>
      <c r="I155" s="49"/>
      <c r="J155" s="49"/>
    </row>
    <row r="156" spans="5:10" x14ac:dyDescent="0.25">
      <c r="E156" s="49"/>
      <c r="F156" s="49"/>
      <c r="G156" s="49"/>
      <c r="H156" s="49"/>
      <c r="I156" s="49"/>
      <c r="J156" s="49"/>
    </row>
    <row r="157" spans="5:10" x14ac:dyDescent="0.25">
      <c r="E157" s="49"/>
      <c r="F157" s="49"/>
      <c r="G157" s="49"/>
      <c r="H157" s="49"/>
      <c r="I157" s="49"/>
      <c r="J157" s="49"/>
    </row>
    <row r="158" spans="5:10" x14ac:dyDescent="0.25">
      <c r="E158" s="49"/>
      <c r="F158" s="49"/>
      <c r="G158" s="49"/>
      <c r="H158" s="49"/>
      <c r="I158" s="49"/>
      <c r="J158" s="49"/>
    </row>
    <row r="159" spans="5:10" x14ac:dyDescent="0.25">
      <c r="E159" s="49"/>
      <c r="F159" s="49"/>
      <c r="G159" s="49"/>
      <c r="H159" s="49"/>
      <c r="I159" s="49"/>
      <c r="J159" s="49"/>
    </row>
    <row r="160" spans="5:10" x14ac:dyDescent="0.25">
      <c r="E160" s="49"/>
      <c r="F160" s="49"/>
      <c r="G160" s="49"/>
      <c r="H160" s="49"/>
      <c r="I160" s="49"/>
      <c r="J160" s="49"/>
    </row>
    <row r="161" spans="5:10" x14ac:dyDescent="0.25">
      <c r="E161" s="49"/>
      <c r="F161" s="49"/>
      <c r="G161" s="49"/>
      <c r="H161" s="49"/>
      <c r="I161" s="49"/>
      <c r="J161" s="49"/>
    </row>
    <row r="162" spans="5:10" x14ac:dyDescent="0.25">
      <c r="E162" s="49"/>
      <c r="F162" s="49"/>
      <c r="G162" s="49"/>
      <c r="H162" s="49"/>
      <c r="I162" s="49"/>
      <c r="J162" s="49"/>
    </row>
    <row r="163" spans="5:10" x14ac:dyDescent="0.25">
      <c r="E163" s="49"/>
      <c r="F163" s="49"/>
      <c r="G163" s="49"/>
      <c r="H163" s="49"/>
      <c r="I163" s="49"/>
      <c r="J163" s="49"/>
    </row>
    <row r="164" spans="5:10" x14ac:dyDescent="0.25">
      <c r="E164" s="49"/>
      <c r="F164" s="49"/>
      <c r="G164" s="49"/>
      <c r="H164" s="49"/>
      <c r="I164" s="49"/>
      <c r="J164" s="49"/>
    </row>
    <row r="165" spans="5:10" x14ac:dyDescent="0.25">
      <c r="E165" s="49"/>
      <c r="F165" s="49"/>
      <c r="G165" s="49"/>
      <c r="H165" s="49"/>
      <c r="I165" s="49"/>
      <c r="J165" s="49"/>
    </row>
    <row r="166" spans="5:10" x14ac:dyDescent="0.25">
      <c r="E166" s="49"/>
      <c r="F166" s="49"/>
      <c r="G166" s="49"/>
      <c r="H166" s="49"/>
      <c r="I166" s="49"/>
      <c r="J166" s="49"/>
    </row>
    <row r="167" spans="5:10" x14ac:dyDescent="0.25">
      <c r="E167" s="49"/>
      <c r="F167" s="49"/>
      <c r="G167" s="49"/>
      <c r="H167" s="49"/>
      <c r="I167" s="49"/>
      <c r="J167" s="49"/>
    </row>
    <row r="168" spans="5:10" x14ac:dyDescent="0.25">
      <c r="E168" s="49"/>
      <c r="F168" s="49"/>
      <c r="G168" s="49"/>
      <c r="H168" s="49"/>
      <c r="I168" s="49"/>
      <c r="J168" s="49"/>
    </row>
    <row r="169" spans="5:10" x14ac:dyDescent="0.25">
      <c r="E169" s="49"/>
      <c r="F169" s="49"/>
      <c r="G169" s="49"/>
      <c r="H169" s="49"/>
      <c r="I169" s="49"/>
      <c r="J169" s="49"/>
    </row>
    <row r="170" spans="5:10" x14ac:dyDescent="0.25">
      <c r="E170" s="49"/>
      <c r="F170" s="49"/>
      <c r="G170" s="49"/>
      <c r="H170" s="49"/>
      <c r="I170" s="49"/>
      <c r="J170" s="49"/>
    </row>
    <row r="171" spans="5:10" x14ac:dyDescent="0.25">
      <c r="E171" s="49"/>
      <c r="F171" s="49"/>
      <c r="G171" s="49"/>
      <c r="H171" s="49"/>
      <c r="I171" s="49"/>
      <c r="J171" s="49"/>
    </row>
    <row r="172" spans="5:10" x14ac:dyDescent="0.25">
      <c r="E172" s="49"/>
      <c r="F172" s="49"/>
      <c r="G172" s="49"/>
      <c r="H172" s="49"/>
      <c r="I172" s="49"/>
      <c r="J172" s="49"/>
    </row>
    <row r="173" spans="5:10" x14ac:dyDescent="0.25">
      <c r="E173" s="49"/>
      <c r="F173" s="49"/>
      <c r="G173" s="49"/>
      <c r="H173" s="49"/>
      <c r="I173" s="49"/>
      <c r="J173" s="49"/>
    </row>
    <row r="174" spans="5:10" x14ac:dyDescent="0.25">
      <c r="E174" s="49"/>
      <c r="F174" s="49"/>
      <c r="G174" s="49"/>
      <c r="H174" s="49"/>
      <c r="I174" s="49"/>
      <c r="J174" s="49"/>
    </row>
    <row r="175" spans="5:10" x14ac:dyDescent="0.25">
      <c r="E175" s="49"/>
      <c r="F175" s="49"/>
      <c r="G175" s="49"/>
      <c r="H175" s="49"/>
      <c r="I175" s="49"/>
      <c r="J175" s="49"/>
    </row>
    <row r="176" spans="5:10" x14ac:dyDescent="0.25">
      <c r="E176" s="49"/>
      <c r="F176" s="49"/>
      <c r="G176" s="49"/>
      <c r="H176" s="49"/>
      <c r="I176" s="49"/>
      <c r="J176" s="49"/>
    </row>
    <row r="177" spans="5:10" x14ac:dyDescent="0.25">
      <c r="E177" s="49"/>
      <c r="F177" s="49"/>
      <c r="G177" s="49"/>
      <c r="H177" s="49"/>
      <c r="I177" s="49"/>
      <c r="J177" s="49"/>
    </row>
    <row r="178" spans="5:10" x14ac:dyDescent="0.25">
      <c r="E178" s="49"/>
      <c r="F178" s="49"/>
      <c r="G178" s="49"/>
      <c r="H178" s="49"/>
      <c r="I178" s="49"/>
      <c r="J178" s="49"/>
    </row>
    <row r="179" spans="5:10" x14ac:dyDescent="0.25">
      <c r="E179" s="49"/>
      <c r="F179" s="49"/>
      <c r="G179" s="49"/>
      <c r="H179" s="49"/>
      <c r="I179" s="49"/>
      <c r="J179" s="49"/>
    </row>
    <row r="180" spans="5:10" x14ac:dyDescent="0.25">
      <c r="E180" s="49"/>
      <c r="F180" s="49"/>
      <c r="G180" s="49"/>
      <c r="H180" s="49"/>
      <c r="I180" s="49"/>
      <c r="J180" s="49"/>
    </row>
    <row r="181" spans="5:10" x14ac:dyDescent="0.25">
      <c r="E181" s="49"/>
      <c r="F181" s="49"/>
      <c r="G181" s="49"/>
      <c r="H181" s="49"/>
      <c r="I181" s="49"/>
      <c r="J181" s="49"/>
    </row>
    <row r="182" spans="5:10" x14ac:dyDescent="0.25">
      <c r="E182" s="49"/>
      <c r="F182" s="49"/>
      <c r="G182" s="49"/>
      <c r="H182" s="49"/>
      <c r="I182" s="49"/>
      <c r="J182" s="49"/>
    </row>
    <row r="183" spans="5:10" x14ac:dyDescent="0.25">
      <c r="E183" s="49"/>
      <c r="F183" s="49"/>
      <c r="G183" s="49"/>
      <c r="H183" s="49"/>
      <c r="I183" s="49"/>
      <c r="J183" s="49"/>
    </row>
    <row r="184" spans="5:10" x14ac:dyDescent="0.25">
      <c r="E184" s="49"/>
      <c r="F184" s="49"/>
      <c r="G184" s="49"/>
      <c r="H184" s="49"/>
      <c r="I184" s="49"/>
      <c r="J184" s="49"/>
    </row>
    <row r="185" spans="5:10" x14ac:dyDescent="0.25">
      <c r="E185" s="49"/>
      <c r="F185" s="49"/>
      <c r="G185" s="49"/>
      <c r="H185" s="49"/>
      <c r="I185" s="49"/>
      <c r="J185" s="49"/>
    </row>
    <row r="186" spans="5:10" x14ac:dyDescent="0.25">
      <c r="E186" s="49"/>
      <c r="F186" s="49"/>
      <c r="G186" s="49"/>
      <c r="H186" s="49"/>
      <c r="I186" s="49"/>
      <c r="J186" s="49"/>
    </row>
    <row r="187" spans="5:10" x14ac:dyDescent="0.25">
      <c r="E187" s="49"/>
      <c r="F187" s="49"/>
      <c r="G187" s="49"/>
      <c r="H187" s="49"/>
      <c r="I187" s="49"/>
      <c r="J187" s="49"/>
    </row>
    <row r="188" spans="5:10" x14ac:dyDescent="0.25">
      <c r="E188" s="49"/>
      <c r="F188" s="49"/>
      <c r="G188" s="49"/>
      <c r="H188" s="49"/>
      <c r="I188" s="49"/>
      <c r="J188" s="49"/>
    </row>
    <row r="189" spans="5:10" x14ac:dyDescent="0.25">
      <c r="E189" s="49"/>
      <c r="F189" s="49"/>
      <c r="G189" s="49"/>
      <c r="H189" s="49"/>
      <c r="I189" s="49"/>
      <c r="J189" s="49"/>
    </row>
    <row r="190" spans="5:10" x14ac:dyDescent="0.25">
      <c r="E190" s="49"/>
      <c r="F190" s="49"/>
      <c r="G190" s="49"/>
      <c r="H190" s="49"/>
      <c r="I190" s="49"/>
      <c r="J190" s="49"/>
    </row>
    <row r="191" spans="5:10" x14ac:dyDescent="0.25">
      <c r="E191" s="49"/>
      <c r="F191" s="49"/>
      <c r="G191" s="49"/>
      <c r="H191" s="49"/>
      <c r="I191" s="49"/>
      <c r="J191" s="49"/>
    </row>
    <row r="192" spans="5:10" x14ac:dyDescent="0.25">
      <c r="E192" s="49"/>
      <c r="F192" s="49"/>
      <c r="G192" s="49"/>
      <c r="H192" s="49"/>
      <c r="I192" s="49"/>
      <c r="J192" s="49"/>
    </row>
    <row r="193" spans="5:10" x14ac:dyDescent="0.25">
      <c r="E193" s="49"/>
      <c r="F193" s="49"/>
      <c r="G193" s="49"/>
      <c r="H193" s="49"/>
      <c r="I193" s="49"/>
      <c r="J193" s="49"/>
    </row>
    <row r="194" spans="5:10" x14ac:dyDescent="0.25">
      <c r="E194" s="49"/>
      <c r="F194" s="49"/>
      <c r="G194" s="49"/>
      <c r="H194" s="49"/>
      <c r="I194" s="49"/>
      <c r="J194" s="49"/>
    </row>
    <row r="195" spans="5:10" x14ac:dyDescent="0.25">
      <c r="E195" s="49"/>
      <c r="F195" s="49"/>
      <c r="G195" s="49"/>
      <c r="H195" s="49"/>
      <c r="I195" s="49"/>
      <c r="J195" s="49"/>
    </row>
    <row r="196" spans="5:10" x14ac:dyDescent="0.25">
      <c r="E196" s="49"/>
      <c r="F196" s="49"/>
      <c r="G196" s="49"/>
      <c r="H196" s="49"/>
      <c r="I196" s="49"/>
      <c r="J196" s="49"/>
    </row>
    <row r="197" spans="5:10" x14ac:dyDescent="0.25">
      <c r="E197" s="49"/>
      <c r="F197" s="49"/>
      <c r="G197" s="49"/>
      <c r="H197" s="49"/>
      <c r="I197" s="49"/>
      <c r="J197" s="49"/>
    </row>
    <row r="198" spans="5:10" x14ac:dyDescent="0.25">
      <c r="E198" s="49"/>
      <c r="F198" s="49"/>
      <c r="G198" s="49"/>
      <c r="H198" s="49"/>
      <c r="I198" s="49"/>
      <c r="J198" s="49"/>
    </row>
    <row r="199" spans="5:10" x14ac:dyDescent="0.25">
      <c r="E199" s="49"/>
      <c r="F199" s="49"/>
      <c r="G199" s="49"/>
      <c r="H199" s="49"/>
      <c r="I199" s="49"/>
      <c r="J199" s="49"/>
    </row>
    <row r="200" spans="5:10" x14ac:dyDescent="0.25">
      <c r="E200" s="49"/>
      <c r="F200" s="49"/>
      <c r="G200" s="49"/>
      <c r="H200" s="49"/>
      <c r="I200" s="49"/>
      <c r="J200" s="49"/>
    </row>
    <row r="201" spans="5:10" x14ac:dyDescent="0.25">
      <c r="E201" s="49"/>
      <c r="F201" s="49"/>
      <c r="G201" s="49"/>
      <c r="H201" s="49"/>
      <c r="I201" s="49"/>
      <c r="J201" s="49"/>
    </row>
    <row r="202" spans="5:10" x14ac:dyDescent="0.25">
      <c r="E202" s="49"/>
      <c r="F202" s="49"/>
      <c r="G202" s="49"/>
      <c r="H202" s="49"/>
      <c r="I202" s="49"/>
      <c r="J202" s="49"/>
    </row>
    <row r="203" spans="5:10" x14ac:dyDescent="0.25">
      <c r="E203" s="49"/>
      <c r="F203" s="49"/>
      <c r="G203" s="49"/>
      <c r="H203" s="49"/>
      <c r="I203" s="49"/>
      <c r="J203" s="49"/>
    </row>
    <row r="204" spans="5:10" x14ac:dyDescent="0.25">
      <c r="E204" s="49"/>
      <c r="F204" s="49"/>
      <c r="G204" s="49"/>
      <c r="H204" s="49"/>
      <c r="I204" s="49"/>
      <c r="J204" s="49"/>
    </row>
    <row r="205" spans="5:10" x14ac:dyDescent="0.25">
      <c r="E205" s="49"/>
      <c r="F205" s="49"/>
      <c r="G205" s="49"/>
      <c r="H205" s="49"/>
      <c r="I205" s="49"/>
      <c r="J205" s="49"/>
    </row>
    <row r="206" spans="5:10" x14ac:dyDescent="0.25">
      <c r="E206" s="49"/>
      <c r="F206" s="49"/>
      <c r="G206" s="49"/>
      <c r="H206" s="49"/>
      <c r="I206" s="49"/>
      <c r="J206" s="49"/>
    </row>
    <row r="207" spans="5:10" x14ac:dyDescent="0.25">
      <c r="E207" s="49"/>
      <c r="F207" s="49"/>
      <c r="G207" s="49"/>
      <c r="H207" s="49"/>
      <c r="I207" s="49"/>
      <c r="J207" s="49"/>
    </row>
    <row r="208" spans="5:10" x14ac:dyDescent="0.25">
      <c r="E208" s="49"/>
      <c r="F208" s="49"/>
      <c r="G208" s="49"/>
      <c r="H208" s="49"/>
      <c r="I208" s="49"/>
      <c r="J208" s="49"/>
    </row>
    <row r="209" spans="5:10" x14ac:dyDescent="0.25">
      <c r="E209" s="49"/>
      <c r="F209" s="49"/>
      <c r="G209" s="49"/>
      <c r="H209" s="49"/>
      <c r="I209" s="49"/>
      <c r="J209" s="49"/>
    </row>
    <row r="210" spans="5:10" x14ac:dyDescent="0.25">
      <c r="E210" s="49"/>
      <c r="F210" s="49"/>
      <c r="G210" s="49"/>
      <c r="H210" s="49"/>
      <c r="I210" s="49"/>
      <c r="J210" s="49"/>
    </row>
    <row r="211" spans="5:10" x14ac:dyDescent="0.25">
      <c r="E211" s="49"/>
      <c r="F211" s="49"/>
      <c r="G211" s="49"/>
      <c r="H211" s="49"/>
      <c r="I211" s="49"/>
      <c r="J211" s="49"/>
    </row>
    <row r="212" spans="5:10" x14ac:dyDescent="0.25">
      <c r="E212" s="49"/>
      <c r="F212" s="49"/>
      <c r="G212" s="49"/>
      <c r="H212" s="49"/>
      <c r="I212" s="49"/>
      <c r="J212" s="49"/>
    </row>
    <row r="213" spans="5:10" x14ac:dyDescent="0.25">
      <c r="E213" s="49"/>
      <c r="F213" s="49"/>
      <c r="G213" s="49"/>
      <c r="H213" s="49"/>
      <c r="I213" s="49"/>
      <c r="J213" s="49"/>
    </row>
    <row r="214" spans="5:10" x14ac:dyDescent="0.25">
      <c r="E214" s="49"/>
      <c r="F214" s="49"/>
      <c r="G214" s="49"/>
      <c r="H214" s="49"/>
      <c r="I214" s="49"/>
      <c r="J214" s="49"/>
    </row>
    <row r="215" spans="5:10" x14ac:dyDescent="0.25">
      <c r="E215" s="49"/>
      <c r="F215" s="49"/>
      <c r="G215" s="49"/>
      <c r="H215" s="49"/>
      <c r="I215" s="49"/>
      <c r="J215" s="49"/>
    </row>
    <row r="216" spans="5:10" x14ac:dyDescent="0.25">
      <c r="E216" s="49"/>
      <c r="F216" s="49"/>
      <c r="G216" s="49"/>
      <c r="H216" s="49"/>
      <c r="I216" s="49"/>
      <c r="J216" s="49"/>
    </row>
    <row r="217" spans="5:10" x14ac:dyDescent="0.25">
      <c r="E217" s="49"/>
      <c r="F217" s="49"/>
      <c r="G217" s="49"/>
      <c r="H217" s="49"/>
      <c r="I217" s="49"/>
      <c r="J217" s="49"/>
    </row>
    <row r="218" spans="5:10" x14ac:dyDescent="0.25">
      <c r="E218" s="49"/>
      <c r="F218" s="49"/>
      <c r="G218" s="49"/>
      <c r="H218" s="49"/>
      <c r="I218" s="49"/>
      <c r="J218" s="49"/>
    </row>
    <row r="219" spans="5:10" x14ac:dyDescent="0.25">
      <c r="E219" s="49"/>
      <c r="F219" s="49"/>
      <c r="G219" s="49"/>
      <c r="H219" s="49"/>
      <c r="I219" s="49"/>
      <c r="J219" s="49"/>
    </row>
    <row r="220" spans="5:10" x14ac:dyDescent="0.25">
      <c r="E220" s="49"/>
      <c r="F220" s="49"/>
      <c r="G220" s="49"/>
      <c r="H220" s="49"/>
      <c r="I220" s="49"/>
      <c r="J220" s="49"/>
    </row>
    <row r="221" spans="5:10" x14ac:dyDescent="0.25">
      <c r="E221" s="49"/>
      <c r="F221" s="49"/>
      <c r="G221" s="49"/>
      <c r="H221" s="49"/>
      <c r="I221" s="49"/>
      <c r="J221" s="49"/>
    </row>
    <row r="222" spans="5:10" x14ac:dyDescent="0.25">
      <c r="E222" s="49"/>
      <c r="F222" s="49"/>
      <c r="G222" s="49"/>
      <c r="H222" s="49"/>
      <c r="I222" s="49"/>
      <c r="J222" s="49"/>
    </row>
    <row r="223" spans="5:10" x14ac:dyDescent="0.25">
      <c r="E223" s="49"/>
      <c r="F223" s="49"/>
      <c r="G223" s="49"/>
      <c r="H223" s="49"/>
      <c r="I223" s="49"/>
      <c r="J223" s="49"/>
    </row>
    <row r="224" spans="5:10" x14ac:dyDescent="0.25">
      <c r="E224" s="49"/>
      <c r="F224" s="49"/>
      <c r="G224" s="49"/>
      <c r="H224" s="49"/>
      <c r="I224" s="49"/>
      <c r="J224" s="49"/>
    </row>
  </sheetData>
  <mergeCells count="5">
    <mergeCell ref="A4:K4"/>
    <mergeCell ref="A5:K5"/>
    <mergeCell ref="A7:K7"/>
    <mergeCell ref="A8:K8"/>
    <mergeCell ref="C64:I6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Sch 1 - Overall</vt:lpstr>
      <vt:lpstr>Sch 1A- Phased Inc and GRCF</vt:lpstr>
      <vt:lpstr>Sch 4</vt:lpstr>
      <vt:lpstr>Adjustments Examples</vt:lpstr>
      <vt:lpstr>Sch 3 </vt:lpstr>
      <vt:lpstr>'Sch 1 - Overall'!Print_Area</vt:lpstr>
      <vt:lpstr>'Sch 1A- Phased Inc and GRCF'!Print_Area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Sisson, Jennifer</dc:creator>
  <cp:lastModifiedBy>Sisson, Jennifer</cp:lastModifiedBy>
  <cp:lastPrinted>2020-09-08T19:59:21Z</cp:lastPrinted>
  <dcterms:created xsi:type="dcterms:W3CDTF">2020-08-25T19:33:01Z</dcterms:created>
  <dcterms:modified xsi:type="dcterms:W3CDTF">2020-09-08T19:59:51Z</dcterms:modified>
</cp:coreProperties>
</file>