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184" documentId="8_{3C0E248B-781F-4480-8608-784806E23EAE}" xr6:coauthVersionLast="47" xr6:coauthVersionMax="47" xr10:uidLastSave="{2D0B444A-E628-4423-A514-698712B90248}"/>
  <bookViews>
    <workbookView xWindow="-120" yWindow="-120" windowWidth="19440" windowHeight="15000" tabRatio="702" xr2:uid="{00000000-000D-0000-FFFF-FFFF00000000}"/>
  </bookViews>
  <sheets>
    <sheet name="Sch. 1 Revenue Requirements" sheetId="1" r:id="rId1"/>
    <sheet name="Gross Rev Conv. Factor Sch." sheetId="2" r:id="rId2"/>
    <sheet name="Sch. 4 NOI" sheetId="4" r:id="rId3"/>
  </sheets>
  <calcPr calcId="191029" iterate="1" iterateCount="99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2" l="1"/>
  <c r="M14" i="2"/>
  <c r="M11" i="2"/>
  <c r="S29" i="4"/>
  <c r="M29" i="4"/>
  <c r="O9" i="1"/>
  <c r="M19" i="4" l="1"/>
  <c r="M10" i="4"/>
  <c r="K29" i="2" l="1"/>
  <c r="L26" i="1" l="1"/>
  <c r="M9" i="2" l="1"/>
  <c r="M10" i="2" s="1"/>
  <c r="M12" i="2" l="1"/>
  <c r="M13" i="2" s="1"/>
  <c r="I24" i="4"/>
  <c r="G24" i="4"/>
  <c r="M30" i="4" l="1"/>
  <c r="S30" i="4" s="1"/>
  <c r="M31" i="4"/>
  <c r="S31" i="4" s="1"/>
  <c r="M32" i="4"/>
  <c r="S32" i="4" s="1"/>
  <c r="M33" i="4"/>
  <c r="S33" i="4" s="1"/>
  <c r="M34" i="4"/>
  <c r="S34" i="4" s="1"/>
  <c r="M35" i="4"/>
  <c r="S35" i="4" s="1"/>
  <c r="I36" i="4"/>
  <c r="G36" i="4"/>
  <c r="M24" i="4"/>
  <c r="I25" i="4"/>
  <c r="G25" i="4"/>
  <c r="I38" i="4" l="1"/>
  <c r="G38" i="4"/>
  <c r="M83" i="4"/>
  <c r="M84" i="4"/>
  <c r="S84" i="4" s="1"/>
  <c r="M86" i="4"/>
  <c r="M87" i="4"/>
  <c r="S87" i="4" s="1"/>
  <c r="M88" i="4"/>
  <c r="S88" i="4" s="1"/>
  <c r="I89" i="4"/>
  <c r="G89" i="4"/>
  <c r="M77" i="4"/>
  <c r="M78" i="4"/>
  <c r="I79" i="4"/>
  <c r="G79" i="4"/>
  <c r="M60" i="4"/>
  <c r="S60" i="4" s="1"/>
  <c r="M61" i="4"/>
  <c r="M62" i="4"/>
  <c r="S62" i="4" s="1"/>
  <c r="M63" i="4"/>
  <c r="S63" i="4" s="1"/>
  <c r="M64" i="4"/>
  <c r="S64" i="4" s="1"/>
  <c r="M65" i="4"/>
  <c r="S65" i="4" s="1"/>
  <c r="G66" i="4"/>
  <c r="I66" i="4"/>
  <c r="M57" i="4" l="1"/>
  <c r="S57" i="4" s="1"/>
  <c r="M58" i="4"/>
  <c r="S58" i="4" s="1"/>
  <c r="I71" i="4" l="1"/>
  <c r="G71" i="4"/>
  <c r="G91" i="4" l="1"/>
  <c r="O11" i="1"/>
  <c r="M42" i="4" l="1"/>
  <c r="S42" i="4" s="1"/>
  <c r="M43" i="4"/>
  <c r="S43" i="4" s="1"/>
  <c r="M44" i="4"/>
  <c r="S44" i="4" s="1"/>
  <c r="M45" i="4"/>
  <c r="M46" i="4"/>
  <c r="M47" i="4"/>
  <c r="S47" i="4" s="1"/>
  <c r="M48" i="4"/>
  <c r="S48" i="4" s="1"/>
  <c r="M49" i="4"/>
  <c r="S49" i="4" s="1"/>
  <c r="M50" i="4"/>
  <c r="S50" i="4" s="1"/>
  <c r="M51" i="4"/>
  <c r="S51" i="4" s="1"/>
  <c r="M52" i="4"/>
  <c r="S52" i="4" s="1"/>
  <c r="M53" i="4"/>
  <c r="S53" i="4" s="1"/>
  <c r="M54" i="4"/>
  <c r="M55" i="4"/>
  <c r="S55" i="4" s="1"/>
  <c r="M59" i="4"/>
  <c r="S59" i="4" s="1"/>
  <c r="M69" i="4"/>
  <c r="M70" i="4"/>
  <c r="M74" i="4"/>
  <c r="M75" i="4"/>
  <c r="S75" i="4" s="1"/>
  <c r="M41" i="4"/>
  <c r="M28" i="4"/>
  <c r="M25" i="4"/>
  <c r="M36" i="4" l="1"/>
  <c r="M89" i="4"/>
  <c r="M71" i="4"/>
  <c r="S41" i="4"/>
  <c r="S46" i="4"/>
  <c r="S45" i="4"/>
  <c r="S74" i="4"/>
  <c r="S70" i="4"/>
  <c r="S28" i="4"/>
  <c r="S36" i="4" s="1"/>
  <c r="S69" i="4"/>
  <c r="G93" i="4"/>
  <c r="K31" i="2" l="1"/>
  <c r="K32" i="2" s="1"/>
  <c r="M38" i="4"/>
  <c r="S71" i="4"/>
  <c r="O16" i="1"/>
  <c r="W27" i="1"/>
  <c r="W25" i="1"/>
  <c r="U26" i="1"/>
  <c r="U27" i="1"/>
  <c r="U25" i="1"/>
  <c r="S27" i="1"/>
  <c r="S25" i="1"/>
  <c r="S26" i="1"/>
  <c r="L28" i="1"/>
  <c r="M15" i="2" l="1"/>
  <c r="M16" i="2" s="1"/>
  <c r="M17" i="2" s="1"/>
  <c r="M18" i="2" s="1"/>
  <c r="U28" i="1"/>
  <c r="W26" i="1"/>
  <c r="W28" i="1" s="1"/>
  <c r="S28" i="1"/>
  <c r="M56" i="4" l="1"/>
  <c r="M66" i="4" s="1"/>
  <c r="I91" i="4" l="1"/>
  <c r="I93" i="4" s="1"/>
  <c r="M76" i="4"/>
  <c r="M79" i="4" l="1"/>
  <c r="O14" i="1" l="1"/>
  <c r="S56" i="4" l="1"/>
  <c r="S54" i="4"/>
  <c r="S76" i="4" l="1"/>
  <c r="M91" i="4" l="1"/>
  <c r="M93" i="4" s="1"/>
  <c r="O12" i="1" s="1"/>
  <c r="O13" i="1" s="1"/>
  <c r="O15" i="1" l="1"/>
  <c r="O18" i="1" s="1"/>
  <c r="O27" i="1" l="1"/>
  <c r="O25" i="1"/>
  <c r="O26" i="1"/>
  <c r="N8" i="2"/>
  <c r="O25" i="4" l="1"/>
  <c r="N16" i="2"/>
  <c r="N15" i="2"/>
  <c r="N14" i="2"/>
  <c r="N13" i="2"/>
  <c r="N12" i="2"/>
  <c r="N11" i="2"/>
  <c r="O78" i="4" s="1"/>
  <c r="S78" i="4" s="1"/>
  <c r="N10" i="2"/>
  <c r="N9" i="2"/>
  <c r="O61" i="4"/>
  <c r="O66" i="4" s="1"/>
  <c r="O10" i="4"/>
  <c r="S10" i="4" s="1"/>
  <c r="O24" i="4"/>
  <c r="S24" i="4" s="1"/>
  <c r="O19" i="4"/>
  <c r="S19" i="4" s="1"/>
  <c r="O28" i="1" l="1"/>
  <c r="S61" i="4"/>
  <c r="S66" i="4" s="1"/>
  <c r="S25" i="4"/>
  <c r="S38" i="4" s="1"/>
  <c r="O77" i="4" l="1"/>
  <c r="O79" i="4" s="1"/>
  <c r="O83" i="4"/>
  <c r="S83" i="4" s="1"/>
  <c r="O86" i="4" l="1"/>
  <c r="S77" i="4"/>
  <c r="S79" i="4" s="1"/>
  <c r="N17" i="2" l="1"/>
  <c r="S86" i="4"/>
  <c r="S89" i="4" s="1"/>
  <c r="S91" i="4" s="1"/>
  <c r="S93" i="4" s="1"/>
  <c r="O89" i="4"/>
  <c r="O91" i="4" s="1"/>
  <c r="O9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10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Work papers should present all individual adjustments and respective calculations that impact each customer classification, and should equal the total adjustment amount listed in Sch. 4.</t>
        </r>
      </text>
    </comment>
  </commentList>
</comments>
</file>

<file path=xl/sharedStrings.xml><?xml version="1.0" encoding="utf-8"?>
<sst xmlns="http://schemas.openxmlformats.org/spreadsheetml/2006/main" count="237" uniqueCount="196">
  <si>
    <t>Cause No. XXXXX</t>
  </si>
  <si>
    <t>The Water Company</t>
  </si>
  <si>
    <t>Revenue Requirements</t>
  </si>
  <si>
    <t>Original Cost Rate Base</t>
  </si>
  <si>
    <t>Times: Weighted Average Cost of Capital</t>
  </si>
  <si>
    <t>Net Operating Income Required for Return on Original Cost Rate Base</t>
  </si>
  <si>
    <t>Net Revenue Increase Required</t>
  </si>
  <si>
    <t>Gross Revenue Conversion Factor</t>
  </si>
  <si>
    <t>Recommended Percentage Increase over Revenues Subject to Increase at Present Rates:</t>
  </si>
  <si>
    <t>a</t>
  </si>
  <si>
    <t>Current Average Monthly Water Bill for Residential Customer using 5,000 gallons</t>
  </si>
  <si>
    <t xml:space="preserve">     Service charge</t>
  </si>
  <si>
    <t xml:space="preserve">     Total</t>
  </si>
  <si>
    <t>(Note: Include all monthly charges normally applicable to residential customers.)</t>
  </si>
  <si>
    <t>Sub-total</t>
  </si>
  <si>
    <t>Income Before State Income Taxes</t>
  </si>
  <si>
    <t>Proposed IURC Standard IOU Rate Accounting Schedule Presentation</t>
  </si>
  <si>
    <t>Income Before Federal Income Taxes</t>
  </si>
  <si>
    <t>Change in Operating Income</t>
  </si>
  <si>
    <t>Petitioner</t>
  </si>
  <si>
    <t>OUCC</t>
  </si>
  <si>
    <t>Rebuttal</t>
  </si>
  <si>
    <t>Settlement</t>
  </si>
  <si>
    <t>% Operating Revenues That are Exempt from Utility Receipts Tax</t>
  </si>
  <si>
    <t>Line</t>
  </si>
  <si>
    <t>Gross Revenue Increase Required</t>
  </si>
  <si>
    <t xml:space="preserve">Utility Receipts Tax Tips: </t>
  </si>
  <si>
    <t>Operating Revenues:</t>
  </si>
  <si>
    <t>Salaries and Wages</t>
  </si>
  <si>
    <t>Other Benefits</t>
  </si>
  <si>
    <t>Purchased Water</t>
  </si>
  <si>
    <t>Chemicals</t>
  </si>
  <si>
    <t>Rents</t>
  </si>
  <si>
    <t>Transportation</t>
  </si>
  <si>
    <t>Depreciation Expense</t>
  </si>
  <si>
    <t>Amortization Expense</t>
  </si>
  <si>
    <t>Taxes Other Than Income:</t>
  </si>
  <si>
    <t>Income Taxes:</t>
  </si>
  <si>
    <t>Total Operating Expenses</t>
  </si>
  <si>
    <t>Net Operating Income</t>
  </si>
  <si>
    <t>Ended</t>
  </si>
  <si>
    <t>Adjustments</t>
  </si>
  <si>
    <t>References</t>
  </si>
  <si>
    <t>Sch./WP</t>
  </si>
  <si>
    <t>Present</t>
  </si>
  <si>
    <t>Rates</t>
  </si>
  <si>
    <t>Proposed</t>
  </si>
  <si>
    <t xml:space="preserve">Proposed </t>
  </si>
  <si>
    <t>Pro forma</t>
  </si>
  <si>
    <t>Pro Forma Net Operating Income Statement</t>
  </si>
  <si>
    <t>Sch. 4 Net Operating Income (NOI)</t>
  </si>
  <si>
    <t>Other Revenues:</t>
  </si>
  <si>
    <t>Operations &amp; Maintenance Expense:</t>
  </si>
  <si>
    <t>Recommended Gross Revenue Increase Required</t>
  </si>
  <si>
    <t>Ref.</t>
  </si>
  <si>
    <t>Sch. 4</t>
  </si>
  <si>
    <t>Depreciation:</t>
  </si>
  <si>
    <t>Operations &amp; Maintenance Expense Total</t>
  </si>
  <si>
    <t>Operating Revenues Subject to Increase at Present Rates</t>
  </si>
  <si>
    <t>Ties to GRCF</t>
  </si>
  <si>
    <t xml:space="preserve">Linked to GRCF           </t>
  </si>
  <si>
    <t>Linked to GRCF</t>
  </si>
  <si>
    <t>Linked to Sch. 4 NOI</t>
  </si>
  <si>
    <t>Less: Net Operating Income at Pro forma Present Rates</t>
  </si>
  <si>
    <t>Times: Gross Revenue Conversion Factor</t>
  </si>
  <si>
    <t>% Operating Revenues Subject to Utility Recepts Tax (1 -Line 14)</t>
  </si>
  <si>
    <t>Less: Bad Debt Rate</t>
  </si>
  <si>
    <t>Less: Current IURC Fee effective July 1 of each year</t>
  </si>
  <si>
    <t>OM1</t>
  </si>
  <si>
    <t>OM2</t>
  </si>
  <si>
    <t>OM3</t>
  </si>
  <si>
    <t>OM4</t>
  </si>
  <si>
    <t>OM5</t>
  </si>
  <si>
    <t>OM6</t>
  </si>
  <si>
    <t>OM7</t>
  </si>
  <si>
    <t>OM8</t>
  </si>
  <si>
    <t>OM9</t>
  </si>
  <si>
    <t>OM10</t>
  </si>
  <si>
    <t>OM11</t>
  </si>
  <si>
    <t>OM12</t>
  </si>
  <si>
    <t>OM13</t>
  </si>
  <si>
    <t>OM14</t>
  </si>
  <si>
    <t>OM15</t>
  </si>
  <si>
    <t>OM16</t>
  </si>
  <si>
    <t>OM17</t>
  </si>
  <si>
    <t>OM18</t>
  </si>
  <si>
    <t>OM19</t>
  </si>
  <si>
    <t>OM20</t>
  </si>
  <si>
    <t>OM21</t>
  </si>
  <si>
    <t>OM22</t>
  </si>
  <si>
    <t>OM23</t>
  </si>
  <si>
    <t>OM24</t>
  </si>
  <si>
    <t>OM25</t>
  </si>
  <si>
    <t>Fuel &amp; Power</t>
  </si>
  <si>
    <t>Waste Disposal</t>
  </si>
  <si>
    <t>Pension</t>
  </si>
  <si>
    <t>OPEB</t>
  </si>
  <si>
    <t>Group Insurance</t>
  </si>
  <si>
    <t>Support Services</t>
  </si>
  <si>
    <t>Contract Services</t>
  </si>
  <si>
    <t>Building Maintenance &amp; Services</t>
  </si>
  <si>
    <t>Telecommunications</t>
  </si>
  <si>
    <t>Postage, Printing, &amp; Stationary</t>
  </si>
  <si>
    <t>Office Supplies &amp; Services</t>
  </si>
  <si>
    <t>Advertising &amp; Marketing</t>
  </si>
  <si>
    <t>Employee Related Expense</t>
  </si>
  <si>
    <t>Miscellaneous Expense</t>
  </si>
  <si>
    <t>Customer Accounting</t>
  </si>
  <si>
    <t>Regulatory Expense</t>
  </si>
  <si>
    <t>Insurance Other Than Group</t>
  </si>
  <si>
    <t>Maintenance Supplies &amp; Services</t>
  </si>
  <si>
    <t>DEPR1</t>
  </si>
  <si>
    <t>DEPR2</t>
  </si>
  <si>
    <t>OTX1</t>
  </si>
  <si>
    <t>OTX2</t>
  </si>
  <si>
    <t>OTX3</t>
  </si>
  <si>
    <t>OTX4</t>
  </si>
  <si>
    <t>OTX5</t>
  </si>
  <si>
    <t xml:space="preserve">            Depreciation &amp; Amortization Total</t>
  </si>
  <si>
    <t>Property Tax Expense</t>
  </si>
  <si>
    <t>Payroll Taxes Expense</t>
  </si>
  <si>
    <t>Environmental Tax Expense</t>
  </si>
  <si>
    <t>IN Gross Utilty Receipts Tax Expense</t>
  </si>
  <si>
    <t>Utility Regulatory Assessment (IURC Fee) Expense</t>
  </si>
  <si>
    <t>Uncollectible Accounts (Bad Debt Expense)</t>
  </si>
  <si>
    <t>State Income Taxes:</t>
  </si>
  <si>
    <t xml:space="preserve">       Current State Income Tax</t>
  </si>
  <si>
    <t xml:space="preserve">       Deferred State Income Tax</t>
  </si>
  <si>
    <t>Federal Tax:</t>
  </si>
  <si>
    <t xml:space="preserve">       Current Federal Income Tax</t>
  </si>
  <si>
    <t xml:space="preserve">       Deferred Federal Income Tax</t>
  </si>
  <si>
    <t xml:space="preserve">       Investment Tax Credits</t>
  </si>
  <si>
    <t>TX1</t>
  </si>
  <si>
    <t>Late Fees</t>
  </si>
  <si>
    <t>NSF Charges</t>
  </si>
  <si>
    <t>Application Fee</t>
  </si>
  <si>
    <t>Reconnection Fees</t>
  </si>
  <si>
    <t>After Hours Charges</t>
  </si>
  <si>
    <t>Misc. Services</t>
  </si>
  <si>
    <t>Usage Data Fees</t>
  </si>
  <si>
    <t>Rev1 W, REV2</t>
  </si>
  <si>
    <t>Less: State Income Tax   (Current State Income Tax Rate * Line 5)</t>
  </si>
  <si>
    <t>Less: Federal Income Tax  (Current Federal Income Tax Rate* Line 8)</t>
  </si>
  <si>
    <t>Gross Revenue Conversion Factor (Line 1/ Line 10)</t>
  </si>
  <si>
    <t>Pro forma Present Sales for Resale Revenues as a % of Total Revenues Subject to Increase:</t>
  </si>
  <si>
    <t>Total Pro forma Present Sales for Resale Revenues</t>
  </si>
  <si>
    <t>Input Rate</t>
  </si>
  <si>
    <t>GRCF Calculation Factor</t>
  </si>
  <si>
    <t>Utility Receipts Tax Calculation for utilities with Sales-for-Resale customers:</t>
  </si>
  <si>
    <t>Sales-for-Resale revenues are not subject to Utility Receipts Tax, and must be deducted from total Operating Revenues.</t>
  </si>
  <si>
    <t>Sch./WP Ref.</t>
  </si>
  <si>
    <t>Sch. GRCF</t>
  </si>
  <si>
    <t>Sch. 1</t>
  </si>
  <si>
    <t xml:space="preserve">                  Income Taxes Total</t>
  </si>
  <si>
    <t xml:space="preserve">                    Taxes Other Than Income Total</t>
  </si>
  <si>
    <t>Operating Revenues Total</t>
  </si>
  <si>
    <t xml:space="preserve">           Operating Revenues Subject to Increase Total</t>
  </si>
  <si>
    <t xml:space="preserve">          Other Revenues Total</t>
  </si>
  <si>
    <t xml:space="preserve">     Volumetric charge at 5,000 gallons (Current rate of $4.40/1,000 gallon):</t>
  </si>
  <si>
    <t xml:space="preserve">     Public Fire Protection Charge</t>
  </si>
  <si>
    <t>Rate Base Sch.</t>
  </si>
  <si>
    <t>Capital Structure Sch.</t>
  </si>
  <si>
    <t>Linked to GRCF Sch.</t>
  </si>
  <si>
    <t>Linked from GRCF Sch.</t>
  </si>
  <si>
    <t>Water Revenues</t>
  </si>
  <si>
    <t>Wastewater Revenues</t>
  </si>
  <si>
    <t>Rev1WW, Rev2</t>
  </si>
  <si>
    <t>Rev1 W, Rev2</t>
  </si>
  <si>
    <t>FE REV Adj.</t>
  </si>
  <si>
    <t>Ties to Sch. 4 NOI's Proforma Proposed NOI Adj.</t>
  </si>
  <si>
    <t>Linked from Sch. 4 NOI's Pro forma Proposed Total Operating Revenues Adjustment.  (Note: Sch.1's Recommended Revenue Increase is also linked from this "GRCF's Gross Revenue Increase Inquired" amount.)</t>
  </si>
  <si>
    <t>References (Links to Sch. 4)</t>
  </si>
  <si>
    <t>Base Period</t>
  </si>
  <si>
    <t>Sch. 4 NOI's     Pro forma Proposed Rate Adjustments</t>
  </si>
  <si>
    <t>*Note: This example uses an across-the-board rate increase.  If a COSS is conducted, specific customer classification rates would be applied.</t>
  </si>
  <si>
    <t>Declining Use Adj.</t>
  </si>
  <si>
    <t>Organic Growth Adj.</t>
  </si>
  <si>
    <t>Acquisition Adj.</t>
  </si>
  <si>
    <t>Misc. Adj.</t>
  </si>
  <si>
    <t>DSIC Revenue Adj.</t>
  </si>
  <si>
    <t>Normalization of Billing Units Adj.</t>
  </si>
  <si>
    <t>TCJA Impact Adj.</t>
  </si>
  <si>
    <t xml:space="preserve"> (Line 7/Line 8) *</t>
  </si>
  <si>
    <t xml:space="preserve">  (The focus of these schedules is on the content and interrelationships of the schedules, not formatting.  </t>
  </si>
  <si>
    <t xml:space="preserve">    Numbers, shading, and formatting reflected are for example and explanation purposes only.)</t>
  </si>
  <si>
    <t>Collection for Others</t>
  </si>
  <si>
    <t>Bad Debt Rate * Gross Revenue Increase  (Linked to Sch. 4)</t>
  </si>
  <si>
    <t xml:space="preserve">Current IURC Fee * Line 3 GRCF Subtotal * Gross Revenue Increase </t>
  </si>
  <si>
    <t>In this case, State Income Tax rate used is a blended rate.  See WP Taxes.  State Income Tax rate * Line 5 GRCF Subtotal * Gross Rev. Increase</t>
  </si>
  <si>
    <t>URT rate * Line 5 GRCF Subtotal * Sale-for-Resale Reduction % * Gross Rev. Increase</t>
  </si>
  <si>
    <t>Federal Income Tax rate * Line 8 GRCF Subtotal * Gross Rev. Increase</t>
  </si>
  <si>
    <r>
      <t>Less: IN Utility Receipts Tax (URT rate * Line 5* SFR % Reduction)</t>
    </r>
    <r>
      <rPr>
        <vertAlign val="superscript"/>
        <sz val="20"/>
        <color theme="1"/>
        <rFont val="Times New Roman"/>
        <family val="1"/>
      </rPr>
      <t>a</t>
    </r>
  </si>
  <si>
    <t>1 / Line 10 GRCF %  (Linked to Sch. 1)</t>
  </si>
  <si>
    <t>Divided by: Total Operating Revenues</t>
  </si>
  <si>
    <t>Line 7 Utility Recepts Tax GRCF %:</t>
  </si>
  <si>
    <t xml:space="preserve">URT rate of 1.4% * Line 15 *Line 5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</si>
</sst>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2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6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" fillId="0" borderId="0"/>
    <xf numFmtId="44" fontId="8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0" fontId="2" fillId="0" borderId="0" xfId="0" quotePrefix="1" applyFont="1" applyAlignment="1">
      <alignment wrapText="1"/>
    </xf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6" fontId="2" fillId="0" borderId="0" xfId="0" applyNumberFormat="1" applyFont="1" applyBorder="1"/>
    <xf numFmtId="0" fontId="2" fillId="0" borderId="9" xfId="0" applyFont="1" applyBorder="1"/>
    <xf numFmtId="0" fontId="2" fillId="0" borderId="10" xfId="0" applyFont="1" applyBorder="1"/>
    <xf numFmtId="8" fontId="2" fillId="0" borderId="0" xfId="0" applyNumberFormat="1" applyFont="1" applyBorder="1"/>
    <xf numFmtId="2" fontId="2" fillId="0" borderId="0" xfId="0" applyNumberFormat="1" applyFont="1" applyBorder="1"/>
    <xf numFmtId="44" fontId="2" fillId="0" borderId="0" xfId="1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4" xfId="0" applyFont="1" applyFill="1" applyBorder="1"/>
    <xf numFmtId="0" fontId="2" fillId="2" borderId="5" xfId="0" applyFont="1" applyFill="1" applyBorder="1"/>
    <xf numFmtId="0" fontId="3" fillId="2" borderId="11" xfId="0" applyFont="1" applyFill="1" applyBorder="1"/>
    <xf numFmtId="0" fontId="2" fillId="2" borderId="9" xfId="0" applyFont="1" applyFill="1" applyBorder="1"/>
    <xf numFmtId="0" fontId="2" fillId="2" borderId="1" xfId="0" applyFont="1" applyFill="1" applyBorder="1"/>
    <xf numFmtId="0" fontId="2" fillId="2" borderId="11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6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44" fontId="2" fillId="0" borderId="8" xfId="1" applyFont="1" applyBorder="1"/>
    <xf numFmtId="2" fontId="2" fillId="0" borderId="8" xfId="0" applyNumberFormat="1" applyFont="1" applyBorder="1"/>
    <xf numFmtId="164" fontId="2" fillId="3" borderId="0" xfId="2" quotePrefix="1" applyNumberFormat="1" applyFont="1" applyFill="1" applyAlignment="1">
      <alignment wrapText="1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4" fontId="2" fillId="2" borderId="2" xfId="1" applyFont="1" applyFill="1" applyBorder="1"/>
    <xf numFmtId="44" fontId="2" fillId="2" borderId="14" xfId="1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3" applyNumberFormat="1" applyFont="1"/>
    <xf numFmtId="165" fontId="0" fillId="0" borderId="3" xfId="3" applyNumberFormat="1" applyFont="1" applyBorder="1"/>
    <xf numFmtId="165" fontId="0" fillId="0" borderId="0" xfId="0" applyNumberFormat="1"/>
    <xf numFmtId="165" fontId="0" fillId="0" borderId="3" xfId="0" applyNumberFormat="1" applyBorder="1"/>
    <xf numFmtId="0" fontId="0" fillId="0" borderId="0" xfId="0" applyFill="1"/>
    <xf numFmtId="166" fontId="0" fillId="0" borderId="0" xfId="1" applyNumberFormat="1" applyFont="1"/>
    <xf numFmtId="166" fontId="2" fillId="0" borderId="0" xfId="1" applyNumberFormat="1" applyFont="1"/>
    <xf numFmtId="166" fontId="2" fillId="4" borderId="2" xfId="0" applyNumberFormat="1" applyFont="1" applyFill="1" applyBorder="1"/>
    <xf numFmtId="165" fontId="2" fillId="5" borderId="1" xfId="3" applyNumberFormat="1" applyFont="1" applyFill="1" applyBorder="1"/>
    <xf numFmtId="0" fontId="2" fillId="2" borderId="16" xfId="0" applyFont="1" applyFill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165" fontId="0" fillId="0" borderId="0" xfId="3" applyNumberFormat="1" applyFont="1" applyBorder="1"/>
    <xf numFmtId="0" fontId="5" fillId="0" borderId="0" xfId="0" applyFont="1" applyFill="1"/>
    <xf numFmtId="166" fontId="0" fillId="0" borderId="0" xfId="1" applyNumberFormat="1" applyFont="1" applyFill="1"/>
    <xf numFmtId="165" fontId="0" fillId="0" borderId="0" xfId="3" applyNumberFormat="1" applyFont="1" applyFill="1"/>
    <xf numFmtId="165" fontId="0" fillId="0" borderId="1" xfId="3" applyNumberFormat="1" applyFont="1" applyFill="1" applyBorder="1"/>
    <xf numFmtId="165" fontId="0" fillId="0" borderId="2" xfId="3" applyNumberFormat="1" applyFont="1" applyFill="1" applyBorder="1"/>
    <xf numFmtId="165" fontId="0" fillId="0" borderId="2" xfId="0" applyNumberFormat="1" applyBorder="1"/>
    <xf numFmtId="165" fontId="0" fillId="0" borderId="2" xfId="3" applyNumberFormat="1" applyFont="1" applyBorder="1"/>
    <xf numFmtId="0" fontId="0" fillId="0" borderId="0" xfId="0" applyFill="1" applyAlignment="1">
      <alignment horizontal="center"/>
    </xf>
    <xf numFmtId="165" fontId="0" fillId="0" borderId="0" xfId="0" applyNumberFormat="1" applyFill="1"/>
    <xf numFmtId="6" fontId="0" fillId="0" borderId="0" xfId="0" applyNumberFormat="1" applyFill="1"/>
    <xf numFmtId="165" fontId="0" fillId="0" borderId="2" xfId="0" applyNumberFormat="1" applyFill="1" applyBorder="1"/>
    <xf numFmtId="6" fontId="0" fillId="0" borderId="0" xfId="0" applyNumberFormat="1" applyFill="1" applyBorder="1"/>
    <xf numFmtId="165" fontId="0" fillId="4" borderId="2" xfId="3" applyNumberFormat="1" applyFont="1" applyFill="1" applyBorder="1"/>
    <xf numFmtId="10" fontId="2" fillId="0" borderId="3" xfId="2" applyNumberFormat="1" applyFont="1" applyFill="1" applyBorder="1" applyAlignment="1">
      <alignment horizontal="center"/>
    </xf>
    <xf numFmtId="0" fontId="5" fillId="2" borderId="13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10" fontId="2" fillId="0" borderId="0" xfId="2" applyNumberFormat="1" applyFont="1" applyFill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43" fontId="0" fillId="0" borderId="0" xfId="3" applyFont="1"/>
    <xf numFmtId="43" fontId="0" fillId="0" borderId="0" xfId="0" applyNumberFormat="1" applyAlignment="1">
      <alignment horizontal="center"/>
    </xf>
    <xf numFmtId="43" fontId="0" fillId="0" borderId="0" xfId="0" applyNumberFormat="1"/>
    <xf numFmtId="8" fontId="2" fillId="2" borderId="2" xfId="0" applyNumberFormat="1" applyFont="1" applyFill="1" applyBorder="1"/>
    <xf numFmtId="10" fontId="2" fillId="0" borderId="1" xfId="2" applyNumberFormat="1" applyFont="1" applyBorder="1"/>
    <xf numFmtId="3" fontId="7" fillId="0" borderId="0" xfId="4" applyFont="1" applyFill="1" applyAlignment="1">
      <alignment horizontal="left" indent="1"/>
    </xf>
    <xf numFmtId="3" fontId="7" fillId="0" borderId="0" xfId="4" applyFont="1" applyAlignment="1">
      <alignment horizontal="left" indent="1"/>
    </xf>
    <xf numFmtId="37" fontId="7" fillId="0" borderId="0" xfId="0" applyNumberFormat="1" applyFont="1" applyFill="1" applyAlignment="1"/>
    <xf numFmtId="37" fontId="7" fillId="0" borderId="1" xfId="0" applyNumberFormat="1" applyFont="1" applyFill="1" applyBorder="1" applyAlignment="1"/>
    <xf numFmtId="165" fontId="0" fillId="0" borderId="0" xfId="3" applyNumberFormat="1" applyFont="1" applyFill="1" applyBorder="1"/>
    <xf numFmtId="0" fontId="0" fillId="0" borderId="0" xfId="0" applyFill="1" applyAlignment="1">
      <alignment horizontal="center" wrapText="1"/>
    </xf>
    <xf numFmtId="165" fontId="0" fillId="0" borderId="1" xfId="0" applyNumberFormat="1" applyFill="1" applyBorder="1"/>
    <xf numFmtId="0" fontId="2" fillId="0" borderId="1" xfId="0" applyFont="1" applyBorder="1" applyAlignment="1">
      <alignment horizontal="center" vertical="center"/>
    </xf>
    <xf numFmtId="166" fontId="0" fillId="0" borderId="3" xfId="1" applyNumberFormat="1" applyFont="1" applyFill="1" applyBorder="1"/>
    <xf numFmtId="166" fontId="0" fillId="5" borderId="3" xfId="1" applyNumberFormat="1" applyFont="1" applyFill="1" applyBorder="1"/>
    <xf numFmtId="0" fontId="0" fillId="0" borderId="0" xfId="0" applyFont="1"/>
    <xf numFmtId="6" fontId="0" fillId="6" borderId="0" xfId="0" applyNumberFormat="1" applyFill="1"/>
    <xf numFmtId="166" fontId="9" fillId="7" borderId="3" xfId="5" applyNumberFormat="1" applyFont="1" applyFill="1" applyBorder="1"/>
    <xf numFmtId="10" fontId="2" fillId="0" borderId="0" xfId="2" applyNumberFormat="1" applyFont="1" applyFill="1" applyBorder="1" applyAlignment="1">
      <alignment horizontal="left"/>
    </xf>
    <xf numFmtId="165" fontId="0" fillId="0" borderId="0" xfId="0" applyNumberFormat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2" fillId="0" borderId="4" xfId="0" applyFont="1" applyBorder="1"/>
    <xf numFmtId="14" fontId="0" fillId="0" borderId="1" xfId="0" applyNumberFormat="1" applyBorder="1" applyAlignment="1">
      <alignment horizontal="center"/>
    </xf>
    <xf numFmtId="164" fontId="2" fillId="0" borderId="7" xfId="2" applyNumberFormat="1" applyFont="1" applyBorder="1" applyAlignment="1">
      <alignment horizontal="center" vertical="center"/>
    </xf>
    <xf numFmtId="167" fontId="2" fillId="0" borderId="7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0" fontId="2" fillId="0" borderId="7" xfId="2" applyNumberFormat="1" applyFont="1" applyBorder="1" applyAlignment="1">
      <alignment horizontal="center" vertical="center"/>
    </xf>
    <xf numFmtId="9" fontId="2" fillId="0" borderId="7" xfId="2" applyFont="1" applyBorder="1" applyAlignment="1">
      <alignment horizontal="center"/>
    </xf>
    <xf numFmtId="9" fontId="2" fillId="0" borderId="4" xfId="2" applyNumberFormat="1" applyFont="1" applyBorder="1" applyAlignment="1">
      <alignment horizontal="center" vertical="center"/>
    </xf>
    <xf numFmtId="164" fontId="2" fillId="0" borderId="9" xfId="2" applyNumberFormat="1" applyFont="1" applyBorder="1" applyAlignment="1">
      <alignment horizontal="center" vertical="center"/>
    </xf>
    <xf numFmtId="164" fontId="2" fillId="0" borderId="7" xfId="2" quotePrefix="1" applyNumberFormat="1" applyFont="1" applyBorder="1" applyAlignment="1">
      <alignment horizontal="center"/>
    </xf>
    <xf numFmtId="164" fontId="2" fillId="0" borderId="9" xfId="2" applyNumberFormat="1" applyFont="1" applyBorder="1" applyAlignment="1">
      <alignment horizontal="center"/>
    </xf>
    <xf numFmtId="164" fontId="2" fillId="3" borderId="19" xfId="2" applyNumberFormat="1" applyFont="1" applyFill="1" applyBorder="1" applyAlignment="1">
      <alignment horizontal="center"/>
    </xf>
    <xf numFmtId="6" fontId="2" fillId="4" borderId="15" xfId="0" applyNumberFormat="1" applyFont="1" applyFill="1" applyBorder="1" applyAlignment="1">
      <alignment vertical="center"/>
    </xf>
    <xf numFmtId="6" fontId="2" fillId="6" borderId="16" xfId="0" quotePrefix="1" applyNumberFormat="1" applyFont="1" applyFill="1" applyBorder="1" applyAlignment="1">
      <alignment vertical="center"/>
    </xf>
    <xf numFmtId="6" fontId="2" fillId="0" borderId="16" xfId="0" applyNumberFormat="1" applyFont="1" applyBorder="1"/>
    <xf numFmtId="6" fontId="2" fillId="6" borderId="16" xfId="0" applyNumberFormat="1" applyFont="1" applyFill="1" applyBorder="1"/>
    <xf numFmtId="6" fontId="2" fillId="6" borderId="16" xfId="0" applyNumberFormat="1" applyFont="1" applyFill="1" applyBorder="1" applyAlignment="1">
      <alignment vertical="center"/>
    </xf>
    <xf numFmtId="6" fontId="2" fillId="6" borderId="17" xfId="0" applyNumberFormat="1" applyFont="1" applyFill="1" applyBorder="1"/>
    <xf numFmtId="166" fontId="9" fillId="7" borderId="20" xfId="5" applyNumberFormat="1" applyFont="1" applyFill="1" applyBorder="1"/>
    <xf numFmtId="0" fontId="3" fillId="2" borderId="10" xfId="0" applyFont="1" applyFill="1" applyBorder="1" applyAlignment="1">
      <alignment horizontal="center" vertical="center" wrapText="1"/>
    </xf>
    <xf numFmtId="166" fontId="2" fillId="0" borderId="3" xfId="1" applyNumberFormat="1" applyFont="1" applyBorder="1"/>
    <xf numFmtId="165" fontId="2" fillId="0" borderId="0" xfId="3" applyNumberFormat="1" applyFont="1"/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right"/>
    </xf>
    <xf numFmtId="44" fontId="2" fillId="0" borderId="16" xfId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44" fontId="2" fillId="2" borderId="18" xfId="1" applyFont="1" applyFill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3" fillId="2" borderId="13" xfId="0" applyFont="1" applyFill="1" applyBorder="1"/>
    <xf numFmtId="164" fontId="2" fillId="0" borderId="7" xfId="2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0" fontId="0" fillId="0" borderId="0" xfId="0" applyFill="1" applyBorder="1"/>
    <xf numFmtId="10" fontId="2" fillId="0" borderId="0" xfId="2" applyNumberFormat="1" applyFont="1"/>
    <xf numFmtId="166" fontId="2" fillId="0" borderId="0" xfId="1" applyNumberFormat="1" applyFont="1" applyBorder="1" applyAlignment="1">
      <alignment horizontal="center"/>
    </xf>
    <xf numFmtId="164" fontId="2" fillId="0" borderId="0" xfId="2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/>
    <xf numFmtId="0" fontId="2" fillId="0" borderId="8" xfId="0" applyFont="1" applyFill="1" applyBorder="1"/>
    <xf numFmtId="0" fontId="2" fillId="0" borderId="7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 horizontal="center"/>
    </xf>
    <xf numFmtId="6" fontId="2" fillId="0" borderId="1" xfId="0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" fillId="0" borderId="9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</cellXfs>
  <cellStyles count="6">
    <cellStyle name="Comma" xfId="3" builtinId="3"/>
    <cellStyle name="Currency" xfId="1" builtinId="4"/>
    <cellStyle name="Currency 2" xfId="5" xr:uid="{00000000-0005-0000-0000-000002000000}"/>
    <cellStyle name="Normal" xfId="0" builtinId="0"/>
    <cellStyle name="Normal_Exhibits" xfId="4" xr:uid="{00000000-0005-0000-0000-000004000000}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32"/>
  <sheetViews>
    <sheetView showGridLines="0" tabSelected="1" workbookViewId="0">
      <selection activeCell="O15" sqref="O15"/>
    </sheetView>
  </sheetViews>
  <sheetFormatPr defaultRowHeight="15.75" x14ac:dyDescent="0.25"/>
  <cols>
    <col min="1" max="1" width="3.5703125" style="1" customWidth="1"/>
    <col min="2" max="2" width="2" style="1" customWidth="1"/>
    <col min="3" max="3" width="5.85546875" style="1" customWidth="1"/>
    <col min="4" max="4" width="2" style="1" customWidth="1"/>
    <col min="5" max="5" width="8.140625" style="1" customWidth="1"/>
    <col min="6" max="6" width="9.7109375" style="1" customWidth="1"/>
    <col min="7" max="10" width="9.140625" style="1"/>
    <col min="11" max="11" width="12.85546875" style="1" customWidth="1"/>
    <col min="12" max="12" width="9.140625" style="1"/>
    <col min="13" max="13" width="3.5703125" style="1" customWidth="1"/>
    <col min="14" max="14" width="2" style="1" customWidth="1"/>
    <col min="15" max="15" width="17.28515625" style="1" customWidth="1"/>
    <col min="16" max="16" width="2.28515625" style="1" customWidth="1"/>
    <col min="17" max="17" width="23.5703125" style="88" customWidth="1"/>
    <col min="18" max="18" width="2.28515625" style="1" customWidth="1"/>
    <col min="19" max="19" width="14" style="1" hidden="1" customWidth="1"/>
    <col min="20" max="20" width="1.5703125" style="1" hidden="1" customWidth="1"/>
    <col min="21" max="21" width="12.42578125" style="1" hidden="1" customWidth="1"/>
    <col min="22" max="22" width="1.7109375" style="1" hidden="1" customWidth="1"/>
    <col min="23" max="23" width="12.42578125" style="1" hidden="1" customWidth="1"/>
    <col min="24" max="16384" width="9.140625" style="1"/>
  </cols>
  <sheetData>
    <row r="1" spans="2:23" x14ac:dyDescent="0.25">
      <c r="B1" s="4" t="s">
        <v>0</v>
      </c>
      <c r="C1" s="4"/>
      <c r="D1" s="4"/>
      <c r="J1" s="4" t="s">
        <v>16</v>
      </c>
    </row>
    <row r="2" spans="2:23" x14ac:dyDescent="0.25">
      <c r="B2" s="4" t="s">
        <v>1</v>
      </c>
      <c r="C2" s="4"/>
      <c r="D2" s="4"/>
    </row>
    <row r="3" spans="2:23" x14ac:dyDescent="0.25">
      <c r="B3" s="4"/>
      <c r="C3" s="4"/>
      <c r="D3" s="4"/>
      <c r="J3" s="1" t="s">
        <v>183</v>
      </c>
    </row>
    <row r="4" spans="2:23" x14ac:dyDescent="0.25">
      <c r="B4" s="4"/>
      <c r="C4" s="4"/>
      <c r="D4" s="4"/>
      <c r="J4" s="1" t="s">
        <v>184</v>
      </c>
    </row>
    <row r="5" spans="2:23" x14ac:dyDescent="0.25">
      <c r="B5" s="4"/>
      <c r="C5" s="4"/>
      <c r="D5" s="4"/>
    </row>
    <row r="6" spans="2:23" x14ac:dyDescent="0.25">
      <c r="B6" s="4" t="s">
        <v>152</v>
      </c>
      <c r="C6" s="4"/>
      <c r="D6" s="4"/>
      <c r="J6" s="4" t="s">
        <v>2</v>
      </c>
    </row>
    <row r="8" spans="2:23" x14ac:dyDescent="0.25">
      <c r="C8" s="7" t="s">
        <v>24</v>
      </c>
      <c r="D8" s="14"/>
      <c r="O8" s="7" t="s">
        <v>19</v>
      </c>
      <c r="P8" s="2"/>
      <c r="Q8" s="103" t="s">
        <v>150</v>
      </c>
      <c r="R8" s="2"/>
      <c r="S8" s="7" t="s">
        <v>20</v>
      </c>
      <c r="T8" s="2"/>
      <c r="U8" s="7" t="s">
        <v>21</v>
      </c>
      <c r="V8" s="2"/>
      <c r="W8" s="7" t="s">
        <v>22</v>
      </c>
    </row>
    <row r="9" spans="2:23" x14ac:dyDescent="0.25">
      <c r="C9" s="50">
        <v>1</v>
      </c>
      <c r="D9" s="50"/>
      <c r="E9" s="1" t="s">
        <v>3</v>
      </c>
      <c r="O9" s="62">
        <f>1065478370+6699896</f>
        <v>1072178266</v>
      </c>
      <c r="Q9" s="89" t="s">
        <v>160</v>
      </c>
    </row>
    <row r="10" spans="2:23" x14ac:dyDescent="0.25">
      <c r="C10" s="50">
        <v>2</v>
      </c>
      <c r="D10" s="50"/>
      <c r="E10" s="1" t="s">
        <v>4</v>
      </c>
      <c r="O10" s="95">
        <v>6.7299999999999999E-2</v>
      </c>
      <c r="Q10" s="89" t="s">
        <v>161</v>
      </c>
      <c r="S10" s="5"/>
      <c r="U10" s="5"/>
      <c r="W10" s="5"/>
    </row>
    <row r="11" spans="2:23" x14ac:dyDescent="0.25">
      <c r="C11" s="50">
        <v>3</v>
      </c>
      <c r="D11" s="50"/>
      <c r="E11" s="1" t="s">
        <v>5</v>
      </c>
      <c r="O11" s="134">
        <f>O9*O10</f>
        <v>72157597.301799998</v>
      </c>
      <c r="Q11" s="89"/>
    </row>
    <row r="12" spans="2:23" ht="17.25" customHeight="1" x14ac:dyDescent="0.25">
      <c r="C12" s="50">
        <v>4</v>
      </c>
      <c r="D12" s="50"/>
      <c r="E12" s="1" t="s">
        <v>63</v>
      </c>
      <c r="O12" s="64">
        <f>'Sch. 4 NOI'!M93</f>
        <v>58868033</v>
      </c>
      <c r="Q12" s="89" t="s">
        <v>62</v>
      </c>
      <c r="S12" s="5"/>
      <c r="U12" s="5"/>
      <c r="W12" s="5"/>
    </row>
    <row r="13" spans="2:23" ht="18" customHeight="1" x14ac:dyDescent="0.25">
      <c r="C13" s="50">
        <v>5</v>
      </c>
      <c r="D13" s="50"/>
      <c r="E13" s="1" t="s">
        <v>6</v>
      </c>
      <c r="O13" s="134">
        <f>O11-O12</f>
        <v>13289564.301799998</v>
      </c>
      <c r="Q13" s="89"/>
    </row>
    <row r="14" spans="2:23" ht="16.5" customHeight="1" x14ac:dyDescent="0.25">
      <c r="C14" s="50">
        <v>6</v>
      </c>
      <c r="D14" s="50"/>
      <c r="E14" s="39" t="s">
        <v>64</v>
      </c>
      <c r="O14" s="38">
        <f>'Gross Rev Conv. Factor Sch.'!M18</f>
        <v>1.3750389999999999</v>
      </c>
      <c r="Q14" s="89" t="s">
        <v>162</v>
      </c>
      <c r="S14" s="9"/>
      <c r="U14" s="9"/>
      <c r="W14" s="9"/>
    </row>
    <row r="15" spans="2:23" ht="19.5" customHeight="1" thickBot="1" x14ac:dyDescent="0.3">
      <c r="B15" s="2"/>
      <c r="C15" s="50">
        <v>7</v>
      </c>
      <c r="D15" s="50"/>
      <c r="E15" s="1" t="s">
        <v>53</v>
      </c>
      <c r="O15" s="63">
        <f>O13*O14</f>
        <v>18273669.207982767</v>
      </c>
      <c r="Q15" s="89" t="s">
        <v>163</v>
      </c>
      <c r="S15" s="6"/>
      <c r="U15" s="6"/>
      <c r="W15" s="6"/>
    </row>
    <row r="16" spans="2:23" ht="17.25" thickTop="1" thickBot="1" x14ac:dyDescent="0.3">
      <c r="C16" s="50">
        <v>8</v>
      </c>
      <c r="D16" s="50"/>
      <c r="E16" s="1" t="s">
        <v>58</v>
      </c>
      <c r="O16" s="133">
        <f>'Sch. 4 NOI'!M25</f>
        <v>219750905</v>
      </c>
      <c r="Q16" s="88" t="s">
        <v>62</v>
      </c>
    </row>
    <row r="17" spans="3:25" ht="16.5" thickTop="1" x14ac:dyDescent="0.25">
      <c r="C17" s="50"/>
      <c r="D17" s="50"/>
    </row>
    <row r="18" spans="3:25" ht="16.5" thickBot="1" x14ac:dyDescent="0.3">
      <c r="C18" s="50">
        <v>9</v>
      </c>
      <c r="D18" s="50"/>
      <c r="E18" s="1" t="s">
        <v>8</v>
      </c>
      <c r="O18" s="82">
        <f>O15/O16</f>
        <v>8.315628646891246E-2</v>
      </c>
    </row>
    <row r="19" spans="3:25" ht="17.25" thickTop="1" thickBot="1" x14ac:dyDescent="0.3">
      <c r="E19" s="3" t="s">
        <v>182</v>
      </c>
      <c r="O19" s="86"/>
      <c r="P19" s="2"/>
      <c r="R19" s="2"/>
      <c r="S19" s="8">
        <v>0.1</v>
      </c>
      <c r="T19" s="2"/>
      <c r="U19" s="8">
        <v>0.17</v>
      </c>
      <c r="V19" s="2"/>
      <c r="W19" s="8">
        <v>0.15</v>
      </c>
    </row>
    <row r="20" spans="3:25" ht="16.5" thickTop="1" x14ac:dyDescent="0.25">
      <c r="E20" s="3"/>
      <c r="O20" s="86"/>
      <c r="P20" s="2"/>
      <c r="R20" s="2"/>
      <c r="S20" s="87"/>
      <c r="T20" s="2"/>
      <c r="U20" s="87"/>
      <c r="V20" s="2"/>
      <c r="W20" s="87"/>
    </row>
    <row r="21" spans="3:25" x14ac:dyDescent="0.25"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33"/>
      <c r="O21" s="135"/>
      <c r="P21" s="51"/>
      <c r="Q21" s="90"/>
      <c r="R21" s="51"/>
      <c r="S21" s="25"/>
      <c r="T21" s="25"/>
      <c r="U21" s="25"/>
      <c r="V21" s="25"/>
      <c r="W21" s="33"/>
      <c r="X21" s="11"/>
      <c r="Y21" s="11"/>
    </row>
    <row r="22" spans="3:25" x14ac:dyDescent="0.25">
      <c r="C22" s="46"/>
      <c r="D22" s="35"/>
      <c r="E22" s="35" t="s">
        <v>10</v>
      </c>
      <c r="F22" s="35"/>
      <c r="G22" s="35"/>
      <c r="H22" s="35"/>
      <c r="I22" s="35"/>
      <c r="J22" s="35"/>
      <c r="K22" s="35"/>
      <c r="L22" s="35"/>
      <c r="M22" s="35"/>
      <c r="N22" s="47"/>
      <c r="O22" s="65" t="s">
        <v>19</v>
      </c>
      <c r="P22" s="52"/>
      <c r="Q22" s="90"/>
      <c r="R22" s="52"/>
      <c r="S22" s="34" t="s">
        <v>20</v>
      </c>
      <c r="T22" s="34"/>
      <c r="U22" s="34" t="s">
        <v>21</v>
      </c>
      <c r="V22" s="34"/>
      <c r="W22" s="48" t="s">
        <v>22</v>
      </c>
      <c r="X22" s="11"/>
      <c r="Y22" s="11"/>
    </row>
    <row r="23" spans="3:25" x14ac:dyDescent="0.25">
      <c r="C23" s="27"/>
      <c r="D23" s="28"/>
      <c r="E23" s="28" t="s">
        <v>13</v>
      </c>
      <c r="F23" s="28"/>
      <c r="G23" s="28"/>
      <c r="H23" s="28"/>
      <c r="I23" s="28"/>
      <c r="J23" s="28"/>
      <c r="K23" s="28"/>
      <c r="L23" s="28"/>
      <c r="M23" s="28"/>
      <c r="N23" s="49"/>
      <c r="O23" s="136"/>
      <c r="P23" s="51"/>
      <c r="Q23" s="90"/>
      <c r="R23" s="51"/>
      <c r="S23" s="28"/>
      <c r="T23" s="28"/>
      <c r="U23" s="28"/>
      <c r="V23" s="28"/>
      <c r="W23" s="49"/>
      <c r="X23" s="11"/>
      <c r="Y23" s="11"/>
    </row>
    <row r="24" spans="3:25" x14ac:dyDescent="0.25"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37"/>
      <c r="P24" s="51"/>
      <c r="Q24" s="90"/>
      <c r="R24" s="51"/>
      <c r="S24" s="11"/>
      <c r="T24" s="11"/>
      <c r="U24" s="11"/>
      <c r="V24" s="11"/>
      <c r="W24" s="12"/>
      <c r="X24" s="11"/>
      <c r="Y24" s="11"/>
    </row>
    <row r="25" spans="3:25" x14ac:dyDescent="0.25">
      <c r="C25" s="10"/>
      <c r="D25" s="11"/>
      <c r="E25" s="11" t="s">
        <v>11</v>
      </c>
      <c r="F25" s="11"/>
      <c r="G25" s="11"/>
      <c r="H25" s="11"/>
      <c r="I25" s="11"/>
      <c r="J25" s="11"/>
      <c r="K25" s="11"/>
      <c r="L25" s="16">
        <v>15</v>
      </c>
      <c r="M25" s="11"/>
      <c r="N25" s="12"/>
      <c r="O25" s="138">
        <f>L25*(1+$O$18)</f>
        <v>16.247344297033685</v>
      </c>
      <c r="P25" s="51"/>
      <c r="Q25" s="90"/>
      <c r="R25" s="51"/>
      <c r="S25" s="21">
        <f>L25*(1+$S$19)</f>
        <v>16.5</v>
      </c>
      <c r="T25" s="11"/>
      <c r="U25" s="21">
        <f>L25*(1+$U$19)</f>
        <v>17.549999999999997</v>
      </c>
      <c r="V25" s="11"/>
      <c r="W25" s="36">
        <f>L25*(1+$W$19)</f>
        <v>17.25</v>
      </c>
      <c r="X25" s="11"/>
      <c r="Y25" s="11"/>
    </row>
    <row r="26" spans="3:25" x14ac:dyDescent="0.25">
      <c r="C26" s="10"/>
      <c r="D26" s="11"/>
      <c r="E26" s="11" t="s">
        <v>158</v>
      </c>
      <c r="F26" s="11"/>
      <c r="G26" s="11"/>
      <c r="H26" s="11"/>
      <c r="I26" s="11"/>
      <c r="J26" s="11"/>
      <c r="K26" s="11"/>
      <c r="L26" s="16">
        <f>4.4*5</f>
        <v>22</v>
      </c>
      <c r="M26" s="11"/>
      <c r="N26" s="12"/>
      <c r="O26" s="139">
        <f>L26*(1+$O$18)</f>
        <v>23.829438302316071</v>
      </c>
      <c r="P26" s="51"/>
      <c r="Q26" s="90"/>
      <c r="R26" s="51"/>
      <c r="S26" s="20">
        <f>L26*(1+$S$19)</f>
        <v>24.200000000000003</v>
      </c>
      <c r="T26" s="11"/>
      <c r="U26" s="20">
        <f t="shared" ref="U26:U27" si="0">L26*(1+$U$19)</f>
        <v>25.74</v>
      </c>
      <c r="V26" s="11"/>
      <c r="W26" s="37">
        <f t="shared" ref="W26:W27" si="1">L26*(1+$W$19)</f>
        <v>25.299999999999997</v>
      </c>
      <c r="X26" s="11"/>
      <c r="Y26" s="11"/>
    </row>
    <row r="27" spans="3:25" x14ac:dyDescent="0.25">
      <c r="C27" s="10"/>
      <c r="D27" s="11"/>
      <c r="E27" s="11" t="s">
        <v>159</v>
      </c>
      <c r="F27" s="11"/>
      <c r="G27" s="11"/>
      <c r="H27" s="11"/>
      <c r="I27" s="11"/>
      <c r="J27" s="11"/>
      <c r="K27" s="11"/>
      <c r="L27" s="19">
        <v>4.75</v>
      </c>
      <c r="M27" s="11"/>
      <c r="N27" s="12"/>
      <c r="O27" s="139">
        <f>L27*(1+$O$18)</f>
        <v>5.1449923607273336</v>
      </c>
      <c r="P27" s="51"/>
      <c r="Q27" s="90"/>
      <c r="R27" s="51"/>
      <c r="S27" s="20">
        <f>L27*(1+$S$19)</f>
        <v>5.2250000000000005</v>
      </c>
      <c r="T27" s="11"/>
      <c r="U27" s="20">
        <f t="shared" si="0"/>
        <v>5.5574999999999992</v>
      </c>
      <c r="V27" s="11"/>
      <c r="W27" s="37">
        <f t="shared" si="1"/>
        <v>5.4624999999999995</v>
      </c>
      <c r="X27" s="11"/>
      <c r="Y27" s="11"/>
    </row>
    <row r="28" spans="3:25" ht="16.5" thickBot="1" x14ac:dyDescent="0.3">
      <c r="C28" s="10"/>
      <c r="D28" s="11"/>
      <c r="E28" s="11" t="s">
        <v>12</v>
      </c>
      <c r="F28" s="11"/>
      <c r="G28" s="11"/>
      <c r="H28" s="11"/>
      <c r="I28" s="11"/>
      <c r="J28" s="11"/>
      <c r="K28" s="11"/>
      <c r="L28" s="94">
        <f>SUM(L25:L27)</f>
        <v>41.75</v>
      </c>
      <c r="M28" s="11"/>
      <c r="N28" s="12"/>
      <c r="O28" s="140">
        <f>SUM(O25:O27)</f>
        <v>45.221774960077092</v>
      </c>
      <c r="P28" s="51"/>
      <c r="Q28" s="109"/>
      <c r="R28" s="51"/>
      <c r="S28" s="44">
        <f>SUM(S25:S27)</f>
        <v>45.925000000000004</v>
      </c>
      <c r="T28" s="11"/>
      <c r="U28" s="44">
        <f>SUM(U25:U27)</f>
        <v>48.847499999999989</v>
      </c>
      <c r="V28" s="11"/>
      <c r="W28" s="45">
        <f>SUM(W25:W27)</f>
        <v>48.012499999999996</v>
      </c>
      <c r="X28" s="11"/>
      <c r="Y28" s="11"/>
    </row>
    <row r="29" spans="3:25" ht="16.5" thickTop="1" x14ac:dyDescent="0.25"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37"/>
      <c r="P29" s="51"/>
      <c r="Q29" s="90"/>
      <c r="R29" s="51"/>
      <c r="S29" s="11"/>
      <c r="T29" s="11"/>
      <c r="U29" s="11"/>
      <c r="V29" s="11"/>
      <c r="W29" s="12"/>
      <c r="X29" s="11"/>
      <c r="Y29" s="11"/>
    </row>
    <row r="30" spans="3:25" x14ac:dyDescent="0.25">
      <c r="C30" s="17"/>
      <c r="D30" s="5"/>
      <c r="E30" s="5"/>
      <c r="F30" s="5"/>
      <c r="G30" s="5"/>
      <c r="H30" s="5"/>
      <c r="I30" s="5"/>
      <c r="J30" s="5"/>
      <c r="K30" s="5"/>
      <c r="L30" s="5"/>
      <c r="M30" s="5"/>
      <c r="N30" s="18"/>
      <c r="O30" s="141"/>
      <c r="P30" s="51"/>
      <c r="Q30" s="90"/>
      <c r="R30" s="51"/>
      <c r="S30" s="5"/>
      <c r="T30" s="5"/>
      <c r="U30" s="5"/>
      <c r="V30" s="5"/>
      <c r="W30" s="18"/>
      <c r="X30" s="11"/>
      <c r="Y30" s="11"/>
    </row>
    <row r="31" spans="3:25" ht="8.25" customHeight="1" x14ac:dyDescent="0.25">
      <c r="P31" s="51"/>
    </row>
    <row r="32" spans="3:25" x14ac:dyDescent="0.25">
      <c r="C32" s="1" t="s">
        <v>174</v>
      </c>
    </row>
  </sheetData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V48"/>
  <sheetViews>
    <sheetView showGridLines="0" workbookViewId="0">
      <selection activeCell="N17" sqref="N17"/>
    </sheetView>
  </sheetViews>
  <sheetFormatPr defaultRowHeight="15.75" x14ac:dyDescent="0.25"/>
  <cols>
    <col min="1" max="1" width="3.5703125" style="1" customWidth="1"/>
    <col min="2" max="2" width="2.85546875" style="1" customWidth="1"/>
    <col min="3" max="3" width="5.28515625" style="1" customWidth="1"/>
    <col min="4" max="6" width="9.140625" style="1"/>
    <col min="7" max="7" width="15.140625" style="1" customWidth="1"/>
    <col min="8" max="8" width="7" style="1" customWidth="1"/>
    <col min="9" max="9" width="9.140625" style="1"/>
    <col min="10" max="10" width="3.7109375" style="1" customWidth="1"/>
    <col min="11" max="11" width="15.28515625" style="2" customWidth="1"/>
    <col min="12" max="12" width="1.5703125" style="1" customWidth="1"/>
    <col min="13" max="13" width="15.28515625" style="2" customWidth="1"/>
    <col min="14" max="14" width="16.42578125" style="1" customWidth="1"/>
    <col min="15" max="15" width="2.28515625" style="1" customWidth="1"/>
    <col min="16" max="16" width="15" style="11" customWidth="1"/>
    <col min="17" max="17" width="2.28515625" style="11" customWidth="1"/>
    <col min="18" max="18" width="15.85546875" style="11" customWidth="1"/>
    <col min="19" max="19" width="2.140625" style="11" customWidth="1"/>
    <col min="20" max="20" width="30.85546875" style="11" customWidth="1"/>
    <col min="21" max="21" width="2.42578125" style="11" customWidth="1"/>
    <col min="22" max="22" width="12.5703125" style="11" customWidth="1"/>
    <col min="23" max="23" width="2" style="1" customWidth="1"/>
    <col min="24" max="16384" width="9.140625" style="1"/>
  </cols>
  <sheetData>
    <row r="1" spans="2:22" x14ac:dyDescent="0.25">
      <c r="B1" s="4" t="s">
        <v>0</v>
      </c>
    </row>
    <row r="2" spans="2:22" x14ac:dyDescent="0.25">
      <c r="B2" s="4" t="s">
        <v>1</v>
      </c>
    </row>
    <row r="3" spans="2:22" ht="9" customHeight="1" x14ac:dyDescent="0.25">
      <c r="B3" s="4"/>
    </row>
    <row r="4" spans="2:22" x14ac:dyDescent="0.25">
      <c r="B4" s="4" t="s">
        <v>151</v>
      </c>
      <c r="I4" s="4" t="s">
        <v>7</v>
      </c>
      <c r="M4" s="23"/>
      <c r="N4" s="23"/>
    </row>
    <row r="5" spans="2:22" x14ac:dyDescent="0.25">
      <c r="B5" s="4"/>
      <c r="M5" s="22"/>
      <c r="N5" s="22"/>
    </row>
    <row r="6" spans="2:22" x14ac:dyDescent="0.25">
      <c r="B6" s="4"/>
      <c r="C6" s="167" t="s">
        <v>19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9"/>
      <c r="O6" s="142"/>
      <c r="P6" s="170"/>
      <c r="Q6" s="170"/>
      <c r="R6" s="170"/>
      <c r="S6" s="170"/>
      <c r="T6" s="171"/>
    </row>
    <row r="7" spans="2:22" ht="81.75" customHeight="1" x14ac:dyDescent="0.25">
      <c r="C7" s="144" t="s">
        <v>24</v>
      </c>
      <c r="D7" s="175" t="s">
        <v>7</v>
      </c>
      <c r="E7" s="175"/>
      <c r="F7" s="175"/>
      <c r="G7" s="175"/>
      <c r="H7" s="175"/>
      <c r="I7" s="175"/>
      <c r="J7" s="175"/>
      <c r="K7" s="111" t="s">
        <v>146</v>
      </c>
      <c r="L7" s="28"/>
      <c r="M7" s="112" t="s">
        <v>147</v>
      </c>
      <c r="N7" s="132" t="s">
        <v>173</v>
      </c>
      <c r="O7" s="178" t="s">
        <v>171</v>
      </c>
      <c r="P7" s="179"/>
      <c r="Q7" s="179"/>
      <c r="R7" s="179"/>
      <c r="S7" s="179"/>
      <c r="T7" s="180"/>
      <c r="U7" s="14"/>
      <c r="V7" s="14"/>
    </row>
    <row r="8" spans="2:22" ht="62.25" customHeight="1" x14ac:dyDescent="0.25">
      <c r="C8" s="40">
        <v>1</v>
      </c>
      <c r="D8" s="41" t="s">
        <v>25</v>
      </c>
      <c r="E8" s="41"/>
      <c r="F8" s="41"/>
      <c r="G8" s="41"/>
      <c r="H8" s="41"/>
      <c r="I8" s="41"/>
      <c r="J8" s="41"/>
      <c r="K8" s="40"/>
      <c r="L8" s="41"/>
      <c r="M8" s="120">
        <v>1</v>
      </c>
      <c r="N8" s="125">
        <f>'Sch. 1 Revenue Requirements'!O15</f>
        <v>18273669.207982767</v>
      </c>
      <c r="O8" s="113"/>
      <c r="P8" s="176" t="s">
        <v>170</v>
      </c>
      <c r="Q8" s="176"/>
      <c r="R8" s="176"/>
      <c r="S8" s="176"/>
      <c r="T8" s="177"/>
    </row>
    <row r="9" spans="2:22" ht="21.75" customHeight="1" x14ac:dyDescent="0.25">
      <c r="C9" s="42">
        <v>2</v>
      </c>
      <c r="D9" s="172" t="s">
        <v>66</v>
      </c>
      <c r="E9" s="172"/>
      <c r="F9" s="172"/>
      <c r="G9" s="172"/>
      <c r="H9" s="172"/>
      <c r="I9" s="172"/>
      <c r="J9" s="172"/>
      <c r="K9" s="115">
        <v>1.0168E-2</v>
      </c>
      <c r="L9" s="11"/>
      <c r="M9" s="121">
        <f>K9</f>
        <v>1.0168E-2</v>
      </c>
      <c r="N9" s="126">
        <f>N8*M9</f>
        <v>185806.66850676876</v>
      </c>
      <c r="O9" s="10"/>
      <c r="P9" s="172" t="s">
        <v>186</v>
      </c>
      <c r="Q9" s="172"/>
      <c r="R9" s="172"/>
      <c r="S9" s="172"/>
      <c r="T9" s="173"/>
    </row>
    <row r="10" spans="2:22" ht="18" customHeight="1" x14ac:dyDescent="0.25">
      <c r="C10" s="15">
        <v>3</v>
      </c>
      <c r="D10" s="11" t="s">
        <v>14</v>
      </c>
      <c r="E10" s="11"/>
      <c r="F10" s="11"/>
      <c r="G10" s="11"/>
      <c r="H10" s="11"/>
      <c r="I10" s="11"/>
      <c r="J10" s="11"/>
      <c r="K10" s="15"/>
      <c r="L10" s="11"/>
      <c r="M10" s="122">
        <f>ROUND(M8-M9,6)</f>
        <v>0.98983200000000005</v>
      </c>
      <c r="N10" s="127">
        <f>N8*M10</f>
        <v>18087862.539476</v>
      </c>
      <c r="O10" s="10"/>
      <c r="T10" s="12"/>
    </row>
    <row r="11" spans="2:22" x14ac:dyDescent="0.25">
      <c r="C11" s="15">
        <v>4</v>
      </c>
      <c r="D11" s="11" t="s">
        <v>67</v>
      </c>
      <c r="E11" s="11"/>
      <c r="F11" s="11"/>
      <c r="G11" s="11"/>
      <c r="H11" s="11"/>
      <c r="I11" s="11"/>
      <c r="J11" s="11"/>
      <c r="K11" s="116">
        <v>1.338381E-3</v>
      </c>
      <c r="L11" s="11"/>
      <c r="M11" s="123">
        <f>M10*K11</f>
        <v>1.3247723419920001E-3</v>
      </c>
      <c r="N11" s="128">
        <f>N8*M11</f>
        <v>24208.45155344643</v>
      </c>
      <c r="O11" s="10"/>
      <c r="P11" s="11" t="s">
        <v>187</v>
      </c>
      <c r="T11" s="12"/>
    </row>
    <row r="12" spans="2:22" x14ac:dyDescent="0.25">
      <c r="C12" s="15">
        <v>5</v>
      </c>
      <c r="D12" s="11" t="s">
        <v>15</v>
      </c>
      <c r="E12" s="11"/>
      <c r="F12" s="11"/>
      <c r="G12" s="11"/>
      <c r="H12" s="11"/>
      <c r="I12" s="11"/>
      <c r="J12" s="11"/>
      <c r="K12" s="15"/>
      <c r="L12" s="11"/>
      <c r="M12" s="122">
        <f>ROUND(M10-M11,6)</f>
        <v>0.98850700000000002</v>
      </c>
      <c r="N12" s="127">
        <f>N8*M12</f>
        <v>18063649.92777542</v>
      </c>
      <c r="O12" s="10"/>
      <c r="T12" s="12"/>
    </row>
    <row r="13" spans="2:22" ht="32.25" customHeight="1" x14ac:dyDescent="0.25">
      <c r="C13" s="42">
        <v>6</v>
      </c>
      <c r="D13" s="23" t="s">
        <v>141</v>
      </c>
      <c r="E13" s="23"/>
      <c r="F13" s="23"/>
      <c r="G13" s="23"/>
      <c r="H13" s="23"/>
      <c r="I13" s="23"/>
      <c r="J13" s="23"/>
      <c r="K13" s="115">
        <v>5.5416E-2</v>
      </c>
      <c r="L13" s="23"/>
      <c r="M13" s="143">
        <f>ROUND(K13*M12,6)</f>
        <v>5.4779000000000001E-2</v>
      </c>
      <c r="N13" s="129">
        <f>N8*M13</f>
        <v>1001013.325544088</v>
      </c>
      <c r="O13" s="10"/>
      <c r="P13" s="181" t="s">
        <v>188</v>
      </c>
      <c r="Q13" s="181"/>
      <c r="R13" s="181"/>
      <c r="S13" s="181"/>
      <c r="T13" s="182"/>
    </row>
    <row r="14" spans="2:22" ht="36" customHeight="1" x14ac:dyDescent="0.25">
      <c r="C14" s="42">
        <v>7</v>
      </c>
      <c r="D14" s="174" t="s">
        <v>191</v>
      </c>
      <c r="E14" s="174"/>
      <c r="F14" s="174"/>
      <c r="G14" s="174"/>
      <c r="H14" s="174"/>
      <c r="I14" s="174"/>
      <c r="J14" s="174"/>
      <c r="K14" s="118">
        <v>1.4E-2</v>
      </c>
      <c r="L14" s="23"/>
      <c r="M14" s="121">
        <f>ROUND(K14*M12*0.950606,6)</f>
        <v>1.3155999999999999E-2</v>
      </c>
      <c r="N14" s="129">
        <f>N8*M14</f>
        <v>240408.39210022127</v>
      </c>
      <c r="O14" s="10"/>
      <c r="P14" s="183" t="s">
        <v>189</v>
      </c>
      <c r="Q14" s="183"/>
      <c r="R14" s="183"/>
      <c r="S14" s="183"/>
      <c r="T14" s="184"/>
    </row>
    <row r="15" spans="2:22" x14ac:dyDescent="0.25">
      <c r="C15" s="15">
        <v>8</v>
      </c>
      <c r="D15" s="11" t="s">
        <v>17</v>
      </c>
      <c r="E15" s="11"/>
      <c r="F15" s="11"/>
      <c r="G15" s="11"/>
      <c r="H15" s="11"/>
      <c r="I15" s="11"/>
      <c r="J15" s="11"/>
      <c r="K15" s="15"/>
      <c r="L15" s="11"/>
      <c r="M15" s="117">
        <f>ROUND(M12-M13-M14,6)</f>
        <v>0.92057199999999995</v>
      </c>
      <c r="N15" s="127">
        <f>N8*M15</f>
        <v>16822228.210131112</v>
      </c>
      <c r="O15" s="10"/>
      <c r="T15" s="12"/>
    </row>
    <row r="16" spans="2:22" x14ac:dyDescent="0.25">
      <c r="C16" s="15">
        <v>9</v>
      </c>
      <c r="D16" s="11" t="s">
        <v>142</v>
      </c>
      <c r="E16" s="11"/>
      <c r="F16" s="11"/>
      <c r="G16" s="11"/>
      <c r="H16" s="11"/>
      <c r="I16" s="11"/>
      <c r="J16" s="11"/>
      <c r="K16" s="119">
        <v>0.21</v>
      </c>
      <c r="L16" s="11"/>
      <c r="M16" s="123">
        <f>ROUND(K16*M15,6)</f>
        <v>0.19331999999999999</v>
      </c>
      <c r="N16" s="130">
        <f>N8*M16</f>
        <v>3532665.7312872284</v>
      </c>
      <c r="O16" s="10"/>
      <c r="P16" s="11" t="s">
        <v>190</v>
      </c>
      <c r="T16" s="12"/>
    </row>
    <row r="17" spans="3:20" ht="16.5" thickBot="1" x14ac:dyDescent="0.3">
      <c r="C17" s="15">
        <v>10</v>
      </c>
      <c r="D17" s="11" t="s">
        <v>18</v>
      </c>
      <c r="E17" s="11"/>
      <c r="F17" s="11"/>
      <c r="G17" s="11"/>
      <c r="H17" s="11"/>
      <c r="I17" s="11"/>
      <c r="J17" s="11"/>
      <c r="K17" s="15"/>
      <c r="L17" s="11"/>
      <c r="M17" s="117">
        <f>ROUND(M15-M16,6)</f>
        <v>0.72725200000000001</v>
      </c>
      <c r="N17" s="131">
        <f>N15-N16</f>
        <v>13289562.478843885</v>
      </c>
      <c r="O17" s="10"/>
      <c r="P17" s="11" t="s">
        <v>169</v>
      </c>
      <c r="T17" s="12"/>
    </row>
    <row r="18" spans="3:20" ht="17.25" thickTop="1" thickBot="1" x14ac:dyDescent="0.3">
      <c r="C18" s="15">
        <v>11</v>
      </c>
      <c r="D18" s="11" t="s">
        <v>143</v>
      </c>
      <c r="E18" s="11"/>
      <c r="F18" s="11"/>
      <c r="G18" s="11"/>
      <c r="H18" s="11"/>
      <c r="I18" s="11"/>
      <c r="J18" s="11"/>
      <c r="K18" s="15"/>
      <c r="L18" s="11"/>
      <c r="M18" s="124">
        <f>ROUND(M8/M17,6)</f>
        <v>1.3750389999999999</v>
      </c>
      <c r="N18" s="66"/>
      <c r="O18" s="10"/>
      <c r="P18" s="11" t="s">
        <v>192</v>
      </c>
      <c r="T18" s="12"/>
    </row>
    <row r="19" spans="3:20" ht="16.5" thickTop="1" x14ac:dyDescent="0.25">
      <c r="C19" s="13"/>
      <c r="D19" s="5"/>
      <c r="E19" s="5"/>
      <c r="F19" s="5"/>
      <c r="G19" s="5"/>
      <c r="H19" s="5"/>
      <c r="I19" s="5"/>
      <c r="J19" s="5"/>
      <c r="K19" s="13"/>
      <c r="L19" s="5"/>
      <c r="M19" s="13"/>
      <c r="N19" s="67"/>
      <c r="O19" s="17"/>
      <c r="P19" s="5"/>
      <c r="Q19" s="5"/>
      <c r="R19" s="5"/>
      <c r="S19" s="5"/>
      <c r="T19" s="18"/>
    </row>
    <row r="20" spans="3:20" x14ac:dyDescent="0.25">
      <c r="C20" s="2"/>
    </row>
    <row r="21" spans="3:20" x14ac:dyDescent="0.25">
      <c r="C21" s="43" t="s">
        <v>26</v>
      </c>
      <c r="N21" s="149"/>
    </row>
    <row r="22" spans="3:20" x14ac:dyDescent="0.25">
      <c r="C22" s="2"/>
    </row>
    <row r="23" spans="3:20" x14ac:dyDescent="0.25">
      <c r="C23" s="30" t="s">
        <v>9</v>
      </c>
      <c r="D23" s="26" t="s">
        <v>148</v>
      </c>
      <c r="E23" s="26"/>
      <c r="F23" s="26"/>
      <c r="G23" s="26"/>
      <c r="H23" s="26"/>
      <c r="I23" s="26"/>
      <c r="J23" s="26"/>
      <c r="K23" s="31"/>
      <c r="L23" s="29"/>
      <c r="M23" s="31"/>
      <c r="N23" s="29"/>
      <c r="O23" s="32"/>
    </row>
    <row r="24" spans="3:20" x14ac:dyDescent="0.25">
      <c r="C24" s="152"/>
      <c r="D24" s="153"/>
      <c r="E24" s="51"/>
      <c r="F24" s="51"/>
      <c r="G24" s="51"/>
      <c r="H24" s="51"/>
      <c r="I24" s="51"/>
      <c r="J24" s="51"/>
      <c r="K24" s="52"/>
      <c r="L24" s="51"/>
      <c r="M24" s="52"/>
      <c r="N24" s="51"/>
      <c r="O24" s="154"/>
    </row>
    <row r="25" spans="3:20" x14ac:dyDescent="0.25">
      <c r="C25" s="152"/>
      <c r="D25" s="51" t="s">
        <v>149</v>
      </c>
      <c r="E25" s="51"/>
      <c r="F25" s="51"/>
      <c r="G25" s="51"/>
      <c r="H25" s="51"/>
      <c r="I25" s="51"/>
      <c r="J25" s="51"/>
      <c r="K25" s="52"/>
      <c r="L25" s="51"/>
      <c r="M25" s="52"/>
      <c r="N25" s="51"/>
      <c r="O25" s="154"/>
    </row>
    <row r="26" spans="3:20" x14ac:dyDescent="0.25">
      <c r="C26" s="155"/>
      <c r="D26" s="51"/>
      <c r="E26" s="51"/>
      <c r="F26" s="51"/>
      <c r="G26" s="51"/>
      <c r="H26" s="51"/>
      <c r="I26" s="51"/>
      <c r="J26" s="51"/>
      <c r="K26" s="52"/>
      <c r="L26" s="51"/>
      <c r="M26" s="52"/>
      <c r="N26" s="51"/>
      <c r="O26" s="154"/>
    </row>
    <row r="27" spans="3:20" x14ac:dyDescent="0.25">
      <c r="C27" s="155"/>
      <c r="D27" s="51" t="s">
        <v>144</v>
      </c>
      <c r="E27" s="51"/>
      <c r="F27" s="51"/>
      <c r="G27" s="51"/>
      <c r="H27" s="51"/>
      <c r="I27" s="51"/>
      <c r="J27" s="51"/>
      <c r="K27" s="52"/>
      <c r="L27" s="51"/>
      <c r="M27" s="52"/>
      <c r="N27" s="51"/>
      <c r="O27" s="154"/>
    </row>
    <row r="28" spans="3:20" x14ac:dyDescent="0.25">
      <c r="C28" s="156" t="s">
        <v>24</v>
      </c>
      <c r="D28" s="51"/>
      <c r="E28" s="51"/>
      <c r="F28" s="51"/>
      <c r="G28" s="51"/>
      <c r="H28" s="51"/>
      <c r="I28" s="51"/>
      <c r="J28" s="51"/>
      <c r="K28" s="52"/>
      <c r="L28" s="51"/>
      <c r="M28" s="157" t="s">
        <v>54</v>
      </c>
      <c r="N28" s="51"/>
      <c r="O28" s="154"/>
    </row>
    <row r="29" spans="3:20" x14ac:dyDescent="0.25">
      <c r="C29" s="152">
        <v>12</v>
      </c>
      <c r="D29" s="51" t="s">
        <v>145</v>
      </c>
      <c r="E29" s="51"/>
      <c r="F29" s="51"/>
      <c r="G29" s="51"/>
      <c r="H29" s="153"/>
      <c r="I29" s="153"/>
      <c r="J29" s="153"/>
      <c r="K29" s="158">
        <f>12375429-1400946</f>
        <v>10974483</v>
      </c>
      <c r="L29" s="51"/>
      <c r="M29" s="52" t="s">
        <v>168</v>
      </c>
      <c r="N29" s="51"/>
      <c r="O29" s="154"/>
    </row>
    <row r="30" spans="3:20" x14ac:dyDescent="0.25">
      <c r="C30" s="152">
        <v>13</v>
      </c>
      <c r="D30" s="51" t="s">
        <v>193</v>
      </c>
      <c r="E30" s="51"/>
      <c r="F30" s="51"/>
      <c r="G30" s="51"/>
      <c r="H30" s="153"/>
      <c r="I30" s="153"/>
      <c r="J30" s="153"/>
      <c r="K30" s="159">
        <v>222183183</v>
      </c>
      <c r="L30" s="51"/>
      <c r="M30" s="52" t="s">
        <v>55</v>
      </c>
      <c r="N30" s="51"/>
      <c r="O30" s="154"/>
    </row>
    <row r="31" spans="3:20" x14ac:dyDescent="0.25">
      <c r="C31" s="152">
        <v>14</v>
      </c>
      <c r="D31" s="51" t="s">
        <v>23</v>
      </c>
      <c r="E31" s="51"/>
      <c r="F31" s="51"/>
      <c r="G31" s="51"/>
      <c r="H31" s="153"/>
      <c r="I31" s="153"/>
      <c r="J31" s="153"/>
      <c r="K31" s="160">
        <f>K29/K30</f>
        <v>4.9393850838836892E-2</v>
      </c>
      <c r="L31" s="51"/>
      <c r="M31" s="52"/>
      <c r="N31" s="51"/>
      <c r="O31" s="154"/>
    </row>
    <row r="32" spans="3:20" ht="16.5" thickBot="1" x14ac:dyDescent="0.3">
      <c r="C32" s="152">
        <v>15</v>
      </c>
      <c r="D32" s="51" t="s">
        <v>65</v>
      </c>
      <c r="E32" s="51"/>
      <c r="F32" s="51"/>
      <c r="G32" s="51"/>
      <c r="H32" s="153"/>
      <c r="I32" s="153"/>
      <c r="J32" s="153"/>
      <c r="K32" s="161">
        <f>1-K31</f>
        <v>0.95060614916116315</v>
      </c>
      <c r="L32" s="51"/>
      <c r="M32" s="52"/>
      <c r="N32" s="51"/>
      <c r="O32" s="154"/>
    </row>
    <row r="33" spans="2:16" ht="16.5" thickTop="1" x14ac:dyDescent="0.25">
      <c r="C33" s="152"/>
      <c r="D33" s="51"/>
      <c r="E33" s="51"/>
      <c r="F33" s="51"/>
      <c r="G33" s="51"/>
      <c r="H33" s="153"/>
      <c r="I33" s="153"/>
      <c r="J33" s="162"/>
      <c r="K33" s="52"/>
      <c r="L33" s="51"/>
      <c r="M33" s="52"/>
      <c r="N33" s="51"/>
      <c r="O33" s="154"/>
    </row>
    <row r="34" spans="2:16" x14ac:dyDescent="0.25">
      <c r="C34" s="152"/>
      <c r="D34" s="153" t="s">
        <v>194</v>
      </c>
      <c r="E34" s="51"/>
      <c r="F34" s="51"/>
      <c r="G34" s="51"/>
      <c r="H34" s="153" t="s">
        <v>195</v>
      </c>
      <c r="I34" s="153"/>
      <c r="J34" s="162"/>
      <c r="K34" s="52"/>
      <c r="L34" s="51"/>
      <c r="M34" s="166">
        <f>M14</f>
        <v>1.3155999999999999E-2</v>
      </c>
      <c r="N34" s="51"/>
      <c r="O34" s="154"/>
    </row>
    <row r="35" spans="2:16" x14ac:dyDescent="0.25">
      <c r="C35" s="163"/>
      <c r="D35" s="164"/>
      <c r="E35" s="164"/>
      <c r="F35" s="164"/>
      <c r="G35" s="164"/>
      <c r="H35" s="164"/>
      <c r="I35" s="164"/>
      <c r="J35" s="164"/>
      <c r="K35" s="157"/>
      <c r="L35" s="164"/>
      <c r="M35" s="157"/>
      <c r="N35" s="164"/>
      <c r="O35" s="165"/>
    </row>
    <row r="39" spans="2:16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4"/>
      <c r="L39" s="11"/>
      <c r="M39" s="14"/>
    </row>
    <row r="40" spans="2:16" x14ac:dyDescent="0.25">
      <c r="B40" s="23"/>
      <c r="C40" s="11"/>
      <c r="D40" s="11"/>
      <c r="E40" s="11"/>
      <c r="F40" s="11"/>
      <c r="G40" s="11"/>
      <c r="H40" s="11"/>
      <c r="I40" s="11"/>
      <c r="J40" s="11"/>
      <c r="K40" s="14"/>
      <c r="L40" s="11"/>
      <c r="M40" s="14"/>
    </row>
    <row r="41" spans="2:16" x14ac:dyDescent="0.25">
      <c r="B41" s="11"/>
      <c r="C41" s="11"/>
      <c r="D41" s="11"/>
      <c r="E41" s="11"/>
      <c r="F41" s="11"/>
      <c r="G41" s="11"/>
      <c r="H41" s="11"/>
      <c r="I41" s="11"/>
      <c r="J41" s="11"/>
      <c r="K41" s="14"/>
      <c r="L41" s="11"/>
      <c r="M41" s="14"/>
    </row>
    <row r="42" spans="2:16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4"/>
      <c r="L42" s="11"/>
      <c r="M42" s="14"/>
    </row>
    <row r="43" spans="2:16" x14ac:dyDescent="0.25">
      <c r="B43" s="11"/>
      <c r="C43" s="11"/>
      <c r="D43" s="11"/>
      <c r="E43" s="11"/>
      <c r="F43" s="11"/>
      <c r="G43" s="11"/>
      <c r="H43" s="11"/>
      <c r="I43" s="11"/>
      <c r="J43" s="11"/>
      <c r="K43" s="14"/>
      <c r="L43" s="11"/>
      <c r="M43" s="14"/>
      <c r="P43" s="145"/>
    </row>
    <row r="44" spans="2:16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4"/>
      <c r="L44" s="11"/>
      <c r="M44" s="14"/>
      <c r="P44" s="146"/>
    </row>
    <row r="45" spans="2:16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4"/>
      <c r="L45" s="11"/>
      <c r="M45" s="14"/>
      <c r="P45" s="147"/>
    </row>
    <row r="46" spans="2:16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6"/>
      <c r="L46" s="11"/>
      <c r="M46" s="14"/>
    </row>
    <row r="47" spans="2:16" x14ac:dyDescent="0.25">
      <c r="B47" s="11"/>
      <c r="C47" s="11"/>
      <c r="D47" s="11"/>
      <c r="E47" s="11"/>
      <c r="F47" s="11"/>
      <c r="G47" s="11"/>
      <c r="H47" s="11"/>
      <c r="I47" s="11"/>
      <c r="J47" s="11"/>
      <c r="K47" s="150"/>
      <c r="L47" s="11"/>
      <c r="M47" s="14"/>
    </row>
    <row r="48" spans="2:16" x14ac:dyDescent="0.25">
      <c r="B48" s="11"/>
      <c r="C48" s="11"/>
      <c r="D48" s="11"/>
      <c r="E48" s="11"/>
      <c r="F48" s="11"/>
      <c r="G48" s="11"/>
      <c r="H48" s="11"/>
      <c r="I48" s="11"/>
      <c r="J48" s="11"/>
      <c r="K48" s="151"/>
      <c r="L48" s="11"/>
      <c r="M48" s="14"/>
    </row>
  </sheetData>
  <mergeCells count="10">
    <mergeCell ref="C6:N6"/>
    <mergeCell ref="P6:T6"/>
    <mergeCell ref="P9:T9"/>
    <mergeCell ref="D9:J9"/>
    <mergeCell ref="D14:J14"/>
    <mergeCell ref="D7:J7"/>
    <mergeCell ref="P8:T8"/>
    <mergeCell ref="O7:T7"/>
    <mergeCell ref="P13:T13"/>
    <mergeCell ref="P14:T14"/>
  </mergeCells>
  <pageMargins left="0.7" right="0.7" top="0.75" bottom="0.75" header="0.3" footer="0.3"/>
  <pageSetup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T95"/>
  <sheetViews>
    <sheetView workbookViewId="0">
      <selection activeCell="S93" sqref="S93"/>
    </sheetView>
  </sheetViews>
  <sheetFormatPr defaultRowHeight="15" x14ac:dyDescent="0.25"/>
  <cols>
    <col min="1" max="1" width="3.5703125" customWidth="1"/>
    <col min="2" max="2" width="5" customWidth="1"/>
    <col min="3" max="3" width="6.28515625" customWidth="1"/>
    <col min="5" max="5" width="34.5703125" customWidth="1"/>
    <col min="6" max="6" width="1.5703125" customWidth="1"/>
    <col min="7" max="7" width="13.7109375" customWidth="1"/>
    <col min="8" max="8" width="1.28515625" customWidth="1"/>
    <col min="9" max="9" width="13.7109375" customWidth="1"/>
    <col min="10" max="10" width="1.7109375" customWidth="1"/>
    <col min="11" max="11" width="25.140625" style="53" customWidth="1"/>
    <col min="12" max="12" width="2.140625" customWidth="1"/>
    <col min="13" max="13" width="15" customWidth="1"/>
    <col min="14" max="14" width="2.5703125" customWidth="1"/>
    <col min="15" max="15" width="14.42578125" customWidth="1"/>
    <col min="16" max="16" width="2.42578125" customWidth="1"/>
    <col min="17" max="17" width="15.7109375" style="53" customWidth="1"/>
    <col min="18" max="18" width="1.85546875" customWidth="1"/>
    <col min="19" max="19" width="15.28515625" customWidth="1"/>
    <col min="20" max="20" width="10.5703125" bestFit="1" customWidth="1"/>
  </cols>
  <sheetData>
    <row r="1" spans="2:19" ht="15.75" x14ac:dyDescent="0.25">
      <c r="B1" s="4" t="s">
        <v>0</v>
      </c>
    </row>
    <row r="2" spans="2:19" ht="15.75" x14ac:dyDescent="0.25">
      <c r="B2" s="4" t="s">
        <v>1</v>
      </c>
      <c r="Q2" s="110"/>
    </row>
    <row r="3" spans="2:19" ht="15.75" x14ac:dyDescent="0.25">
      <c r="B3" s="4"/>
    </row>
    <row r="4" spans="2:19" ht="15.75" x14ac:dyDescent="0.25">
      <c r="B4" s="4" t="s">
        <v>50</v>
      </c>
      <c r="I4" s="4" t="s">
        <v>49</v>
      </c>
    </row>
    <row r="5" spans="2:19" x14ac:dyDescent="0.25">
      <c r="O5" s="93"/>
    </row>
    <row r="6" spans="2:19" x14ac:dyDescent="0.25">
      <c r="G6" s="53" t="s">
        <v>172</v>
      </c>
      <c r="I6" s="53" t="s">
        <v>48</v>
      </c>
      <c r="M6" s="53" t="s">
        <v>48</v>
      </c>
      <c r="O6" s="55" t="s">
        <v>48</v>
      </c>
      <c r="S6" s="53" t="s">
        <v>48</v>
      </c>
    </row>
    <row r="7" spans="2:19" x14ac:dyDescent="0.25">
      <c r="E7" s="58"/>
      <c r="G7" s="53" t="s">
        <v>40</v>
      </c>
      <c r="I7" s="53" t="s">
        <v>44</v>
      </c>
      <c r="J7" s="53"/>
      <c r="K7" s="53" t="s">
        <v>43</v>
      </c>
      <c r="M7" s="53" t="s">
        <v>44</v>
      </c>
      <c r="O7" s="55" t="s">
        <v>46</v>
      </c>
      <c r="Q7" s="53" t="s">
        <v>43</v>
      </c>
      <c r="S7" s="53" t="s">
        <v>47</v>
      </c>
    </row>
    <row r="8" spans="2:19" x14ac:dyDescent="0.25">
      <c r="G8" s="114">
        <v>43100</v>
      </c>
      <c r="I8" s="54" t="s">
        <v>41</v>
      </c>
      <c r="J8" s="53"/>
      <c r="K8" s="54" t="s">
        <v>42</v>
      </c>
      <c r="M8" s="54" t="s">
        <v>45</v>
      </c>
      <c r="O8" s="54" t="s">
        <v>41</v>
      </c>
      <c r="Q8" s="54" t="s">
        <v>42</v>
      </c>
      <c r="S8" s="54" t="s">
        <v>45</v>
      </c>
    </row>
    <row r="9" spans="2:19" x14ac:dyDescent="0.25">
      <c r="B9" s="83" t="s">
        <v>27</v>
      </c>
      <c r="C9" s="84"/>
      <c r="D9" s="84"/>
      <c r="E9" s="85"/>
      <c r="P9" s="60"/>
      <c r="Q9" s="76"/>
      <c r="R9" s="60"/>
    </row>
    <row r="10" spans="2:19" x14ac:dyDescent="0.25">
      <c r="B10" s="60"/>
      <c r="C10" s="60" t="s">
        <v>164</v>
      </c>
      <c r="D10" s="60"/>
      <c r="E10" s="60"/>
      <c r="F10" s="60"/>
      <c r="G10" s="70">
        <v>218464424</v>
      </c>
      <c r="H10" s="60"/>
      <c r="I10" s="70"/>
      <c r="J10" s="60"/>
      <c r="K10" s="76" t="s">
        <v>167</v>
      </c>
      <c r="L10" s="60"/>
      <c r="M10" s="70">
        <f>G10+SUM(I11:I17)</f>
        <v>217086156</v>
      </c>
      <c r="N10" s="60"/>
      <c r="O10" s="70">
        <f>M10/($M$25)*$O$25</f>
        <v>18052078.576771021</v>
      </c>
      <c r="P10" s="60"/>
      <c r="Q10" s="76"/>
      <c r="R10" s="60"/>
      <c r="S10" s="70">
        <f>M10+O10</f>
        <v>235138234.57677102</v>
      </c>
    </row>
    <row r="11" spans="2:19" x14ac:dyDescent="0.25">
      <c r="B11" s="60"/>
      <c r="C11" s="60"/>
      <c r="D11" s="60" t="s">
        <v>181</v>
      </c>
      <c r="E11" s="60"/>
      <c r="F11" s="60"/>
      <c r="G11" s="70"/>
      <c r="H11" s="60"/>
      <c r="I11" s="70">
        <v>-10589869</v>
      </c>
      <c r="J11" s="60"/>
      <c r="K11" s="76"/>
      <c r="L11" s="60"/>
      <c r="M11" s="70"/>
      <c r="N11" s="60"/>
      <c r="O11" s="70"/>
      <c r="P11" s="60"/>
      <c r="Q11" s="76"/>
      <c r="R11" s="60"/>
      <c r="S11" s="70"/>
    </row>
    <row r="12" spans="2:19" x14ac:dyDescent="0.25">
      <c r="B12" s="60"/>
      <c r="C12" s="60"/>
      <c r="D12" s="60" t="s">
        <v>175</v>
      </c>
      <c r="E12" s="60"/>
      <c r="F12" s="60"/>
      <c r="G12" s="70"/>
      <c r="H12" s="60"/>
      <c r="I12" s="70">
        <v>-2854679</v>
      </c>
      <c r="J12" s="60"/>
      <c r="K12" s="76"/>
      <c r="L12" s="60"/>
      <c r="M12" s="70"/>
      <c r="N12" s="60"/>
      <c r="O12" s="70"/>
      <c r="P12" s="60"/>
      <c r="Q12" s="76"/>
      <c r="R12" s="60"/>
      <c r="S12" s="70"/>
    </row>
    <row r="13" spans="2:19" x14ac:dyDescent="0.25">
      <c r="B13" s="60"/>
      <c r="C13" s="60"/>
      <c r="D13" s="60" t="s">
        <v>180</v>
      </c>
      <c r="E13" s="60"/>
      <c r="F13" s="60"/>
      <c r="G13" s="70"/>
      <c r="H13" s="60"/>
      <c r="I13" s="70">
        <v>-967576</v>
      </c>
      <c r="J13" s="60"/>
      <c r="K13" s="76"/>
      <c r="L13" s="60"/>
      <c r="M13" s="70"/>
      <c r="N13" s="60"/>
      <c r="O13" s="70"/>
      <c r="P13" s="60"/>
      <c r="Q13" s="76"/>
      <c r="R13" s="60"/>
      <c r="S13" s="70"/>
    </row>
    <row r="14" spans="2:19" x14ac:dyDescent="0.25">
      <c r="B14" s="60"/>
      <c r="C14" s="60"/>
      <c r="D14" s="60" t="s">
        <v>176</v>
      </c>
      <c r="E14" s="60"/>
      <c r="F14" s="60"/>
      <c r="G14" s="70"/>
      <c r="H14" s="60"/>
      <c r="I14" s="70">
        <v>2595545</v>
      </c>
      <c r="J14" s="60"/>
      <c r="K14" s="76"/>
      <c r="L14" s="60"/>
      <c r="M14" s="70"/>
      <c r="N14" s="60"/>
      <c r="O14" s="70"/>
      <c r="P14" s="60"/>
      <c r="Q14" s="76"/>
      <c r="R14" s="60"/>
      <c r="S14" s="70"/>
    </row>
    <row r="15" spans="2:19" x14ac:dyDescent="0.25">
      <c r="B15" s="60"/>
      <c r="C15" s="60"/>
      <c r="D15" s="60" t="s">
        <v>177</v>
      </c>
      <c r="E15" s="60"/>
      <c r="F15" s="60"/>
      <c r="G15" s="70"/>
      <c r="H15" s="60"/>
      <c r="I15" s="70">
        <v>2650368</v>
      </c>
      <c r="J15" s="60"/>
      <c r="K15" s="76"/>
      <c r="L15" s="60"/>
      <c r="M15" s="70"/>
      <c r="N15" s="60"/>
      <c r="O15" s="70"/>
      <c r="P15" s="60"/>
      <c r="Q15" s="76"/>
      <c r="R15" s="60"/>
      <c r="S15" s="70"/>
    </row>
    <row r="16" spans="2:19" x14ac:dyDescent="0.25">
      <c r="B16" s="60"/>
      <c r="C16" s="60"/>
      <c r="D16" s="60" t="s">
        <v>178</v>
      </c>
      <c r="E16" s="60"/>
      <c r="F16" s="60"/>
      <c r="G16" s="70"/>
      <c r="H16" s="60"/>
      <c r="I16" s="70">
        <v>-787718</v>
      </c>
      <c r="J16" s="60"/>
      <c r="K16" s="76"/>
      <c r="L16" s="60"/>
      <c r="M16" s="70"/>
      <c r="N16" s="60"/>
      <c r="O16" s="70"/>
      <c r="P16" s="60"/>
      <c r="Q16" s="76"/>
      <c r="R16" s="60"/>
      <c r="S16" s="70"/>
    </row>
    <row r="17" spans="2:19" x14ac:dyDescent="0.25">
      <c r="B17" s="60"/>
      <c r="C17" s="60"/>
      <c r="D17" s="60" t="s">
        <v>179</v>
      </c>
      <c r="E17" s="60"/>
      <c r="F17" s="60"/>
      <c r="G17" s="70"/>
      <c r="H17" s="60"/>
      <c r="I17" s="70">
        <v>8575661</v>
      </c>
      <c r="J17" s="60"/>
      <c r="K17" s="76"/>
      <c r="L17" s="60"/>
      <c r="M17" s="70"/>
      <c r="N17" s="60"/>
      <c r="O17" s="70"/>
      <c r="P17" s="60"/>
      <c r="Q17" s="76"/>
      <c r="R17" s="60"/>
      <c r="S17" s="70"/>
    </row>
    <row r="18" spans="2:19" ht="6" customHeight="1" x14ac:dyDescent="0.25">
      <c r="B18" s="60"/>
      <c r="C18" s="60"/>
      <c r="D18" s="60"/>
      <c r="E18" s="60"/>
      <c r="F18" s="60"/>
      <c r="G18" s="70"/>
      <c r="H18" s="60"/>
      <c r="I18" s="70"/>
      <c r="J18" s="60"/>
      <c r="K18" s="76"/>
      <c r="L18" s="60"/>
      <c r="M18" s="70"/>
      <c r="N18" s="60"/>
      <c r="O18" s="70"/>
      <c r="P18" s="60"/>
      <c r="Q18" s="76"/>
      <c r="R18" s="60"/>
      <c r="S18" s="70"/>
    </row>
    <row r="19" spans="2:19" x14ac:dyDescent="0.25">
      <c r="B19" s="60"/>
      <c r="C19" s="60" t="s">
        <v>165</v>
      </c>
      <c r="D19" s="60"/>
      <c r="E19" s="60"/>
      <c r="F19" s="60"/>
      <c r="G19" s="71">
        <v>446120</v>
      </c>
      <c r="H19" s="60"/>
      <c r="I19" s="71"/>
      <c r="J19" s="60"/>
      <c r="K19" s="53" t="s">
        <v>166</v>
      </c>
      <c r="L19" s="60"/>
      <c r="M19" s="77">
        <f>G19+SUM(I20:I22)</f>
        <v>1361402</v>
      </c>
      <c r="N19" s="60"/>
      <c r="O19" s="71">
        <f>M19/($M$25)*$O$25</f>
        <v>113209.13471135036</v>
      </c>
      <c r="P19" s="60"/>
      <c r="Q19" s="76"/>
      <c r="R19" s="60"/>
      <c r="S19" s="77">
        <f t="shared" ref="S19:S35" si="0">M19+O19</f>
        <v>1474611.1347113503</v>
      </c>
    </row>
    <row r="20" spans="2:19" x14ac:dyDescent="0.25">
      <c r="B20" s="60"/>
      <c r="C20" s="60"/>
      <c r="D20" s="60" t="s">
        <v>181</v>
      </c>
      <c r="E20" s="60"/>
      <c r="F20" s="60"/>
      <c r="G20" s="71"/>
      <c r="H20" s="60"/>
      <c r="I20" s="71">
        <v>-22679</v>
      </c>
      <c r="J20" s="60"/>
      <c r="L20" s="60"/>
      <c r="M20" s="77"/>
      <c r="N20" s="60"/>
      <c r="O20" s="71"/>
      <c r="P20" s="60"/>
      <c r="Q20" s="76"/>
      <c r="R20" s="60"/>
      <c r="S20" s="77"/>
    </row>
    <row r="21" spans="2:19" x14ac:dyDescent="0.25">
      <c r="B21" s="60"/>
      <c r="C21" s="60"/>
      <c r="D21" s="60" t="s">
        <v>177</v>
      </c>
      <c r="E21" s="60"/>
      <c r="F21" s="60"/>
      <c r="G21" s="71"/>
      <c r="H21" s="60"/>
      <c r="I21" s="71">
        <v>937977</v>
      </c>
      <c r="J21" s="60"/>
      <c r="L21" s="60"/>
      <c r="M21" s="77"/>
      <c r="N21" s="60"/>
      <c r="O21" s="71"/>
      <c r="P21" s="60"/>
      <c r="Q21" s="76"/>
      <c r="R21" s="60"/>
      <c r="S21" s="77"/>
    </row>
    <row r="22" spans="2:19" x14ac:dyDescent="0.25">
      <c r="B22" s="60"/>
      <c r="C22" s="60"/>
      <c r="D22" s="60" t="s">
        <v>178</v>
      </c>
      <c r="E22" s="60"/>
      <c r="F22" s="60"/>
      <c r="G22" s="71"/>
      <c r="H22" s="60"/>
      <c r="I22" s="71">
        <v>-16</v>
      </c>
      <c r="J22" s="60"/>
      <c r="L22" s="60"/>
      <c r="M22" s="77"/>
      <c r="N22" s="60"/>
      <c r="O22" s="71"/>
      <c r="P22" s="60"/>
      <c r="Q22" s="76"/>
      <c r="R22" s="60"/>
      <c r="S22" s="77"/>
    </row>
    <row r="23" spans="2:19" ht="6.75" customHeight="1" x14ac:dyDescent="0.25">
      <c r="B23" s="60"/>
      <c r="C23" s="60"/>
      <c r="D23" s="60"/>
      <c r="E23" s="60"/>
      <c r="F23" s="60"/>
      <c r="G23" s="71"/>
      <c r="H23" s="60"/>
      <c r="I23" s="71"/>
      <c r="J23" s="60"/>
      <c r="L23" s="60"/>
      <c r="M23" s="77"/>
      <c r="N23" s="60"/>
      <c r="O23" s="71"/>
      <c r="P23" s="60"/>
      <c r="Q23" s="76"/>
      <c r="R23" s="60"/>
      <c r="S23" s="77"/>
    </row>
    <row r="24" spans="2:19" x14ac:dyDescent="0.25">
      <c r="B24" s="60"/>
      <c r="C24" s="60" t="s">
        <v>133</v>
      </c>
      <c r="D24" s="60"/>
      <c r="E24" s="60"/>
      <c r="F24" s="60"/>
      <c r="G24" s="71">
        <f>1301369+2847</f>
        <v>1304216</v>
      </c>
      <c r="H24" s="60"/>
      <c r="I24" s="71">
        <f>-6710+5841</f>
        <v>-869</v>
      </c>
      <c r="J24" s="60"/>
      <c r="K24" s="76" t="s">
        <v>167</v>
      </c>
      <c r="L24" s="60"/>
      <c r="M24" s="77">
        <f t="shared" ref="M24:M35" si="1">G24+I24</f>
        <v>1303347</v>
      </c>
      <c r="N24" s="60"/>
      <c r="O24" s="71">
        <f>M24/($M$25)*$O$25</f>
        <v>108381.49650039765</v>
      </c>
      <c r="P24" s="60"/>
      <c r="Q24" s="76"/>
      <c r="R24" s="60"/>
      <c r="S24" s="77">
        <f t="shared" si="0"/>
        <v>1411728.4965003976</v>
      </c>
    </row>
    <row r="25" spans="2:19" ht="15.75" thickBot="1" x14ac:dyDescent="0.3">
      <c r="B25" s="60"/>
      <c r="C25" s="60" t="s">
        <v>156</v>
      </c>
      <c r="D25" s="60"/>
      <c r="E25" s="60"/>
      <c r="F25" s="60"/>
      <c r="G25" s="73">
        <f>SUM(G10:G24)</f>
        <v>220214760</v>
      </c>
      <c r="H25" s="100"/>
      <c r="I25" s="73">
        <f>SUM(I10:I24)</f>
        <v>-463855</v>
      </c>
      <c r="J25" s="100"/>
      <c r="K25" s="100"/>
      <c r="L25" s="100"/>
      <c r="M25" s="73">
        <f>SUM(M10:M24)</f>
        <v>219750905</v>
      </c>
      <c r="N25" s="100"/>
      <c r="O25" s="81">
        <f>'Gross Rev Conv. Factor Sch.'!N8</f>
        <v>18273669.207982767</v>
      </c>
      <c r="P25" s="100"/>
      <c r="Q25" s="101" t="s">
        <v>60</v>
      </c>
      <c r="R25" s="100"/>
      <c r="S25" s="75">
        <f>SUM(S10:S24)</f>
        <v>238024574.20798278</v>
      </c>
    </row>
    <row r="26" spans="2:19" ht="16.5" customHeight="1" thickTop="1" x14ac:dyDescent="0.25">
      <c r="G26" s="56"/>
      <c r="I26" s="56"/>
      <c r="M26" s="58"/>
      <c r="O26" s="61"/>
      <c r="S26" s="58"/>
    </row>
    <row r="27" spans="2:19" x14ac:dyDescent="0.25">
      <c r="B27" s="83" t="s">
        <v>51</v>
      </c>
      <c r="C27" s="84"/>
      <c r="D27" s="84"/>
      <c r="E27" s="85"/>
      <c r="G27" s="56"/>
      <c r="I27" s="56"/>
      <c r="M27" s="58"/>
      <c r="S27" s="58"/>
    </row>
    <row r="28" spans="2:19" x14ac:dyDescent="0.25">
      <c r="C28" t="s">
        <v>32</v>
      </c>
      <c r="G28" s="56">
        <v>246468</v>
      </c>
      <c r="I28" s="56">
        <v>24192</v>
      </c>
      <c r="K28" s="76" t="s">
        <v>140</v>
      </c>
      <c r="M28" s="58">
        <f t="shared" si="1"/>
        <v>270660</v>
      </c>
      <c r="S28" s="58">
        <f t="shared" si="0"/>
        <v>270660</v>
      </c>
    </row>
    <row r="29" spans="2:19" x14ac:dyDescent="0.25">
      <c r="C29" t="s">
        <v>185</v>
      </c>
      <c r="E29" s="148"/>
      <c r="G29" s="56">
        <v>222</v>
      </c>
      <c r="I29" s="56">
        <v>0</v>
      </c>
      <c r="K29" s="76" t="s">
        <v>140</v>
      </c>
      <c r="M29" s="58">
        <f t="shared" si="1"/>
        <v>222</v>
      </c>
      <c r="S29" s="58">
        <f t="shared" si="0"/>
        <v>222</v>
      </c>
    </row>
    <row r="30" spans="2:19" x14ac:dyDescent="0.25">
      <c r="C30" t="s">
        <v>134</v>
      </c>
      <c r="G30" s="68">
        <v>101156</v>
      </c>
      <c r="I30" s="68">
        <v>1387</v>
      </c>
      <c r="K30" s="76" t="s">
        <v>140</v>
      </c>
      <c r="M30" s="58">
        <f t="shared" si="1"/>
        <v>102543</v>
      </c>
      <c r="S30" s="58">
        <f t="shared" si="0"/>
        <v>102543</v>
      </c>
    </row>
    <row r="31" spans="2:19" x14ac:dyDescent="0.25">
      <c r="C31" t="s">
        <v>135</v>
      </c>
      <c r="G31" s="68">
        <v>310</v>
      </c>
      <c r="I31" s="68">
        <v>0</v>
      </c>
      <c r="K31" s="76" t="s">
        <v>140</v>
      </c>
      <c r="M31" s="58">
        <f t="shared" si="1"/>
        <v>310</v>
      </c>
      <c r="S31" s="58">
        <f t="shared" si="0"/>
        <v>310</v>
      </c>
    </row>
    <row r="32" spans="2:19" x14ac:dyDescent="0.25">
      <c r="C32" t="s">
        <v>139</v>
      </c>
      <c r="G32" s="68">
        <v>648630</v>
      </c>
      <c r="I32" s="68">
        <v>2849</v>
      </c>
      <c r="K32" s="76" t="s">
        <v>140</v>
      </c>
      <c r="M32" s="58">
        <f t="shared" si="1"/>
        <v>651479</v>
      </c>
      <c r="S32" s="58">
        <f t="shared" si="0"/>
        <v>651479</v>
      </c>
    </row>
    <row r="33" spans="2:19" x14ac:dyDescent="0.25">
      <c r="C33" t="s">
        <v>136</v>
      </c>
      <c r="G33" s="68">
        <v>829820</v>
      </c>
      <c r="I33" s="68">
        <v>100810</v>
      </c>
      <c r="K33" s="76" t="s">
        <v>140</v>
      </c>
      <c r="M33" s="58">
        <f t="shared" si="1"/>
        <v>930630</v>
      </c>
      <c r="S33" s="58">
        <f t="shared" si="0"/>
        <v>930630</v>
      </c>
    </row>
    <row r="34" spans="2:19" x14ac:dyDescent="0.25">
      <c r="C34" t="s">
        <v>137</v>
      </c>
      <c r="G34" s="68">
        <v>19560</v>
      </c>
      <c r="I34" s="68">
        <v>2198</v>
      </c>
      <c r="K34" s="76" t="s">
        <v>140</v>
      </c>
      <c r="M34" s="58">
        <f t="shared" si="1"/>
        <v>21758</v>
      </c>
      <c r="S34" s="58">
        <f t="shared" si="0"/>
        <v>21758</v>
      </c>
    </row>
    <row r="35" spans="2:19" x14ac:dyDescent="0.25">
      <c r="C35" t="s">
        <v>138</v>
      </c>
      <c r="E35" s="60"/>
      <c r="G35" s="68">
        <v>454329</v>
      </c>
      <c r="I35" s="68">
        <v>346</v>
      </c>
      <c r="K35" s="76" t="s">
        <v>140</v>
      </c>
      <c r="M35" s="77">
        <f t="shared" si="1"/>
        <v>454675</v>
      </c>
      <c r="S35" s="58">
        <f t="shared" si="0"/>
        <v>454675</v>
      </c>
    </row>
    <row r="36" spans="2:19" ht="15.75" thickBot="1" x14ac:dyDescent="0.3">
      <c r="C36" t="s">
        <v>157</v>
      </c>
      <c r="G36" s="75">
        <f>SUM(G28:G35)</f>
        <v>2300495</v>
      </c>
      <c r="H36" s="68"/>
      <c r="I36" s="75">
        <f>SUM(I28:I35)</f>
        <v>131782</v>
      </c>
      <c r="J36" s="68"/>
      <c r="K36" s="76"/>
      <c r="L36" s="68"/>
      <c r="M36" s="75">
        <f>SUM(M28:M35)</f>
        <v>2432277</v>
      </c>
      <c r="N36" s="68"/>
      <c r="O36" s="68"/>
      <c r="P36" s="68"/>
      <c r="Q36" s="68"/>
      <c r="R36" s="68"/>
      <c r="S36" s="75">
        <f>SUM(S28:S35)</f>
        <v>2432277</v>
      </c>
    </row>
    <row r="37" spans="2:19" ht="7.5" customHeight="1" thickTop="1" x14ac:dyDescent="0.25">
      <c r="G37" s="68"/>
      <c r="H37" s="68"/>
      <c r="I37" s="68"/>
      <c r="J37" s="68"/>
      <c r="K37" s="76"/>
      <c r="L37" s="68"/>
      <c r="M37" s="68"/>
      <c r="N37" s="68"/>
      <c r="O37" s="68"/>
      <c r="P37" s="68"/>
      <c r="Q37" s="68"/>
      <c r="R37" s="68"/>
      <c r="S37" s="68"/>
    </row>
    <row r="38" spans="2:19" ht="22.5" customHeight="1" thickBot="1" x14ac:dyDescent="0.3">
      <c r="D38" s="106" t="s">
        <v>155</v>
      </c>
      <c r="G38" s="57">
        <f>G25+G36</f>
        <v>222515255</v>
      </c>
      <c r="I38" s="57">
        <f>I25+I36</f>
        <v>-332073</v>
      </c>
      <c r="M38" s="59">
        <f>M25+M36</f>
        <v>222183182</v>
      </c>
      <c r="O38" s="80"/>
      <c r="S38" s="59">
        <f>S25+S36</f>
        <v>240456851.20798278</v>
      </c>
    </row>
    <row r="39" spans="2:19" ht="15.75" customHeight="1" thickTop="1" x14ac:dyDescent="0.25">
      <c r="G39" s="56"/>
      <c r="Q39" s="92"/>
    </row>
    <row r="40" spans="2:19" x14ac:dyDescent="0.25">
      <c r="B40" s="83" t="s">
        <v>52</v>
      </c>
      <c r="C40" s="84"/>
      <c r="D40" s="84"/>
      <c r="E40" s="85"/>
      <c r="G40" s="56"/>
    </row>
    <row r="41" spans="2:19" x14ac:dyDescent="0.25">
      <c r="C41" s="96" t="s">
        <v>30</v>
      </c>
      <c r="D41" s="60"/>
      <c r="E41" s="60"/>
      <c r="F41" s="60"/>
      <c r="G41" s="98">
        <v>378491</v>
      </c>
      <c r="I41" s="71">
        <v>120295</v>
      </c>
      <c r="K41" s="53" t="s">
        <v>68</v>
      </c>
      <c r="M41" s="58">
        <f>G41+I41</f>
        <v>498786</v>
      </c>
      <c r="S41" s="58">
        <f>M41+O41</f>
        <v>498786</v>
      </c>
    </row>
    <row r="42" spans="2:19" x14ac:dyDescent="0.25">
      <c r="C42" s="96" t="s">
        <v>93</v>
      </c>
      <c r="D42" s="60"/>
      <c r="E42" s="60"/>
      <c r="F42" s="60"/>
      <c r="G42" s="98">
        <v>7174327</v>
      </c>
      <c r="I42" s="71">
        <v>84212</v>
      </c>
      <c r="K42" s="53" t="s">
        <v>69</v>
      </c>
      <c r="M42" s="58">
        <f t="shared" ref="M42:M88" si="2">G42+I42</f>
        <v>7258539</v>
      </c>
      <c r="O42" s="91"/>
      <c r="S42" s="58">
        <f>M42+O42</f>
        <v>7258539</v>
      </c>
    </row>
    <row r="43" spans="2:19" x14ac:dyDescent="0.25">
      <c r="C43" s="96" t="s">
        <v>31</v>
      </c>
      <c r="D43" s="60"/>
      <c r="E43" s="60"/>
      <c r="F43" s="60"/>
      <c r="G43" s="98">
        <v>1553688</v>
      </c>
      <c r="I43" s="71">
        <v>404827</v>
      </c>
      <c r="K43" s="53" t="s">
        <v>70</v>
      </c>
      <c r="M43" s="58">
        <f t="shared" si="2"/>
        <v>1958515</v>
      </c>
      <c r="S43" s="58">
        <f t="shared" ref="S43:S88" si="3">M43+O43</f>
        <v>1958515</v>
      </c>
    </row>
    <row r="44" spans="2:19" x14ac:dyDescent="0.25">
      <c r="C44" s="96" t="s">
        <v>94</v>
      </c>
      <c r="D44" s="60"/>
      <c r="E44" s="60"/>
      <c r="F44" s="60"/>
      <c r="G44" s="98">
        <v>1222370</v>
      </c>
      <c r="I44" s="71">
        <v>328879</v>
      </c>
      <c r="K44" s="53" t="s">
        <v>71</v>
      </c>
      <c r="M44" s="58">
        <f t="shared" si="2"/>
        <v>1551249</v>
      </c>
      <c r="S44" s="58">
        <f t="shared" si="3"/>
        <v>1551249</v>
      </c>
    </row>
    <row r="45" spans="2:19" x14ac:dyDescent="0.25">
      <c r="C45" s="96" t="s">
        <v>28</v>
      </c>
      <c r="D45" s="60"/>
      <c r="E45" s="60"/>
      <c r="F45" s="60"/>
      <c r="G45" s="98">
        <v>15699420</v>
      </c>
      <c r="H45" s="60"/>
      <c r="I45" s="71">
        <v>3428771</v>
      </c>
      <c r="K45" s="53" t="s">
        <v>72</v>
      </c>
      <c r="M45" s="58">
        <f t="shared" si="2"/>
        <v>19128191</v>
      </c>
      <c r="S45" s="58">
        <f t="shared" si="3"/>
        <v>19128191</v>
      </c>
    </row>
    <row r="46" spans="2:19" x14ac:dyDescent="0.25">
      <c r="C46" s="96" t="s">
        <v>95</v>
      </c>
      <c r="D46" s="60"/>
      <c r="E46" s="60"/>
      <c r="F46" s="60"/>
      <c r="G46" s="98">
        <v>1846048</v>
      </c>
      <c r="I46" s="71">
        <v>-738055</v>
      </c>
      <c r="K46" s="53" t="s">
        <v>73</v>
      </c>
      <c r="M46" s="58">
        <f t="shared" si="2"/>
        <v>1107993</v>
      </c>
      <c r="S46" s="58">
        <f t="shared" si="3"/>
        <v>1107993</v>
      </c>
    </row>
    <row r="47" spans="2:19" x14ac:dyDescent="0.25">
      <c r="C47" s="97" t="s">
        <v>96</v>
      </c>
      <c r="D47" s="60"/>
      <c r="E47" s="60"/>
      <c r="F47" s="60"/>
      <c r="G47" s="98">
        <v>255343</v>
      </c>
      <c r="I47" s="71">
        <v>184769</v>
      </c>
      <c r="K47" s="53" t="s">
        <v>74</v>
      </c>
      <c r="M47" s="58">
        <f t="shared" si="2"/>
        <v>440112</v>
      </c>
      <c r="S47" s="58">
        <f t="shared" si="3"/>
        <v>440112</v>
      </c>
    </row>
    <row r="48" spans="2:19" x14ac:dyDescent="0.25">
      <c r="C48" s="96" t="s">
        <v>97</v>
      </c>
      <c r="D48" s="60"/>
      <c r="E48" s="60"/>
      <c r="F48" s="60"/>
      <c r="G48" s="98">
        <v>3207748</v>
      </c>
      <c r="I48" s="71">
        <v>707174</v>
      </c>
      <c r="K48" s="53" t="s">
        <v>75</v>
      </c>
      <c r="M48" s="58">
        <f t="shared" si="2"/>
        <v>3914922</v>
      </c>
      <c r="S48" s="58">
        <f t="shared" si="3"/>
        <v>3914922</v>
      </c>
    </row>
    <row r="49" spans="3:19" x14ac:dyDescent="0.25">
      <c r="C49" s="96" t="s">
        <v>29</v>
      </c>
      <c r="D49" s="60"/>
      <c r="E49" s="60"/>
      <c r="F49" s="60"/>
      <c r="G49" s="98">
        <v>1101551</v>
      </c>
      <c r="I49" s="71">
        <v>309908</v>
      </c>
      <c r="K49" s="53" t="s">
        <v>76</v>
      </c>
      <c r="M49" s="58">
        <f t="shared" si="2"/>
        <v>1411459</v>
      </c>
      <c r="S49" s="58">
        <f t="shared" si="3"/>
        <v>1411459</v>
      </c>
    </row>
    <row r="50" spans="3:19" x14ac:dyDescent="0.25">
      <c r="C50" s="96" t="s">
        <v>98</v>
      </c>
      <c r="D50" s="60"/>
      <c r="E50" s="60"/>
      <c r="F50" s="60"/>
      <c r="G50" s="98">
        <v>19006297</v>
      </c>
      <c r="I50" s="71">
        <v>1187247</v>
      </c>
      <c r="K50" s="53" t="s">
        <v>77</v>
      </c>
      <c r="M50" s="58">
        <f t="shared" si="2"/>
        <v>20193544</v>
      </c>
      <c r="S50" s="58">
        <f t="shared" si="3"/>
        <v>20193544</v>
      </c>
    </row>
    <row r="51" spans="3:19" x14ac:dyDescent="0.25">
      <c r="C51" s="96" t="s">
        <v>99</v>
      </c>
      <c r="D51" s="60"/>
      <c r="E51" s="60"/>
      <c r="F51" s="60"/>
      <c r="G51" s="98">
        <v>1420029</v>
      </c>
      <c r="I51" s="71">
        <v>1004436</v>
      </c>
      <c r="K51" s="53" t="s">
        <v>78</v>
      </c>
      <c r="M51" s="58">
        <f t="shared" si="2"/>
        <v>2424465</v>
      </c>
      <c r="S51" s="58">
        <f t="shared" si="3"/>
        <v>2424465</v>
      </c>
    </row>
    <row r="52" spans="3:19" x14ac:dyDescent="0.25">
      <c r="C52" s="96" t="s">
        <v>100</v>
      </c>
      <c r="D52" s="60"/>
      <c r="E52" s="60"/>
      <c r="F52" s="60"/>
      <c r="G52" s="98">
        <v>1054748</v>
      </c>
      <c r="I52" s="71">
        <v>53545</v>
      </c>
      <c r="K52" s="53" t="s">
        <v>79</v>
      </c>
      <c r="M52" s="58">
        <f t="shared" si="2"/>
        <v>1108293</v>
      </c>
      <c r="S52" s="58">
        <f t="shared" si="3"/>
        <v>1108293</v>
      </c>
    </row>
    <row r="53" spans="3:19" x14ac:dyDescent="0.25">
      <c r="C53" s="96" t="s">
        <v>101</v>
      </c>
      <c r="D53" s="60"/>
      <c r="E53" s="60"/>
      <c r="F53" s="60"/>
      <c r="G53" s="98">
        <v>815801</v>
      </c>
      <c r="I53" s="71">
        <v>41415</v>
      </c>
      <c r="K53" s="53" t="s">
        <v>80</v>
      </c>
      <c r="M53" s="58">
        <f t="shared" si="2"/>
        <v>857216</v>
      </c>
      <c r="S53" s="58">
        <f t="shared" si="3"/>
        <v>857216</v>
      </c>
    </row>
    <row r="54" spans="3:19" x14ac:dyDescent="0.25">
      <c r="C54" s="96" t="s">
        <v>102</v>
      </c>
      <c r="D54" s="60"/>
      <c r="E54" s="60"/>
      <c r="F54" s="60"/>
      <c r="G54" s="98">
        <v>44817</v>
      </c>
      <c r="I54" s="71">
        <v>3664</v>
      </c>
      <c r="K54" s="53" t="s">
        <v>81</v>
      </c>
      <c r="M54" s="58">
        <f t="shared" si="2"/>
        <v>48481</v>
      </c>
      <c r="O54" s="78"/>
      <c r="S54" s="58">
        <f t="shared" si="3"/>
        <v>48481</v>
      </c>
    </row>
    <row r="55" spans="3:19" x14ac:dyDescent="0.25">
      <c r="C55" s="96" t="s">
        <v>103</v>
      </c>
      <c r="D55" s="60"/>
      <c r="E55" s="60"/>
      <c r="F55" s="60"/>
      <c r="G55" s="98">
        <v>544624</v>
      </c>
      <c r="I55" s="71">
        <v>102076</v>
      </c>
      <c r="K55" s="53" t="s">
        <v>82</v>
      </c>
      <c r="M55" s="58">
        <f t="shared" si="2"/>
        <v>646700</v>
      </c>
      <c r="S55" s="58">
        <f t="shared" si="3"/>
        <v>646700</v>
      </c>
    </row>
    <row r="56" spans="3:19" x14ac:dyDescent="0.25">
      <c r="C56" s="96" t="s">
        <v>104</v>
      </c>
      <c r="D56" s="60"/>
      <c r="E56" s="60"/>
      <c r="F56" s="60"/>
      <c r="G56" s="98">
        <v>100687</v>
      </c>
      <c r="I56" s="71">
        <v>-29186</v>
      </c>
      <c r="K56" s="53" t="s">
        <v>83</v>
      </c>
      <c r="M56" s="58">
        <f t="shared" si="2"/>
        <v>71501</v>
      </c>
      <c r="O56" s="78"/>
      <c r="S56" s="58">
        <f t="shared" si="3"/>
        <v>71501</v>
      </c>
    </row>
    <row r="57" spans="3:19" x14ac:dyDescent="0.25">
      <c r="C57" s="96" t="s">
        <v>105</v>
      </c>
      <c r="D57" s="60"/>
      <c r="E57" s="60"/>
      <c r="F57" s="60"/>
      <c r="G57" s="98">
        <v>407334</v>
      </c>
      <c r="I57" s="71">
        <v>20694</v>
      </c>
      <c r="K57" s="53" t="s">
        <v>84</v>
      </c>
      <c r="M57" s="58">
        <f t="shared" si="2"/>
        <v>428028</v>
      </c>
      <c r="O57" s="78"/>
      <c r="S57" s="58">
        <f t="shared" si="3"/>
        <v>428028</v>
      </c>
    </row>
    <row r="58" spans="3:19" x14ac:dyDescent="0.25">
      <c r="C58" s="96" t="s">
        <v>106</v>
      </c>
      <c r="D58" s="60"/>
      <c r="E58" s="60"/>
      <c r="F58" s="60"/>
      <c r="G58" s="98">
        <v>2522710</v>
      </c>
      <c r="I58" s="71">
        <v>229128</v>
      </c>
      <c r="K58" s="53" t="s">
        <v>85</v>
      </c>
      <c r="M58" s="58">
        <f t="shared" si="2"/>
        <v>2751838</v>
      </c>
      <c r="O58" s="78"/>
      <c r="S58" s="58">
        <f t="shared" si="3"/>
        <v>2751838</v>
      </c>
    </row>
    <row r="59" spans="3:19" x14ac:dyDescent="0.25">
      <c r="C59" s="96" t="s">
        <v>32</v>
      </c>
      <c r="D59" s="60"/>
      <c r="E59" s="60"/>
      <c r="F59" s="60"/>
      <c r="G59" s="98">
        <v>569514</v>
      </c>
      <c r="I59" s="71">
        <v>-194429</v>
      </c>
      <c r="K59" s="53" t="s">
        <v>86</v>
      </c>
      <c r="M59" s="58">
        <f t="shared" si="2"/>
        <v>375085</v>
      </c>
      <c r="S59" s="58">
        <f t="shared" si="3"/>
        <v>375085</v>
      </c>
    </row>
    <row r="60" spans="3:19" x14ac:dyDescent="0.25">
      <c r="C60" s="96" t="s">
        <v>33</v>
      </c>
      <c r="G60" s="98">
        <v>921565</v>
      </c>
      <c r="I60" s="71">
        <v>-6628</v>
      </c>
      <c r="K60" s="53" t="s">
        <v>87</v>
      </c>
      <c r="M60" s="58">
        <f t="shared" si="2"/>
        <v>914937</v>
      </c>
      <c r="S60" s="58">
        <f t="shared" si="3"/>
        <v>914937</v>
      </c>
    </row>
    <row r="61" spans="3:19" x14ac:dyDescent="0.25">
      <c r="C61" s="96" t="s">
        <v>124</v>
      </c>
      <c r="G61" s="98">
        <v>2317269</v>
      </c>
      <c r="I61" s="71">
        <v>-58183</v>
      </c>
      <c r="K61" s="53" t="s">
        <v>88</v>
      </c>
      <c r="M61" s="58">
        <f t="shared" si="2"/>
        <v>2259086</v>
      </c>
      <c r="O61" s="107">
        <f>'Gross Rev Conv. Factor Sch.'!N9</f>
        <v>185806.66850676876</v>
      </c>
      <c r="Q61" s="53" t="s">
        <v>61</v>
      </c>
      <c r="S61" s="58">
        <f t="shared" si="3"/>
        <v>2444892.6685067685</v>
      </c>
    </row>
    <row r="62" spans="3:19" x14ac:dyDescent="0.25">
      <c r="C62" s="96" t="s">
        <v>107</v>
      </c>
      <c r="G62" s="98">
        <v>2849836</v>
      </c>
      <c r="I62" s="71">
        <v>1164204</v>
      </c>
      <c r="K62" s="53" t="s">
        <v>89</v>
      </c>
      <c r="M62" s="58">
        <f t="shared" si="2"/>
        <v>4014040</v>
      </c>
      <c r="S62" s="58">
        <f t="shared" si="3"/>
        <v>4014040</v>
      </c>
    </row>
    <row r="63" spans="3:19" x14ac:dyDescent="0.25">
      <c r="C63" s="96" t="s">
        <v>108</v>
      </c>
      <c r="G63" s="98">
        <v>387854</v>
      </c>
      <c r="I63" s="71">
        <v>337967</v>
      </c>
      <c r="K63" s="53" t="s">
        <v>90</v>
      </c>
      <c r="M63" s="58">
        <f t="shared" si="2"/>
        <v>725821</v>
      </c>
      <c r="S63" s="58">
        <f t="shared" si="3"/>
        <v>725821</v>
      </c>
    </row>
    <row r="64" spans="3:19" x14ac:dyDescent="0.25">
      <c r="C64" s="96" t="s">
        <v>109</v>
      </c>
      <c r="G64" s="98">
        <v>1746379</v>
      </c>
      <c r="I64" s="71">
        <v>428783</v>
      </c>
      <c r="K64" s="53" t="s">
        <v>91</v>
      </c>
      <c r="M64" s="58">
        <f t="shared" si="2"/>
        <v>2175162</v>
      </c>
      <c r="S64" s="58">
        <f t="shared" si="3"/>
        <v>2175162</v>
      </c>
    </row>
    <row r="65" spans="2:19" x14ac:dyDescent="0.25">
      <c r="C65" s="96" t="s">
        <v>110</v>
      </c>
      <c r="G65" s="99">
        <v>5928101</v>
      </c>
      <c r="I65" s="71">
        <v>453539</v>
      </c>
      <c r="K65" s="53" t="s">
        <v>92</v>
      </c>
      <c r="M65" s="58">
        <f t="shared" si="2"/>
        <v>6381640</v>
      </c>
      <c r="S65" s="58">
        <f t="shared" si="3"/>
        <v>6381640</v>
      </c>
    </row>
    <row r="66" spans="2:19" ht="15.75" thickBot="1" x14ac:dyDescent="0.3">
      <c r="D66" t="s">
        <v>57</v>
      </c>
      <c r="G66" s="75">
        <f>SUM(G41:G65)</f>
        <v>73076551</v>
      </c>
      <c r="I66" s="75">
        <f>SUM(I41:I65)</f>
        <v>9569052</v>
      </c>
      <c r="J66" s="68"/>
      <c r="K66" s="68"/>
      <c r="L66" s="68"/>
      <c r="M66" s="75">
        <f>SUM(M41:M65)</f>
        <v>82645603</v>
      </c>
      <c r="N66" s="68"/>
      <c r="O66" s="73">
        <f>SUM(O41:O65)</f>
        <v>185806.66850676876</v>
      </c>
      <c r="P66" s="68"/>
      <c r="Q66" s="68"/>
      <c r="R66" s="68"/>
      <c r="S66" s="73">
        <f>SUM(S41:S65)</f>
        <v>82831409.668506771</v>
      </c>
    </row>
    <row r="67" spans="2:19" ht="15.75" thickTop="1" x14ac:dyDescent="0.25">
      <c r="G67" s="56"/>
      <c r="I67" s="56"/>
      <c r="M67" s="58"/>
      <c r="S67" s="58"/>
    </row>
    <row r="68" spans="2:19" x14ac:dyDescent="0.25">
      <c r="B68" s="83" t="s">
        <v>56</v>
      </c>
      <c r="C68" s="84"/>
      <c r="D68" s="84"/>
      <c r="E68" s="85"/>
      <c r="G68" s="56"/>
      <c r="I68" s="56"/>
      <c r="M68" s="58"/>
      <c r="S68" s="58"/>
    </row>
    <row r="69" spans="2:19" x14ac:dyDescent="0.25">
      <c r="C69" t="s">
        <v>34</v>
      </c>
      <c r="G69" s="56">
        <v>48054562</v>
      </c>
      <c r="I69" s="71">
        <v>67805</v>
      </c>
      <c r="K69" s="53" t="s">
        <v>111</v>
      </c>
      <c r="M69" s="58">
        <f t="shared" si="2"/>
        <v>48122367</v>
      </c>
      <c r="S69" s="58">
        <f t="shared" si="3"/>
        <v>48122367</v>
      </c>
    </row>
    <row r="70" spans="2:19" x14ac:dyDescent="0.25">
      <c r="C70" t="s">
        <v>35</v>
      </c>
      <c r="G70" s="71">
        <v>535287</v>
      </c>
      <c r="H70" s="60"/>
      <c r="I70" s="71">
        <v>77412</v>
      </c>
      <c r="K70" s="53" t="s">
        <v>112</v>
      </c>
      <c r="M70" s="58">
        <f t="shared" si="2"/>
        <v>612699</v>
      </c>
      <c r="S70" s="58">
        <f t="shared" si="3"/>
        <v>612699</v>
      </c>
    </row>
    <row r="71" spans="2:19" ht="15.75" thickBot="1" x14ac:dyDescent="0.3">
      <c r="C71" t="s">
        <v>118</v>
      </c>
      <c r="G71" s="73">
        <f>SUM(G69:G70)</f>
        <v>48589849</v>
      </c>
      <c r="H71" s="60"/>
      <c r="I71" s="73">
        <f>SUM(I69:I70)</f>
        <v>145217</v>
      </c>
      <c r="J71" s="60"/>
      <c r="K71" s="76"/>
      <c r="L71" s="60"/>
      <c r="M71" s="79">
        <f>SUM(M69:M70)</f>
        <v>48735066</v>
      </c>
      <c r="S71" s="74">
        <f>SUM(S69:S70)</f>
        <v>48735066</v>
      </c>
    </row>
    <row r="72" spans="2:19" ht="15.75" thickTop="1" x14ac:dyDescent="0.25">
      <c r="G72" s="71"/>
      <c r="H72" s="60"/>
      <c r="I72" s="71"/>
      <c r="M72" s="58"/>
      <c r="S72" s="58"/>
    </row>
    <row r="73" spans="2:19" x14ac:dyDescent="0.25">
      <c r="B73" s="83" t="s">
        <v>36</v>
      </c>
      <c r="C73" s="84"/>
      <c r="D73" s="84"/>
      <c r="E73" s="85"/>
      <c r="G73" s="56"/>
      <c r="I73" s="56"/>
      <c r="M73" s="58"/>
      <c r="S73" s="58"/>
    </row>
    <row r="74" spans="2:19" x14ac:dyDescent="0.25">
      <c r="C74" s="60" t="s">
        <v>119</v>
      </c>
      <c r="D74" s="60"/>
      <c r="E74" s="60"/>
      <c r="G74" s="71">
        <v>11064293</v>
      </c>
      <c r="H74" s="60"/>
      <c r="I74" s="71">
        <v>1282630</v>
      </c>
      <c r="K74" s="53" t="s">
        <v>113</v>
      </c>
      <c r="M74" s="58">
        <f t="shared" si="2"/>
        <v>12346923</v>
      </c>
      <c r="S74" s="58">
        <f t="shared" si="3"/>
        <v>12346923</v>
      </c>
    </row>
    <row r="75" spans="2:19" x14ac:dyDescent="0.25">
      <c r="C75" s="60" t="s">
        <v>120</v>
      </c>
      <c r="D75" s="60"/>
      <c r="E75" s="60"/>
      <c r="G75" s="71">
        <v>1175248</v>
      </c>
      <c r="H75" s="60"/>
      <c r="I75" s="71">
        <v>296050</v>
      </c>
      <c r="K75" s="53" t="s">
        <v>114</v>
      </c>
      <c r="M75" s="58">
        <f t="shared" si="2"/>
        <v>1471298</v>
      </c>
      <c r="S75" s="58">
        <f t="shared" si="3"/>
        <v>1471298</v>
      </c>
    </row>
    <row r="76" spans="2:19" x14ac:dyDescent="0.25">
      <c r="C76" s="60" t="s">
        <v>121</v>
      </c>
      <c r="D76" s="60"/>
      <c r="E76" s="60"/>
      <c r="G76" s="71">
        <v>290872</v>
      </c>
      <c r="H76" s="60"/>
      <c r="I76" s="71">
        <v>10848</v>
      </c>
      <c r="K76" s="53" t="s">
        <v>115</v>
      </c>
      <c r="M76" s="58">
        <f t="shared" si="2"/>
        <v>301720</v>
      </c>
      <c r="O76" s="78"/>
      <c r="S76" s="58">
        <f t="shared" si="3"/>
        <v>301720</v>
      </c>
    </row>
    <row r="77" spans="2:19" x14ac:dyDescent="0.25">
      <c r="C77" s="60" t="s">
        <v>122</v>
      </c>
      <c r="D77" s="60"/>
      <c r="E77" s="60"/>
      <c r="G77" s="56">
        <v>2910439</v>
      </c>
      <c r="I77" s="71">
        <v>14841</v>
      </c>
      <c r="K77" s="53" t="s">
        <v>116</v>
      </c>
      <c r="M77" s="58">
        <f t="shared" si="2"/>
        <v>2925280</v>
      </c>
      <c r="O77" s="107">
        <f>'Gross Rev Conv. Factor Sch.'!N14</f>
        <v>240408.39210022127</v>
      </c>
      <c r="Q77" s="53" t="s">
        <v>61</v>
      </c>
      <c r="S77" s="58">
        <f t="shared" si="3"/>
        <v>3165688.3921002215</v>
      </c>
    </row>
    <row r="78" spans="2:19" x14ac:dyDescent="0.25">
      <c r="C78" s="60" t="s">
        <v>123</v>
      </c>
      <c r="D78" s="60"/>
      <c r="E78" s="60"/>
      <c r="G78" s="56">
        <v>241758</v>
      </c>
      <c r="I78" s="71">
        <v>32783</v>
      </c>
      <c r="K78" s="53" t="s">
        <v>117</v>
      </c>
      <c r="M78" s="58">
        <f t="shared" si="2"/>
        <v>274541</v>
      </c>
      <c r="O78" s="107">
        <f>'Gross Rev Conv. Factor Sch.'!N11</f>
        <v>24208.45155344643</v>
      </c>
      <c r="Q78" s="53" t="s">
        <v>61</v>
      </c>
      <c r="S78" s="58">
        <f t="shared" si="3"/>
        <v>298749.45155344642</v>
      </c>
    </row>
    <row r="79" spans="2:19" ht="15.75" thickBot="1" x14ac:dyDescent="0.3">
      <c r="C79" t="s">
        <v>154</v>
      </c>
      <c r="G79" s="75">
        <f>SUM(G74:G78)</f>
        <v>15682610</v>
      </c>
      <c r="H79" s="56"/>
      <c r="I79" s="75">
        <f>SUM(I74:I78)</f>
        <v>1637152</v>
      </c>
      <c r="J79" s="56"/>
      <c r="K79" s="56"/>
      <c r="L79" s="56"/>
      <c r="M79" s="75">
        <f>SUM(M74:M78)</f>
        <v>17319762</v>
      </c>
      <c r="N79" s="56"/>
      <c r="O79" s="75">
        <f>SUM(O74:O78)</f>
        <v>264616.84365366772</v>
      </c>
      <c r="P79" s="56"/>
      <c r="Q79" s="56"/>
      <c r="R79" s="56"/>
      <c r="S79" s="75">
        <f>SUM(S74:S78)</f>
        <v>17584378.843653668</v>
      </c>
    </row>
    <row r="80" spans="2:19" ht="15.75" thickTop="1" x14ac:dyDescent="0.25">
      <c r="G80" s="56"/>
      <c r="I80" s="71"/>
      <c r="J80" s="60"/>
      <c r="K80" s="76"/>
      <c r="L80" s="60"/>
      <c r="M80" s="77"/>
      <c r="N80" s="60"/>
      <c r="O80" s="78"/>
      <c r="P80" s="60"/>
      <c r="Q80" s="76"/>
      <c r="S80" s="58"/>
    </row>
    <row r="81" spans="2:20" x14ac:dyDescent="0.25">
      <c r="B81" s="83" t="s">
        <v>37</v>
      </c>
      <c r="C81" s="84"/>
      <c r="D81" s="84"/>
      <c r="E81" s="85"/>
      <c r="G81" s="56"/>
      <c r="I81" s="56"/>
      <c r="K81" s="110"/>
      <c r="M81" s="58"/>
      <c r="S81" s="58"/>
    </row>
    <row r="82" spans="2:20" x14ac:dyDescent="0.25">
      <c r="C82" s="60" t="s">
        <v>125</v>
      </c>
      <c r="D82" s="60"/>
      <c r="E82" s="60"/>
      <c r="F82" s="60"/>
      <c r="G82" s="71"/>
      <c r="H82" s="60"/>
      <c r="I82" s="71"/>
      <c r="M82" s="58"/>
      <c r="S82" s="58"/>
    </row>
    <row r="83" spans="2:20" x14ac:dyDescent="0.25">
      <c r="C83" s="60" t="s">
        <v>126</v>
      </c>
      <c r="D83" s="60"/>
      <c r="E83" s="60"/>
      <c r="F83" s="60"/>
      <c r="G83" s="71">
        <v>2908627</v>
      </c>
      <c r="H83" s="60"/>
      <c r="I83" s="71">
        <v>-721527</v>
      </c>
      <c r="K83" s="53" t="s">
        <v>132</v>
      </c>
      <c r="M83" s="58">
        <f t="shared" si="2"/>
        <v>2187100</v>
      </c>
      <c r="O83" s="107">
        <f>'Gross Rev Conv. Factor Sch.'!N13</f>
        <v>1001013.325544088</v>
      </c>
      <c r="Q83" s="53" t="s">
        <v>61</v>
      </c>
      <c r="S83" s="58">
        <f>M83+O83</f>
        <v>3188113.3255440881</v>
      </c>
    </row>
    <row r="84" spans="2:20" x14ac:dyDescent="0.25">
      <c r="C84" s="60" t="s">
        <v>127</v>
      </c>
      <c r="D84" s="60"/>
      <c r="E84" s="60"/>
      <c r="F84" s="60"/>
      <c r="G84" s="71">
        <v>1269161</v>
      </c>
      <c r="H84" s="60"/>
      <c r="I84" s="71">
        <v>0</v>
      </c>
      <c r="J84" s="60"/>
      <c r="K84" s="76" t="s">
        <v>132</v>
      </c>
      <c r="M84" s="58">
        <f t="shared" si="2"/>
        <v>1269161</v>
      </c>
      <c r="S84" s="58">
        <f t="shared" si="3"/>
        <v>1269161</v>
      </c>
    </row>
    <row r="85" spans="2:20" x14ac:dyDescent="0.25">
      <c r="C85" s="60" t="s">
        <v>128</v>
      </c>
      <c r="D85" s="60"/>
      <c r="E85" s="60"/>
      <c r="F85" s="60"/>
      <c r="G85" s="71"/>
      <c r="H85" s="60"/>
      <c r="I85" s="71"/>
      <c r="J85" s="60"/>
      <c r="K85" s="76"/>
      <c r="M85" s="58"/>
      <c r="S85" s="58"/>
    </row>
    <row r="86" spans="2:20" x14ac:dyDescent="0.25">
      <c r="C86" s="60" t="s">
        <v>129</v>
      </c>
      <c r="D86" s="60"/>
      <c r="E86" s="60"/>
      <c r="F86" s="60"/>
      <c r="G86" s="71">
        <v>10248509</v>
      </c>
      <c r="H86" s="60"/>
      <c r="I86" s="71">
        <v>-10476652</v>
      </c>
      <c r="J86" s="60"/>
      <c r="K86" s="76" t="s">
        <v>132</v>
      </c>
      <c r="M86" s="58">
        <f t="shared" si="2"/>
        <v>-228143</v>
      </c>
      <c r="O86" s="107">
        <f>'Gross Rev Conv. Factor Sch.'!N16</f>
        <v>3532665.7312872284</v>
      </c>
      <c r="Q86" s="53" t="s">
        <v>61</v>
      </c>
      <c r="S86" s="58">
        <f t="shared" si="3"/>
        <v>3304522.7312872284</v>
      </c>
    </row>
    <row r="87" spans="2:20" x14ac:dyDescent="0.25">
      <c r="C87" s="60" t="s">
        <v>130</v>
      </c>
      <c r="D87" s="60"/>
      <c r="E87" s="60"/>
      <c r="F87" s="60"/>
      <c r="G87" s="71">
        <v>11423608</v>
      </c>
      <c r="H87" s="60"/>
      <c r="I87" s="71">
        <v>0</v>
      </c>
      <c r="J87" s="60"/>
      <c r="K87" s="76" t="s">
        <v>132</v>
      </c>
      <c r="M87" s="58">
        <f t="shared" si="2"/>
        <v>11423608</v>
      </c>
      <c r="S87" s="58">
        <f t="shared" si="3"/>
        <v>11423608</v>
      </c>
    </row>
    <row r="88" spans="2:20" x14ac:dyDescent="0.25">
      <c r="C88" s="60" t="s">
        <v>131</v>
      </c>
      <c r="D88" s="60"/>
      <c r="E88" s="60"/>
      <c r="F88" s="60"/>
      <c r="G88" s="71">
        <v>-37008</v>
      </c>
      <c r="H88" s="60"/>
      <c r="I88" s="71">
        <v>0</v>
      </c>
      <c r="J88" s="60"/>
      <c r="K88" s="76" t="s">
        <v>132</v>
      </c>
      <c r="M88" s="58">
        <f t="shared" si="2"/>
        <v>-37008</v>
      </c>
      <c r="S88" s="58">
        <f t="shared" si="3"/>
        <v>-37008</v>
      </c>
    </row>
    <row r="89" spans="2:20" ht="15.75" thickBot="1" x14ac:dyDescent="0.3">
      <c r="C89" t="s">
        <v>153</v>
      </c>
      <c r="G89" s="75">
        <f>SUM(G82:G88)</f>
        <v>25812897</v>
      </c>
      <c r="H89" s="56"/>
      <c r="I89" s="75">
        <f>SUM(I82:I88)</f>
        <v>-11198179</v>
      </c>
      <c r="J89" s="56"/>
      <c r="K89" s="56"/>
      <c r="L89" s="56"/>
      <c r="M89" s="75">
        <f>SUM(M82:M88)</f>
        <v>14614718</v>
      </c>
      <c r="N89" s="56"/>
      <c r="O89" s="75">
        <f>SUM(O83:O88)</f>
        <v>4533679.0568313161</v>
      </c>
      <c r="P89" s="56"/>
      <c r="Q89" s="56"/>
      <c r="R89" s="56"/>
      <c r="S89" s="75">
        <f>SUM(S82:S88)</f>
        <v>19148397.056831315</v>
      </c>
    </row>
    <row r="90" spans="2:20" ht="15.75" thickTop="1" x14ac:dyDescent="0.25">
      <c r="G90" s="56"/>
      <c r="I90" s="56"/>
      <c r="M90" s="58"/>
      <c r="S90" s="58"/>
    </row>
    <row r="91" spans="2:20" x14ac:dyDescent="0.25">
      <c r="B91" s="69" t="s">
        <v>38</v>
      </c>
      <c r="C91" s="60"/>
      <c r="D91" s="60"/>
      <c r="E91" s="60"/>
      <c r="F91" s="60"/>
      <c r="G91" s="72">
        <f>G66+G71+G79+G89</f>
        <v>163161907</v>
      </c>
      <c r="H91" s="60"/>
      <c r="I91" s="72">
        <f>I66+I71+I79+I89</f>
        <v>153242</v>
      </c>
      <c r="J91" s="60"/>
      <c r="K91" s="76"/>
      <c r="L91" s="60"/>
      <c r="M91" s="102">
        <f>M66+M71+M79+M89</f>
        <v>163315149</v>
      </c>
      <c r="N91" s="60"/>
      <c r="O91" s="72">
        <f>O66+O79+O89</f>
        <v>4984102.5689917523</v>
      </c>
      <c r="P91" s="60"/>
      <c r="Q91" s="76"/>
      <c r="R91" s="60"/>
      <c r="S91" s="102">
        <f>S66+S71+S79+S89</f>
        <v>168299251.56899178</v>
      </c>
      <c r="T91" s="58"/>
    </row>
    <row r="92" spans="2:20" x14ac:dyDescent="0.25">
      <c r="B92" s="60"/>
      <c r="C92" s="60"/>
      <c r="D92" s="60"/>
      <c r="E92" s="60"/>
      <c r="F92" s="60"/>
      <c r="G92" s="71"/>
      <c r="H92" s="60"/>
      <c r="I92" s="60"/>
      <c r="J92" s="60"/>
      <c r="K92" s="76"/>
      <c r="L92" s="60"/>
      <c r="M92" s="60"/>
      <c r="N92" s="60"/>
      <c r="O92" s="60"/>
      <c r="P92" s="60"/>
      <c r="Q92" s="76"/>
      <c r="R92" s="60"/>
      <c r="S92" s="60"/>
    </row>
    <row r="93" spans="2:20" ht="15.75" thickBot="1" x14ac:dyDescent="0.3">
      <c r="B93" s="69" t="s">
        <v>39</v>
      </c>
      <c r="C93" s="60"/>
      <c r="D93" s="60"/>
      <c r="E93" s="60"/>
      <c r="F93" s="60"/>
      <c r="G93" s="104">
        <f>G38-G91</f>
        <v>59353348</v>
      </c>
      <c r="H93" s="60"/>
      <c r="I93" s="104">
        <f>I38-I91</f>
        <v>-485315</v>
      </c>
      <c r="J93" s="60"/>
      <c r="K93" s="76"/>
      <c r="L93" s="60"/>
      <c r="M93" s="105">
        <f>M38-M91</f>
        <v>58868033</v>
      </c>
      <c r="O93" s="108">
        <f>O25-O91</f>
        <v>13289566.638991015</v>
      </c>
      <c r="P93" s="60"/>
      <c r="Q93" s="76" t="s">
        <v>59</v>
      </c>
      <c r="R93" s="60"/>
      <c r="S93" s="104">
        <f>S38-S91</f>
        <v>72157599.638990998</v>
      </c>
      <c r="T93" s="58"/>
    </row>
    <row r="94" spans="2:20" ht="15.75" thickTop="1" x14ac:dyDescent="0.25">
      <c r="G94" s="56"/>
    </row>
    <row r="95" spans="2:20" x14ac:dyDescent="0.25">
      <c r="M95" s="58"/>
    </row>
  </sheetData>
  <pageMargins left="0.7" right="0.7" top="0.75" bottom="0.75" header="0.3" footer="0.3"/>
  <pageSetup scale="4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Sch. 1 Revenue Requirements</vt:lpstr>
      <vt:lpstr>Gross Rev Conv. Factor Sch.</vt:lpstr>
      <vt:lpstr>Sch. 4 NOI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2021-10-20T13:23:52Z</dcterms:modified>
</cp:coreProperties>
</file>