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24226"/>
  <mc:AlternateContent xmlns:mc="http://schemas.openxmlformats.org/markup-compatibility/2006">
    <mc:Choice Requires="x15">
      <x15ac:absPath xmlns:x15ac="http://schemas.microsoft.com/office/spreadsheetml/2010/11/ac" url="https://ingov.sharepoint.com/sites/INDOTTrafficEngineering/Shared Documents/Office of Traffic Safety/TSAM and SFT Business Rules Update/"/>
    </mc:Choice>
  </mc:AlternateContent>
  <xr:revisionPtr revIDLastSave="0" documentId="8_{5C5610CB-CC1C-4BC5-8DAE-7C670DF17D0E}" xr6:coauthVersionLast="47" xr6:coauthVersionMax="47" xr10:uidLastSave="{00000000-0000-0000-0000-000000000000}"/>
  <bookViews>
    <workbookView xWindow="-120" yWindow="-120" windowWidth="29040" windowHeight="15720" tabRatio="925" xr2:uid="{00000000-000D-0000-FFFF-FFFF00000000}"/>
  </bookViews>
  <sheets>
    <sheet name="Cover Sheet" sheetId="1" r:id="rId1"/>
    <sheet name="Cover Calculations" sheetId="21" state="hidden" r:id="rId2"/>
    <sheet name="F1 Crash Severity" sheetId="2" r:id="rId3"/>
    <sheet name="Factor 1 Calculations" sheetId="19" state="hidden" r:id="rId4"/>
    <sheet name="F2 Crash Frequency" sheetId="4" r:id="rId5"/>
    <sheet name="Factor 2 Calculations" sheetId="18" state="hidden" r:id="rId6"/>
    <sheet name="F3 Cost Effectiveness" sheetId="5" r:id="rId7"/>
    <sheet name="Factor 3 Calculations" sheetId="16" state="hidden" r:id="rId8"/>
    <sheet name="CRF Data" sheetId="12" r:id="rId9"/>
    <sheet name="F4 Mobility Improvement" sheetId="7" r:id="rId10"/>
    <sheet name="Factor 4 Calculations" sheetId="25" state="hidden" r:id="rId11"/>
    <sheet name="F5 Public and Other Interest" sheetId="3" r:id="rId12"/>
    <sheet name="Factor 5 Calculations" sheetId="20" state="hidden" r:id="rId13"/>
    <sheet name="F6 Economic Factors" sheetId="23" r:id="rId14"/>
    <sheet name="Factor 6 Calculations" sheetId="27" state="hidden" r:id="rId15"/>
    <sheet name="F7 Earmarks and External Cont." sheetId="8" r:id="rId16"/>
    <sheet name="Factor 7 Calculations" sheetId="26" state="hidden" r:id="rId17"/>
  </sheets>
  <definedNames>
    <definedName name="Crawfordsville">Table2[Crawfordsville]</definedName>
    <definedName name="District">Table1[District]</definedName>
    <definedName name="FtWayne">Table3[Fort Wayne]</definedName>
    <definedName name="Greenfield">Table4[Greenfield]</definedName>
    <definedName name="LaPorte">Table5[La Porte]</definedName>
    <definedName name="_xlnm.Print_Area" localSheetId="0">'Cover Sheet'!$B$1:$I$46</definedName>
    <definedName name="_xlnm.Print_Area" localSheetId="8">'CRF Data'!$L$1</definedName>
    <definedName name="_xlnm.Print_Area" localSheetId="2">'F1 Crash Severity'!$A$1:$P$25</definedName>
    <definedName name="_xlnm.Print_Area" localSheetId="4">'F2 Crash Frequency'!$A$1:$P$25</definedName>
    <definedName name="_xlnm.Print_Area" localSheetId="6">'F3 Cost Effectiveness'!$A$7:$K$64</definedName>
    <definedName name="_xlnm.Print_Area" localSheetId="9">'F4 Mobility Improvement'!$A$1:$F$16</definedName>
    <definedName name="_xlnm.Print_Area" localSheetId="11">'F5 Public and Other Interest'!$A$1:$F$20</definedName>
    <definedName name="_xlnm.Print_Area" localSheetId="13">'F6 Economic Factors'!$A$1:$F$22</definedName>
    <definedName name="_xlnm.Print_Area" localSheetId="15">'F7 Earmarks and External Cont.'!$A$1:$F$17</definedName>
    <definedName name="Seymour">Table6[Seymour]</definedName>
    <definedName name="Vincennes">Table7[Vincennes]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12" l="1"/>
  <c r="G104" i="12"/>
  <c r="G103" i="12"/>
  <c r="G102" i="12"/>
  <c r="G101" i="12"/>
  <c r="G100" i="12"/>
  <c r="G99" i="12"/>
  <c r="G98" i="12"/>
  <c r="G97" i="12"/>
  <c r="G96" i="12"/>
  <c r="G95" i="12"/>
  <c r="G94" i="12"/>
  <c r="G93" i="12"/>
  <c r="G92" i="12"/>
  <c r="G91" i="12"/>
  <c r="G90" i="12"/>
  <c r="G89" i="12"/>
  <c r="G88" i="12"/>
  <c r="G87" i="12"/>
  <c r="G86" i="12"/>
  <c r="G85" i="12"/>
  <c r="G84" i="12"/>
  <c r="G83" i="12"/>
  <c r="G82" i="12"/>
  <c r="G76" i="12"/>
  <c r="G75" i="12"/>
  <c r="G74"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G2" i="12"/>
  <c r="C9" i="2"/>
  <c r="C9" i="23" l="1"/>
  <c r="L18" i="27"/>
  <c r="L19" i="27"/>
  <c r="L20" i="27"/>
  <c r="L21" i="27"/>
  <c r="L22" i="27"/>
  <c r="L23" i="27"/>
  <c r="L24" i="27"/>
  <c r="L25" i="27"/>
  <c r="L26" i="27"/>
  <c r="L27" i="27"/>
  <c r="L28" i="27"/>
  <c r="L29" i="27"/>
  <c r="L30" i="27"/>
  <c r="L31" i="27"/>
  <c r="L32" i="27"/>
  <c r="L33" i="27"/>
  <c r="L34" i="27"/>
  <c r="L35" i="27"/>
  <c r="B1" i="27"/>
  <c r="BI53" i="5" l="1"/>
  <c r="BI52" i="5" s="1"/>
  <c r="BI54" i="5" s="1"/>
  <c r="D38" i="5"/>
  <c r="F25" i="1"/>
  <c r="D18" i="5"/>
  <c r="C9" i="4"/>
  <c r="F13" i="1"/>
  <c r="F12" i="1"/>
  <c r="BJ53" i="5" l="1"/>
  <c r="D13" i="5"/>
  <c r="D14" i="5" s="1"/>
  <c r="BJ52" i="5" l="1"/>
  <c r="BJ54" i="5" s="1"/>
  <c r="BK53" i="5"/>
  <c r="D9" i="5"/>
  <c r="H21" i="1"/>
  <c r="C9" i="3"/>
  <c r="F19" i="1" s="1"/>
  <c r="C9" i="8"/>
  <c r="B10" i="8" s="1"/>
  <c r="C9" i="7"/>
  <c r="F18" i="1" s="1"/>
  <c r="J2" i="21"/>
  <c r="B2" i="27" l="1"/>
  <c r="B3" i="27" s="1"/>
  <c r="B4" i="27" s="1"/>
  <c r="BK52" i="5"/>
  <c r="BK54" i="5" s="1"/>
  <c r="BL53" i="5"/>
  <c r="F24" i="1"/>
  <c r="B10" i="3"/>
  <c r="G13" i="1"/>
  <c r="G12" i="1"/>
  <c r="C12" i="23" l="1"/>
  <c r="D9" i="23" s="1"/>
  <c r="BL52" i="5"/>
  <c r="BL54" i="5" s="1"/>
  <c r="BM53" i="5"/>
  <c r="N6" i="16"/>
  <c r="I6" i="16"/>
  <c r="D6" i="16"/>
  <c r="B39" i="5"/>
  <c r="B95" i="16"/>
  <c r="B94" i="16"/>
  <c r="B93" i="16"/>
  <c r="B92" i="16"/>
  <c r="B91" i="16"/>
  <c r="B90" i="16"/>
  <c r="B89" i="16"/>
  <c r="B88" i="16"/>
  <c r="B87" i="16"/>
  <c r="B86" i="16"/>
  <c r="B85" i="16"/>
  <c r="B84" i="16"/>
  <c r="BN53" i="5" l="1"/>
  <c r="BM52" i="5"/>
  <c r="BM54" i="5" s="1"/>
  <c r="F20" i="1"/>
  <c r="F21" i="1" s="1"/>
  <c r="E28" i="5"/>
  <c r="E26" i="5"/>
  <c r="C34" i="5"/>
  <c r="C33" i="5"/>
  <c r="C32" i="5"/>
  <c r="C31" i="5"/>
  <c r="C30" i="5"/>
  <c r="C29" i="5"/>
  <c r="C28" i="5"/>
  <c r="P6" i="16"/>
  <c r="K6" i="16"/>
  <c r="F6" i="16"/>
  <c r="C27" i="5"/>
  <c r="B38" i="5"/>
  <c r="B44" i="5"/>
  <c r="B42" i="5"/>
  <c r="B40" i="5"/>
  <c r="B2" i="16"/>
  <c r="D12" i="5"/>
  <c r="B3" i="16"/>
  <c r="B31" i="16"/>
  <c r="BO53" i="5" l="1"/>
  <c r="BN52" i="5"/>
  <c r="BN54" i="5" s="1"/>
  <c r="C31" i="16"/>
  <c r="D31" i="16" s="1"/>
  <c r="E31" i="16" s="1"/>
  <c r="F31" i="16" s="1"/>
  <c r="G31" i="16" s="1"/>
  <c r="H31" i="16" s="1"/>
  <c r="I31" i="16" s="1"/>
  <c r="J31" i="16" s="1"/>
  <c r="K31" i="16" s="1"/>
  <c r="L31" i="16" s="1"/>
  <c r="M31" i="16" s="1"/>
  <c r="N31" i="16" s="1"/>
  <c r="O31" i="16" s="1"/>
  <c r="P31" i="16" s="1"/>
  <c r="Q31" i="16" s="1"/>
  <c r="R31" i="16" s="1"/>
  <c r="S31" i="16" s="1"/>
  <c r="T31" i="16" s="1"/>
  <c r="U31" i="16" s="1"/>
  <c r="V31" i="16" s="1"/>
  <c r="W31" i="16" s="1"/>
  <c r="X31" i="16" s="1"/>
  <c r="Y31" i="16" s="1"/>
  <c r="Z31" i="16" s="1"/>
  <c r="AA31" i="16" s="1"/>
  <c r="AB31" i="16" s="1"/>
  <c r="AC31" i="16" s="1"/>
  <c r="AD31" i="16" s="1"/>
  <c r="AE31" i="16" s="1"/>
  <c r="AF31" i="16" s="1"/>
  <c r="AG31" i="16" s="1"/>
  <c r="AH31" i="16" s="1"/>
  <c r="AI31" i="16" s="1"/>
  <c r="AJ31" i="16" s="1"/>
  <c r="AK31" i="16" s="1"/>
  <c r="B35" i="16"/>
  <c r="Q6" i="16"/>
  <c r="B33" i="16"/>
  <c r="B34" i="16" s="1"/>
  <c r="BP53" i="5" l="1"/>
  <c r="BO52" i="5"/>
  <c r="BO54" i="5" s="1"/>
  <c r="C33" i="16"/>
  <c r="C34" i="16" s="1"/>
  <c r="D33" i="16"/>
  <c r="D34" i="16" s="1"/>
  <c r="BP52" i="5" l="1"/>
  <c r="BP54" i="5" s="1"/>
  <c r="BQ53" i="5"/>
  <c r="E33" i="16"/>
  <c r="E34" i="16" s="1"/>
  <c r="BQ52" i="5" l="1"/>
  <c r="BQ54" i="5" s="1"/>
  <c r="BR53" i="5"/>
  <c r="F33" i="16"/>
  <c r="F34" i="16" s="1"/>
  <c r="BR52" i="5" l="1"/>
  <c r="BR54" i="5" s="1"/>
  <c r="BS53" i="5"/>
  <c r="G33" i="16"/>
  <c r="G34" i="16" s="1"/>
  <c r="BS52" i="5" l="1"/>
  <c r="BS54" i="5" s="1"/>
  <c r="BT53" i="5"/>
  <c r="H33" i="16"/>
  <c r="H34" i="16" s="1"/>
  <c r="BT52" i="5" l="1"/>
  <c r="BT54" i="5" s="1"/>
  <c r="BU53" i="5"/>
  <c r="I33" i="16"/>
  <c r="I34" i="16" s="1"/>
  <c r="BU52" i="5" l="1"/>
  <c r="BU54" i="5" s="1"/>
  <c r="BV53" i="5"/>
  <c r="J33" i="16"/>
  <c r="J34" i="16" s="1"/>
  <c r="BV52" i="5" l="1"/>
  <c r="BV54" i="5" s="1"/>
  <c r="BW53" i="5"/>
  <c r="K33" i="16"/>
  <c r="K34" i="16" s="1"/>
  <c r="BX53" i="5" l="1"/>
  <c r="BW52" i="5"/>
  <c r="BW54" i="5" s="1"/>
  <c r="L33" i="16"/>
  <c r="L34" i="16" s="1"/>
  <c r="BY53" i="5" l="1"/>
  <c r="BX52" i="5"/>
  <c r="BX54" i="5" s="1"/>
  <c r="M33" i="16"/>
  <c r="M34" i="16" s="1"/>
  <c r="BZ53" i="5" l="1"/>
  <c r="BY52" i="5"/>
  <c r="BY54" i="5" s="1"/>
  <c r="N33" i="16"/>
  <c r="N34" i="16" s="1"/>
  <c r="CA53" i="5" l="1"/>
  <c r="BZ52" i="5"/>
  <c r="BZ54" i="5" s="1"/>
  <c r="O33" i="16"/>
  <c r="O34" i="16" s="1"/>
  <c r="CA52" i="5" l="1"/>
  <c r="CA54" i="5" s="1"/>
  <c r="CB53" i="5"/>
  <c r="P33" i="16"/>
  <c r="P34" i="16" s="1"/>
  <c r="CB52" i="5" l="1"/>
  <c r="CB54" i="5" s="1"/>
  <c r="CC53" i="5"/>
  <c r="Q33" i="16"/>
  <c r="Q34" i="16" s="1"/>
  <c r="CD53" i="5" l="1"/>
  <c r="CC52" i="5"/>
  <c r="CC54" i="5" s="1"/>
  <c r="R33" i="16"/>
  <c r="R34" i="16" s="1"/>
  <c r="CE53" i="5" l="1"/>
  <c r="CD52" i="5"/>
  <c r="CD54" i="5" s="1"/>
  <c r="S33" i="16"/>
  <c r="S34" i="16" s="1"/>
  <c r="CF53" i="5" l="1"/>
  <c r="CE52" i="5"/>
  <c r="CE54" i="5" s="1"/>
  <c r="T33" i="16"/>
  <c r="T34" i="16" s="1"/>
  <c r="CG53" i="5" l="1"/>
  <c r="CF52" i="5"/>
  <c r="CF54" i="5" s="1"/>
  <c r="U33" i="16"/>
  <c r="U34" i="16" s="1"/>
  <c r="CG52" i="5" l="1"/>
  <c r="CG54" i="5" s="1"/>
  <c r="CH53" i="5"/>
  <c r="V33" i="16"/>
  <c r="V34" i="16" s="1"/>
  <c r="CH52" i="5" l="1"/>
  <c r="CH54" i="5" s="1"/>
  <c r="CI53" i="5"/>
  <c r="W33" i="16"/>
  <c r="W34" i="16" s="1"/>
  <c r="CJ53" i="5" l="1"/>
  <c r="CI52" i="5"/>
  <c r="CI54" i="5" s="1"/>
  <c r="X33" i="16"/>
  <c r="X34" i="16" s="1"/>
  <c r="CK53" i="5" l="1"/>
  <c r="CJ52" i="5"/>
  <c r="CJ54" i="5" s="1"/>
  <c r="Y33" i="16"/>
  <c r="Y34" i="16" s="1"/>
  <c r="CK52" i="5" l="1"/>
  <c r="CK54" i="5" s="1"/>
  <c r="CL53" i="5"/>
  <c r="Z33" i="16"/>
  <c r="Z34" i="16" s="1"/>
  <c r="CL52" i="5" l="1"/>
  <c r="CL54" i="5" s="1"/>
  <c r="CM53" i="5"/>
  <c r="AA33" i="16"/>
  <c r="AA34" i="16" s="1"/>
  <c r="CN53" i="5" l="1"/>
  <c r="CN52" i="5" s="1"/>
  <c r="CN54" i="5" s="1"/>
  <c r="CM52" i="5"/>
  <c r="CM54" i="5" s="1"/>
  <c r="AB33" i="16"/>
  <c r="AB34" i="16" s="1"/>
  <c r="AC33" i="16" l="1"/>
  <c r="AC34" i="16" s="1"/>
  <c r="AD33" i="16" l="1"/>
  <c r="AD34" i="16" s="1"/>
  <c r="AE33" i="16" l="1"/>
  <c r="AE34" i="16" s="1"/>
  <c r="AF33" i="16" l="1"/>
  <c r="AF34" i="16" s="1"/>
  <c r="AG33" i="16" l="1"/>
  <c r="AG34" i="16" s="1"/>
  <c r="AH33" i="16" l="1"/>
  <c r="AH34" i="16" s="1"/>
  <c r="AI33" i="16" l="1"/>
  <c r="AI34" i="16" s="1"/>
  <c r="AJ33" i="16" l="1"/>
  <c r="AJ34" i="16" l="1"/>
  <c r="AK33" i="16"/>
  <c r="AK34" i="16" s="1"/>
  <c r="B36" i="16" l="1"/>
  <c r="C2" i="16"/>
  <c r="B18" i="16"/>
  <c r="Q9" i="16" l="1"/>
  <c r="Q11" i="16"/>
  <c r="Q12" i="16"/>
  <c r="Q14" i="16"/>
  <c r="Q15" i="16"/>
  <c r="Q16" i="16"/>
  <c r="Q19" i="16"/>
  <c r="Q21" i="16"/>
  <c r="Q25" i="16"/>
  <c r="Q26" i="16"/>
  <c r="B1" i="16"/>
  <c r="L26" i="16" l="1"/>
  <c r="N26" i="16" s="1"/>
  <c r="P26" i="16" s="1"/>
  <c r="G26" i="16"/>
  <c r="I26" i="16" s="1"/>
  <c r="K26" i="16" s="1"/>
  <c r="B26" i="16"/>
  <c r="D26" i="16" s="1"/>
  <c r="F26" i="16" s="1"/>
  <c r="L25" i="16"/>
  <c r="N25" i="16" s="1"/>
  <c r="P25" i="16" s="1"/>
  <c r="G25" i="16"/>
  <c r="I25" i="16" s="1"/>
  <c r="K25" i="16" s="1"/>
  <c r="B25" i="16"/>
  <c r="D25" i="16" s="1"/>
  <c r="F25" i="16" s="1"/>
  <c r="L23" i="16"/>
  <c r="N23" i="16" s="1"/>
  <c r="P23" i="16" s="1"/>
  <c r="G23" i="16"/>
  <c r="I23" i="16" s="1"/>
  <c r="K23" i="16" s="1"/>
  <c r="B23" i="16"/>
  <c r="D23" i="16" s="1"/>
  <c r="F23" i="16" s="1"/>
  <c r="L21" i="16"/>
  <c r="N21" i="16" s="1"/>
  <c r="P21" i="16" s="1"/>
  <c r="G21" i="16"/>
  <c r="I21" i="16" s="1"/>
  <c r="K21" i="16" s="1"/>
  <c r="B21" i="16"/>
  <c r="D21" i="16" s="1"/>
  <c r="F21" i="16" s="1"/>
  <c r="L19" i="16"/>
  <c r="N19" i="16" s="1"/>
  <c r="P19" i="16" s="1"/>
  <c r="G19" i="16"/>
  <c r="I19" i="16" s="1"/>
  <c r="K19" i="16" s="1"/>
  <c r="B19" i="16"/>
  <c r="D19" i="16" s="1"/>
  <c r="F19" i="16" s="1"/>
  <c r="L24" i="16"/>
  <c r="N24" i="16" s="1"/>
  <c r="G24" i="16"/>
  <c r="I24" i="16" s="1"/>
  <c r="K24" i="16" s="1"/>
  <c r="B24" i="16"/>
  <c r="D24" i="16" s="1"/>
  <c r="F24" i="16" s="1"/>
  <c r="L22" i="16"/>
  <c r="N22" i="16" s="1"/>
  <c r="P22" i="16" s="1"/>
  <c r="G22" i="16"/>
  <c r="B22" i="16"/>
  <c r="D22" i="16" s="1"/>
  <c r="L20" i="16"/>
  <c r="N20" i="16" s="1"/>
  <c r="P20" i="16" s="1"/>
  <c r="G20" i="16"/>
  <c r="I20" i="16" s="1"/>
  <c r="K20" i="16" s="1"/>
  <c r="B20" i="16"/>
  <c r="D20" i="16" s="1"/>
  <c r="F20" i="16" s="1"/>
  <c r="L18" i="16"/>
  <c r="N18" i="16" s="1"/>
  <c r="D18" i="16"/>
  <c r="F18" i="16" s="1"/>
  <c r="G18" i="16"/>
  <c r="I18" i="16" s="1"/>
  <c r="K18" i="16" s="1"/>
  <c r="L17" i="16"/>
  <c r="N17" i="16" s="1"/>
  <c r="P17" i="16" s="1"/>
  <c r="Q17" i="16" s="1"/>
  <c r="G17" i="16"/>
  <c r="I17" i="16" s="1"/>
  <c r="K17" i="16" s="1"/>
  <c r="B17" i="16"/>
  <c r="D17" i="16" s="1"/>
  <c r="F17" i="16" s="1"/>
  <c r="L16" i="16"/>
  <c r="N16" i="16" s="1"/>
  <c r="P16" i="16" s="1"/>
  <c r="G16" i="16"/>
  <c r="I16" i="16" s="1"/>
  <c r="K16" i="16" s="1"/>
  <c r="B16" i="16"/>
  <c r="D16" i="16" s="1"/>
  <c r="F16" i="16" s="1"/>
  <c r="L15" i="16"/>
  <c r="N15" i="16" s="1"/>
  <c r="P15" i="16" s="1"/>
  <c r="G15" i="16"/>
  <c r="I15" i="16" s="1"/>
  <c r="K15" i="16" s="1"/>
  <c r="B15" i="16"/>
  <c r="D15" i="16" s="1"/>
  <c r="F15" i="16" s="1"/>
  <c r="L14" i="16"/>
  <c r="N14" i="16" s="1"/>
  <c r="P14" i="16" s="1"/>
  <c r="G14" i="16"/>
  <c r="I14" i="16" s="1"/>
  <c r="K14" i="16" s="1"/>
  <c r="B14" i="16"/>
  <c r="D14" i="16" s="1"/>
  <c r="F14" i="16" s="1"/>
  <c r="L13" i="16"/>
  <c r="N13" i="16" s="1"/>
  <c r="P13" i="16" s="1"/>
  <c r="Q13" i="16" s="1"/>
  <c r="G13" i="16"/>
  <c r="I13" i="16" s="1"/>
  <c r="K13" i="16" s="1"/>
  <c r="B13" i="16"/>
  <c r="D13" i="16" s="1"/>
  <c r="F13" i="16" s="1"/>
  <c r="L12" i="16"/>
  <c r="N12" i="16" s="1"/>
  <c r="P12" i="16" s="1"/>
  <c r="G12" i="16"/>
  <c r="I12" i="16" s="1"/>
  <c r="K12" i="16" s="1"/>
  <c r="B12" i="16"/>
  <c r="D12" i="16" s="1"/>
  <c r="F12" i="16" s="1"/>
  <c r="L11" i="16"/>
  <c r="N11" i="16" s="1"/>
  <c r="P11" i="16" s="1"/>
  <c r="G11" i="16"/>
  <c r="I11" i="16" s="1"/>
  <c r="K11" i="16" s="1"/>
  <c r="B11" i="16"/>
  <c r="D11" i="16" s="1"/>
  <c r="F11" i="16" s="1"/>
  <c r="L10" i="16"/>
  <c r="N10" i="16" s="1"/>
  <c r="P10" i="16" s="1"/>
  <c r="Q10" i="16" s="1"/>
  <c r="G10" i="16"/>
  <c r="I10" i="16" s="1"/>
  <c r="K10" i="16" s="1"/>
  <c r="B10" i="16"/>
  <c r="D10" i="16" s="1"/>
  <c r="F10" i="16" s="1"/>
  <c r="L9" i="16"/>
  <c r="N9" i="16" s="1"/>
  <c r="P9" i="16" s="1"/>
  <c r="G9" i="16"/>
  <c r="I9" i="16" s="1"/>
  <c r="K9" i="16" s="1"/>
  <c r="B9" i="16"/>
  <c r="D9" i="16" s="1"/>
  <c r="F9" i="16" s="1"/>
  <c r="L8" i="16"/>
  <c r="N8" i="16" s="1"/>
  <c r="P8" i="16" s="1"/>
  <c r="Q8" i="16" s="1"/>
  <c r="G8" i="16"/>
  <c r="I8" i="16" s="1"/>
  <c r="K8" i="16" s="1"/>
  <c r="B8" i="16"/>
  <c r="D8" i="16" s="1"/>
  <c r="F8" i="16" s="1"/>
  <c r="B7" i="16"/>
  <c r="D7" i="16" s="1"/>
  <c r="F7" i="16" s="1"/>
  <c r="L7" i="16"/>
  <c r="N7" i="16" s="1"/>
  <c r="P7" i="16" s="1"/>
  <c r="G7" i="16"/>
  <c r="I7" i="16" s="1"/>
  <c r="K7" i="16" s="1"/>
  <c r="F22" i="16" l="1"/>
  <c r="Z39" i="16"/>
  <c r="Z40" i="16" s="1"/>
  <c r="P24" i="16"/>
  <c r="Q24" i="16" s="1"/>
  <c r="P18" i="16"/>
  <c r="Q18" i="16" s="1"/>
  <c r="Q23" i="16"/>
  <c r="Q20" i="16"/>
  <c r="Q7" i="16"/>
  <c r="I22" i="16"/>
  <c r="K22" i="16" s="1"/>
  <c r="Q22" i="16" s="1"/>
  <c r="Q39" i="16" l="1"/>
  <c r="Q40" i="16" s="1"/>
  <c r="K39" i="16"/>
  <c r="K40" i="16" s="1"/>
  <c r="Y39" i="16"/>
  <c r="Y40" i="16" s="1"/>
  <c r="AD39" i="16"/>
  <c r="AD40" i="16" s="1"/>
  <c r="AJ39" i="16"/>
  <c r="AJ40" i="16" s="1"/>
  <c r="P39" i="16"/>
  <c r="P40" i="16" s="1"/>
  <c r="AE39" i="16"/>
  <c r="AE40" i="16" s="1"/>
  <c r="AC39" i="16"/>
  <c r="AC40" i="16" s="1"/>
  <c r="AG39" i="16"/>
  <c r="AG40" i="16" s="1"/>
  <c r="E39" i="16"/>
  <c r="E40" i="16" s="1"/>
  <c r="F39" i="16"/>
  <c r="F40" i="16" s="1"/>
  <c r="O39" i="16"/>
  <c r="O40" i="16" s="1"/>
  <c r="B39" i="16"/>
  <c r="B40" i="16" s="1"/>
  <c r="W39" i="16"/>
  <c r="W40" i="16" s="1"/>
  <c r="T39" i="16"/>
  <c r="T40" i="16" s="1"/>
  <c r="L39" i="16"/>
  <c r="L40" i="16" s="1"/>
  <c r="N39" i="16"/>
  <c r="N40" i="16" s="1"/>
  <c r="D39" i="16"/>
  <c r="D40" i="16" s="1"/>
  <c r="G39" i="16"/>
  <c r="G40" i="16" s="1"/>
  <c r="J39" i="16"/>
  <c r="J40" i="16" s="1"/>
  <c r="AB39" i="16"/>
  <c r="AB40" i="16" s="1"/>
  <c r="U39" i="16"/>
  <c r="U40" i="16" s="1"/>
  <c r="AF39" i="16"/>
  <c r="AF40" i="16" s="1"/>
  <c r="H39" i="16"/>
  <c r="H40" i="16" s="1"/>
  <c r="X39" i="16"/>
  <c r="X40" i="16" s="1"/>
  <c r="AK39" i="16"/>
  <c r="AK40" i="16" s="1"/>
  <c r="V39" i="16"/>
  <c r="V40" i="16" s="1"/>
  <c r="AA39" i="16"/>
  <c r="AA40" i="16" s="1"/>
  <c r="I39" i="16"/>
  <c r="I40" i="16" s="1"/>
  <c r="S39" i="16"/>
  <c r="S40" i="16" s="1"/>
  <c r="R39" i="16"/>
  <c r="R40" i="16" s="1"/>
  <c r="M39" i="16"/>
  <c r="M40" i="16" s="1"/>
  <c r="AI39" i="16"/>
  <c r="AI40" i="16" s="1"/>
  <c r="C39" i="16"/>
  <c r="C40" i="16" s="1"/>
  <c r="AH39" i="16"/>
  <c r="AH40" i="16" s="1"/>
  <c r="X38" i="16"/>
  <c r="W38" i="16"/>
  <c r="Z38" i="16"/>
  <c r="Y38" i="16"/>
  <c r="AA38" i="16"/>
  <c r="R38" i="16"/>
  <c r="G38" i="16"/>
  <c r="S38" i="16"/>
  <c r="D38" i="16"/>
  <c r="T38" i="16"/>
  <c r="AE38" i="16"/>
  <c r="U38" i="16"/>
  <c r="AB38" i="16"/>
  <c r="E38" i="16"/>
  <c r="AF38" i="16"/>
  <c r="AC38" i="16"/>
  <c r="I38" i="16"/>
  <c r="F38" i="16"/>
  <c r="AG38" i="16"/>
  <c r="AD38" i="16"/>
  <c r="J38" i="16"/>
  <c r="AH38" i="16"/>
  <c r="M38" i="16"/>
  <c r="N38" i="16"/>
  <c r="AJ38" i="16"/>
  <c r="O38" i="16"/>
  <c r="P38" i="16"/>
  <c r="Q38" i="16"/>
  <c r="H38" i="16"/>
  <c r="K38" i="16"/>
  <c r="AI38" i="16"/>
  <c r="L38" i="16"/>
  <c r="V38" i="16"/>
  <c r="C38" i="16"/>
  <c r="AK38" i="16"/>
  <c r="B38" i="16"/>
  <c r="L11" i="5" s="1"/>
  <c r="H25" i="1"/>
  <c r="C39" i="1"/>
  <c r="C41" i="1"/>
  <c r="B41" i="16" l="1"/>
  <c r="C37" i="1"/>
  <c r="C35" i="1"/>
  <c r="C33" i="1"/>
  <c r="C43" i="1" l="1"/>
  <c r="L14" i="5" l="1"/>
  <c r="B8" i="1"/>
  <c r="H15" i="1" l="1"/>
  <c r="H27" i="1" s="1"/>
  <c r="C31" i="1" l="1"/>
  <c r="H2" i="1" l="1"/>
  <c r="L20" i="5" l="1"/>
  <c r="L17" i="5"/>
  <c r="B42" i="16" l="1"/>
  <c r="L23" i="5" s="1"/>
  <c r="L26" i="5" s="1"/>
  <c r="F14" i="1" l="1"/>
  <c r="G14" i="1"/>
  <c r="G15" i="1" s="1"/>
  <c r="F27" i="1" s="1"/>
  <c r="H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<sst xmlns="http://schemas.openxmlformats.org/spreadsheetml/2006/main" count="2607" uniqueCount="2135">
  <si>
    <t>PW4 ID:</t>
  </si>
  <si>
    <t>Date:</t>
  </si>
  <si>
    <t>Analyst:</t>
  </si>
  <si>
    <t>Total Project Cost (today's dollars):</t>
  </si>
  <si>
    <t>District:</t>
  </si>
  <si>
    <t>City:</t>
  </si>
  <si>
    <t>Route:</t>
  </si>
  <si>
    <t>County:</t>
  </si>
  <si>
    <t xml:space="preserve"> Location:</t>
  </si>
  <si>
    <t>Treatment:</t>
  </si>
  <si>
    <t xml:space="preserve">Final Score: </t>
  </si>
  <si>
    <t>Notes:</t>
  </si>
  <si>
    <t>Core Safety Factors</t>
  </si>
  <si>
    <t>Value</t>
  </si>
  <si>
    <t>Points Awarded</t>
  </si>
  <si>
    <t>Points Possible</t>
  </si>
  <si>
    <t>Factor 1: Crash Severity (ICC)</t>
  </si>
  <si>
    <t>Factor 2: Crash Frequency (ICF)</t>
  </si>
  <si>
    <t>Factor 3: Cost-Effectiveness (B/C)</t>
  </si>
  <si>
    <t>Core Safety Factors Subtotal:</t>
  </si>
  <si>
    <t>Supplemental Factors</t>
  </si>
  <si>
    <t>Factor 4: Mobility Improvement</t>
  </si>
  <si>
    <t>Factor 5: Public and Other Interest</t>
  </si>
  <si>
    <t>Factor 6: Economic Factors</t>
  </si>
  <si>
    <t>Supplemental Factors Subtotal:</t>
  </si>
  <si>
    <t>Bonus Factors</t>
  </si>
  <si>
    <t>Factor 7: Earmarks &amp; External Contributions</t>
  </si>
  <si>
    <t>Bonus Factors Subtotal:</t>
  </si>
  <si>
    <t>Final Score:</t>
  </si>
  <si>
    <t>Provide any additional notes or justification in the space below:</t>
  </si>
  <si>
    <t>Factor 1:</t>
  </si>
  <si>
    <t>Factor 2:</t>
  </si>
  <si>
    <t>Factor 3:</t>
  </si>
  <si>
    <t>Factor 4:</t>
  </si>
  <si>
    <t>Factor 5:</t>
  </si>
  <si>
    <t>Factor 6:</t>
  </si>
  <si>
    <t>Factor 7:</t>
  </si>
  <si>
    <t>District</t>
  </si>
  <si>
    <t>Crawfordsville</t>
  </si>
  <si>
    <t>Fort Wayne</t>
  </si>
  <si>
    <t>Greenfield</t>
  </si>
  <si>
    <t>La Porte</t>
  </si>
  <si>
    <t>Seymour</t>
  </si>
  <si>
    <t>Vincennes</t>
  </si>
  <si>
    <t>Unlock password is: TSAM</t>
  </si>
  <si>
    <t>Benton</t>
  </si>
  <si>
    <t>Adams</t>
  </si>
  <si>
    <t>Blackford</t>
  </si>
  <si>
    <t>Caroll</t>
  </si>
  <si>
    <t>Bartholomew</t>
  </si>
  <si>
    <t>Clay</t>
  </si>
  <si>
    <t>Boone</t>
  </si>
  <si>
    <t>Allen</t>
  </si>
  <si>
    <t>Cass</t>
  </si>
  <si>
    <t>Brown</t>
  </si>
  <si>
    <t>Crawford</t>
  </si>
  <si>
    <t>Carroll</t>
  </si>
  <si>
    <t>Clinton</t>
  </si>
  <si>
    <t>Clark</t>
  </si>
  <si>
    <t>Daviess</t>
  </si>
  <si>
    <t>DeKalb</t>
  </si>
  <si>
    <t>Elkhart</t>
  </si>
  <si>
    <t>Dubois</t>
  </si>
  <si>
    <t>Delaware</t>
  </si>
  <si>
    <t>Fulton</t>
  </si>
  <si>
    <t>Dearborn</t>
  </si>
  <si>
    <t>Gibson</t>
  </si>
  <si>
    <t>Fountain</t>
  </si>
  <si>
    <t>Fayette</t>
  </si>
  <si>
    <t>Jasper</t>
  </si>
  <si>
    <t>Decatur</t>
  </si>
  <si>
    <t>Greene</t>
  </si>
  <si>
    <t>Hendricks</t>
  </si>
  <si>
    <t>Grant</t>
  </si>
  <si>
    <t>Franklin</t>
  </si>
  <si>
    <t>Kosciusko</t>
  </si>
  <si>
    <t>Floyd</t>
  </si>
  <si>
    <t>Knox</t>
  </si>
  <si>
    <t>Montgomery</t>
  </si>
  <si>
    <t>Huntington</t>
  </si>
  <si>
    <t>LaPorte</t>
  </si>
  <si>
    <t>Lawrence</t>
  </si>
  <si>
    <t>Morgan</t>
  </si>
  <si>
    <t>Jay</t>
  </si>
  <si>
    <t>Hamilton</t>
  </si>
  <si>
    <t>Lake</t>
  </si>
  <si>
    <t>Martin</t>
  </si>
  <si>
    <t>Owen</t>
  </si>
  <si>
    <t>Hancock</t>
  </si>
  <si>
    <t>Marshall</t>
  </si>
  <si>
    <t>Harrison</t>
  </si>
  <si>
    <t>Monroe</t>
  </si>
  <si>
    <t>Parke</t>
  </si>
  <si>
    <t>LaGrange</t>
  </si>
  <si>
    <t>Miami</t>
  </si>
  <si>
    <t>Jackson</t>
  </si>
  <si>
    <t>Orange</t>
  </si>
  <si>
    <t>Putnam</t>
  </si>
  <si>
    <t>Henry</t>
  </si>
  <si>
    <t>Newton</t>
  </si>
  <si>
    <t>Jefferson</t>
  </si>
  <si>
    <t>Tippecanoe</t>
  </si>
  <si>
    <t>Noble</t>
  </si>
  <si>
    <t>Howard</t>
  </si>
  <si>
    <t>Porter</t>
  </si>
  <si>
    <t>Jennings</t>
  </si>
  <si>
    <t>Perry</t>
  </si>
  <si>
    <t>Vermillion</t>
  </si>
  <si>
    <t>St. Joseph</t>
  </si>
  <si>
    <t>Pulaski</t>
  </si>
  <si>
    <t>Johnson</t>
  </si>
  <si>
    <t>Pike</t>
  </si>
  <si>
    <t>Vigo</t>
  </si>
  <si>
    <t>Steuben</t>
  </si>
  <si>
    <t>Madison</t>
  </si>
  <si>
    <t>Posey</t>
  </si>
  <si>
    <t>Warren</t>
  </si>
  <si>
    <t>Wabash</t>
  </si>
  <si>
    <t>Marion</t>
  </si>
  <si>
    <t>Starke</t>
  </si>
  <si>
    <t>Spencer</t>
  </si>
  <si>
    <t>White</t>
  </si>
  <si>
    <t>Wells</t>
  </si>
  <si>
    <t>Sullivan</t>
  </si>
  <si>
    <t>Whitley</t>
  </si>
  <si>
    <t>Randolph</t>
  </si>
  <si>
    <t>Ohio</t>
  </si>
  <si>
    <t>Vanderburgh</t>
  </si>
  <si>
    <t>Rush</t>
  </si>
  <si>
    <t>Shelby</t>
  </si>
  <si>
    <t>Ripley</t>
  </si>
  <si>
    <t>Warrick</t>
  </si>
  <si>
    <t>Tipton</t>
  </si>
  <si>
    <t>Scott</t>
  </si>
  <si>
    <t>Washington</t>
  </si>
  <si>
    <t>Union</t>
  </si>
  <si>
    <t>Wayne</t>
  </si>
  <si>
    <t>Switzerland</t>
  </si>
  <si>
    <r>
      <t xml:space="preserve">Factor 1: Crash Severity
</t>
    </r>
    <r>
      <rPr>
        <sz val="14"/>
        <color theme="1"/>
        <rFont val="Calibri"/>
        <family val="2"/>
        <scheme val="minor"/>
      </rPr>
      <t>Input the project's ICC value in the shaded box below</t>
    </r>
  </si>
  <si>
    <t xml:space="preserve">Factor 1 gauges past safety performance of the site as indicated by actual crash events. Quantitative scoring for Factor 1 will be based on the Index of Crash Cost (ICC) as produced by the current version of Hazard Analysis Tool (ROADHAT) software.  Only crash data for years 2015 and later should be used. Exactly three calendar (3) years of crash data is to be used for evaluation purposes.  ICC values below 0.00 will not be awarded any points. The maximum possible point total is 40. If a project contains multiple elements, such as intersections and segments—the project should be broken into individual parts, each with its own respective ICC score. The ICC of the elements that are to be improved should be averaged to form a composite ICC, which is the input for Factor #1. Enter the ICC with two decimal places. </t>
  </si>
  <si>
    <t>BACK TO COVER SHEET</t>
  </si>
  <si>
    <t>Index of Crash Cost</t>
  </si>
  <si>
    <t>ICC</t>
  </si>
  <si>
    <t>Score (No Outliers)</t>
  </si>
  <si>
    <r>
      <t xml:space="preserve">Factor 2: Crash Frequency
</t>
    </r>
    <r>
      <rPr>
        <sz val="14"/>
        <color theme="1"/>
        <rFont val="Calibri"/>
        <family val="2"/>
        <scheme val="minor"/>
      </rPr>
      <t>Input the project's ICF value in the shaded box below</t>
    </r>
  </si>
  <si>
    <t xml:space="preserve"> Factor 2 gauges past safety performance of the site as indicated by actual crash events. Quantitative scoring for Factor Number One will be based on the Index of Crash Frequency (ICF) as produced by the current version of Hazard Analysis Tool (ROADHAT) software.   ICF values below 0.00 will not be awarded any points. The maximum possible point total is 10. If a project contains multiple elements, such as intersections and segments,the project should be broken into individual parts, each with its own respective ICF score. The ICF of the elements that are to be improved should be averaged to form a composite ICF, which is the input for Factor 2. Enter the ICF with two decimal places.</t>
  </si>
  <si>
    <t>Index of Crash Frequency</t>
  </si>
  <si>
    <t>Score</t>
  </si>
  <si>
    <r>
      <t xml:space="preserve">Factor 3: Cost Effectiveness
</t>
    </r>
    <r>
      <rPr>
        <sz val="14"/>
        <color theme="1"/>
        <rFont val="Calibri"/>
        <family val="2"/>
        <scheme val="minor"/>
      </rPr>
      <t>Provide inputs in the shaded boxes below</t>
    </r>
  </si>
  <si>
    <t xml:space="preserve">Factor 3 awards points based on the project's cost effectiveness. Users will input project and maintenance information, as well as crash data and RoadHAT inputs to calculate the benefit-cost ratio of the proposed project. Projects with a benefit-cost ratio below 1.0 will not receive any points for Factor 3. Projects with a benefit-cost ratio above 6.0 will receive the maximum point value of 35 points for Factor 3.  </t>
  </si>
  <si>
    <t>A</t>
  </si>
  <si>
    <t>B</t>
  </si>
  <si>
    <t>Project Information</t>
  </si>
  <si>
    <t>Factor 3 Results</t>
  </si>
  <si>
    <t>Total Project Cost (Current Year $)</t>
  </si>
  <si>
    <t>Cost Deduction from Other Disciplines</t>
  </si>
  <si>
    <t>Initial Annual Crash Costs</t>
  </si>
  <si>
    <t>Deduction Notes/Justification</t>
  </si>
  <si>
    <t>Net Cost (Current Year $)</t>
  </si>
  <si>
    <t>Current Year</t>
  </si>
  <si>
    <t>Initial Annual Crash Costs Reduction</t>
  </si>
  <si>
    <t>Project Build Year (FY being prepared for)</t>
  </si>
  <si>
    <t>Project Life (Years)</t>
  </si>
  <si>
    <t>Traffic Growth (%)</t>
  </si>
  <si>
    <t>Total Lifetime Crash Costs Reduction</t>
  </si>
  <si>
    <t>Maintenance Information</t>
  </si>
  <si>
    <t>Total Yearly Upkeep Cost (Current year $):</t>
  </si>
  <si>
    <t>Added Pavement (syd)</t>
  </si>
  <si>
    <t>Total Project Cost (Build Year $)</t>
  </si>
  <si>
    <t>Number of Signals Added</t>
  </si>
  <si>
    <t>Crash Data (3 years only)</t>
  </si>
  <si>
    <t>Fatal or Incapacitating Injury Crashes</t>
  </si>
  <si>
    <t>Benefit Cost Ratio</t>
  </si>
  <si>
    <t>Non-Incapacitating Injury Crashes</t>
  </si>
  <si>
    <t>Property Damage Only Crashes</t>
  </si>
  <si>
    <t>Facility Information (RoadHAT Inputs)</t>
  </si>
  <si>
    <t>Existing Route or Road Type</t>
  </si>
  <si>
    <t>/</t>
  </si>
  <si>
    <t>Length (mi)</t>
  </si>
  <si>
    <t>Busiest Road AADT</t>
  </si>
  <si>
    <t>Crossing Road AADT</t>
  </si>
  <si>
    <t>Interchange Type</t>
  </si>
  <si>
    <t>T-Intersection?</t>
  </si>
  <si>
    <t>Crossing Road Functional Classification</t>
  </si>
  <si>
    <t>Ramp Type</t>
  </si>
  <si>
    <t>Intersection Density (int/mi)</t>
  </si>
  <si>
    <t>Crash Reduction Factors (%, By Severity)</t>
  </si>
  <si>
    <t>Using Custom CRF?</t>
  </si>
  <si>
    <t>No</t>
  </si>
  <si>
    <t>Using CRFs for</t>
  </si>
  <si>
    <t>Countermeasure 1 Description/Source</t>
  </si>
  <si>
    <t>Countermeasure 2 Description/Source</t>
  </si>
  <si>
    <t>Countermeasure 3 Description/Source</t>
  </si>
  <si>
    <t>NOTES</t>
  </si>
  <si>
    <t xml:space="preserve">Crash totals by severity should be entered for the most recent consecutive three calendar year time period. No crash data for years prior to 2015 should be used. </t>
  </si>
  <si>
    <t xml:space="preserve">Notes on CRF usage should be included in the provided space above. At least one CRF should be entered for either KABC crashes or all Crashes. If more than one countermeasure is being installed, enter additional CRF values as needed. Most projects will only enter one CRF value. Negative CRF's are permitted. </t>
  </si>
  <si>
    <t xml:space="preserve">Traffic growth percent should be based on a projection from central office. Documentation of the growth rate used should be inluded in the PW4 submittal. </t>
  </si>
  <si>
    <t>Chosen Facility:</t>
  </si>
  <si>
    <t>Combined CRF:</t>
  </si>
  <si>
    <t>Traffic Growth:</t>
  </si>
  <si>
    <t>PDO</t>
  </si>
  <si>
    <t>Non-Incapacitating</t>
  </si>
  <si>
    <t>Incapacitating</t>
  </si>
  <si>
    <t>Annual Crash Costs - All Severities (2024 Dollars)</t>
  </si>
  <si>
    <t>N-Inc</t>
  </si>
  <si>
    <t>Inc</t>
  </si>
  <si>
    <t>Route or Road Type</t>
  </si>
  <si>
    <t>SPF (Predicted Annual, Analysis Year)</t>
  </si>
  <si>
    <t>Over-Dispersion</t>
  </si>
  <si>
    <t>EB Adjusted (Expected Annual, Analysis Year)</t>
  </si>
  <si>
    <t>$/Crash (2024 dollars)</t>
  </si>
  <si>
    <t>Yearly Cost - PDO</t>
  </si>
  <si>
    <t>Yearly Cost - N-Inc</t>
  </si>
  <si>
    <t>Yearly Cost - Inc</t>
  </si>
  <si>
    <t>2016 Costs from USDOT:</t>
  </si>
  <si>
    <t>Other</t>
  </si>
  <si>
    <t>Rural Two-Lane Segment</t>
  </si>
  <si>
    <t>chrome-extension://efaidnbmnnnibpcajpcglclefindmkaj/https://highways.dot.gov/sites/fhwa.dot.gov/files/2022-06/fhwasa17071.pdf</t>
  </si>
  <si>
    <t>Rural Mulitlane Segment</t>
  </si>
  <si>
    <t>Table 34</t>
  </si>
  <si>
    <t>Rural Interstate Segment</t>
  </si>
  <si>
    <t>Urban Two-Lane Segment</t>
  </si>
  <si>
    <t>Used BLS tool to find 2024 costs:</t>
  </si>
  <si>
    <t>Urban Mulitlane Segment</t>
  </si>
  <si>
    <t>https://www.bls.gov/data/inflation_calculator.htm</t>
  </si>
  <si>
    <t>Urban Freeway Segment</t>
  </si>
  <si>
    <t>Rural Interchange Freeway Segment</t>
  </si>
  <si>
    <t>SPFs: Appendix A</t>
  </si>
  <si>
    <t>Rural Interchange Non-freeway Segment</t>
  </si>
  <si>
    <t>chrome-extension://efaidnbmnnnibpcajpcglclefindmkaj/https://docs.lib.purdue.edu/cgi/viewcontent.cgi?article=3259&amp;context=jtrp</t>
  </si>
  <si>
    <t>Urban Interchange Freeway Segment</t>
  </si>
  <si>
    <t>Urban Interchange Non-freeway Segment</t>
  </si>
  <si>
    <t>Ramps</t>
  </si>
  <si>
    <t>Signalized Urban State Intersection</t>
  </si>
  <si>
    <t>Signalized Urban State Intersection One AADT</t>
  </si>
  <si>
    <t>Signalized Rural State Intersection</t>
  </si>
  <si>
    <t>Signalized Rural State Intersection One AADT</t>
  </si>
  <si>
    <t>Unsignalized Urban State Intersection</t>
  </si>
  <si>
    <t>Unsignalized Urban State Intersection One AADT</t>
  </si>
  <si>
    <t>Unsignalized Rural State Intersection</t>
  </si>
  <si>
    <t>Unsignalized Rural State Intersection One AADT</t>
  </si>
  <si>
    <t>Interchange Intersection</t>
  </si>
  <si>
    <t>Inflation Decimal:</t>
  </si>
  <si>
    <t>Build Year</t>
  </si>
  <si>
    <t>Year</t>
  </si>
  <si>
    <t>COSTS</t>
  </si>
  <si>
    <t>Annual Maintenance Cost (Specified Year Dollars)</t>
  </si>
  <si>
    <t>Annual Maintenance Cost (Build Year Dollars)</t>
  </si>
  <si>
    <t>Project Build Cost (Build Year Dollars)</t>
  </si>
  <si>
    <t>Total Cost (Build Year Dollars)</t>
  </si>
  <si>
    <t>BENEFITS</t>
  </si>
  <si>
    <t>Annual Crash Costs (Specified Year Dollars) (Not used)</t>
  </si>
  <si>
    <t>Annual Crash Savings (Specified Year Dollars)</t>
  </si>
  <si>
    <t>Annual Crash Savings (Build Year Dollars)</t>
  </si>
  <si>
    <t>Total Lifetime Crash Savings (Build Year Dollars)</t>
  </si>
  <si>
    <t>B/C Ratio:</t>
  </si>
  <si>
    <t>For blackout</t>
  </si>
  <si>
    <t>Length</t>
  </si>
  <si>
    <t>Busiest Rd AADT</t>
  </si>
  <si>
    <t>Cross Road AADT</t>
  </si>
  <si>
    <t>T interseciton</t>
  </si>
  <si>
    <t>Crossing Rd Class</t>
  </si>
  <si>
    <t>Intersection Density</t>
  </si>
  <si>
    <t>x</t>
  </si>
  <si>
    <t>x=not needed</t>
  </si>
  <si>
    <t>Yes</t>
  </si>
  <si>
    <t>KABC Crashes</t>
  </si>
  <si>
    <t>All Crash Severities</t>
  </si>
  <si>
    <t>B/C</t>
  </si>
  <si>
    <t>Pts</t>
  </si>
  <si>
    <t>Factor 3</t>
  </si>
  <si>
    <t>Cloverleaf</t>
  </si>
  <si>
    <t>Diamond</t>
  </si>
  <si>
    <t>Directional</t>
  </si>
  <si>
    <t>Jug-Handle</t>
  </si>
  <si>
    <t>Trumpet/Other</t>
  </si>
  <si>
    <t>Diagonal</t>
  </si>
  <si>
    <t>Loop</t>
  </si>
  <si>
    <t>Principal Arterial</t>
  </si>
  <si>
    <t>Minor Arterial</t>
  </si>
  <si>
    <t>Major Collector</t>
  </si>
  <si>
    <t>Minor Collector</t>
  </si>
  <si>
    <t>Category</t>
  </si>
  <si>
    <t>Countermeasure</t>
  </si>
  <si>
    <t>Area Type</t>
  </si>
  <si>
    <t>Facility Type</t>
  </si>
  <si>
    <t>Crash Type</t>
  </si>
  <si>
    <t>CRF</t>
  </si>
  <si>
    <t>CMF</t>
  </si>
  <si>
    <t>CMF Clearinghouse Link</t>
  </si>
  <si>
    <t>Citation</t>
  </si>
  <si>
    <t>TWSC to AWSC</t>
  </si>
  <si>
    <t>Convert Two-Way Stop to All-Way Stop (No flashers)</t>
  </si>
  <si>
    <t>Rural</t>
  </si>
  <si>
    <t>Any</t>
  </si>
  <si>
    <t>KABC</t>
  </si>
  <si>
    <t>Simpson, C. L., &amp; Hummer, J. E. (2010). Evaluation of the Conversion from Two-Way Stop Sign Control to All-Way Stop Sign Control at 53 Locations in North Carolina. Journal of Transportation Safety &amp; Security, 2, 239-260.</t>
  </si>
  <si>
    <t>Total</t>
  </si>
  <si>
    <t xml:space="preserve">TWSC to Signal </t>
  </si>
  <si>
    <t>Convert Two-Way Stop to Signal (3-leg) without turn lanes</t>
  </si>
  <si>
    <t>Rural or Suburban</t>
  </si>
  <si>
    <t>3 Legs, 35-45 MPH</t>
  </si>
  <si>
    <t>Study 444</t>
  </si>
  <si>
    <t>Srinivasan, R., B. Lan, and D. Carter. "Safety Evaluation of Signal Installation With and Without Left Turn Lanes on Two Lane Roads in Rural and Suburban Areas." Report No. FHWA/NC/2013-11. North Carolina Department of Transportation. Raleigh, North Carolina. (October 2014).</t>
  </si>
  <si>
    <t>3 Legs, 50-55 MPH</t>
  </si>
  <si>
    <t>Convert Two-Way Stop to Signal (4-leg) without turn lanes</t>
  </si>
  <si>
    <t>4 Legs, 35-45 MPH</t>
  </si>
  <si>
    <t>4 Legs, 50-55 MPH</t>
  </si>
  <si>
    <t>Convert Two-Way Stop to Signal with Added Turn Lanes 
(3 Legs)</t>
  </si>
  <si>
    <t>35-45 MPH</t>
  </si>
  <si>
    <t>50-55 MPH</t>
  </si>
  <si>
    <t>Convert Two-Way Stop to Signal with Added Turn Lanes 
(4 Legs)</t>
  </si>
  <si>
    <t>Left Turn Lanes</t>
  </si>
  <si>
    <t>Install Neutral Offset Left Turn Lanes on Major Approaches at Signalized Intersection</t>
  </si>
  <si>
    <t>Install Left Turn Lanes on BOTH Major Approaches at a Signalized Intersection</t>
  </si>
  <si>
    <t>Urban</t>
  </si>
  <si>
    <t>Four-leg intersection</t>
  </si>
  <si>
    <t>Harwood, D. W., Bauer, K. M., Potts, I. B., Torbic, D. J., Richard, K. R., Kohlman Rabbani, E. R., . . . Griffith, M. S. (2003). Safety Effectiveness of Intersection Left- and Right-Turn Lanes. Transportation Research Record: Journal of the Transportation Research Board, 1840, 131-139</t>
  </si>
  <si>
    <t>Install a Left Turn Lanes on ONE Major Approach to a Signalized Intersection</t>
  </si>
  <si>
    <t>Three-leg intersection</t>
  </si>
  <si>
    <t>Install Left Turn Lanes on BOTH Major Approaches at an Unsignalized Intersection</t>
  </si>
  <si>
    <t>Install a Left Turn Lanes on ONE Major Approach to an Unsignalized Intersection</t>
  </si>
  <si>
    <t>Improve left turn lane offset to create positive offset</t>
  </si>
  <si>
    <t>Urban and Rural</t>
  </si>
  <si>
    <t>Persaud, B., Lyon, C., Eccles, K., Lefler, N., &amp; Gross, F. (2009). Safety Evaluation of Offset Improvements for Left-Turn Lanes. Washington, D.C.: Federal Highway Administration.</t>
  </si>
  <si>
    <t>Right Turn Lanes</t>
  </si>
  <si>
    <t>Install Right Turn Lanes on BOTH major approaches to a Signalized Intersection</t>
  </si>
  <si>
    <t>Rural or Urban</t>
  </si>
  <si>
    <t>Install Right Turn Lane on one Major Approach to a Signalized Intersection</t>
  </si>
  <si>
    <t>Install Right Turn Lanes on BOTH major approaches to an Unsignalized Intersection</t>
  </si>
  <si>
    <t>Install Right Turn Lane on one Major Approach to an Unsignalized Intersection</t>
  </si>
  <si>
    <t>Roundabout</t>
  </si>
  <si>
    <t>Convert All-Way Stop to a Roundabout</t>
  </si>
  <si>
    <t>Bagdade, J. B.N. Persaud, K. McIntosh, J. Yassin, C.A. Lyon, C. Redinger, J. Whitten, and W.A. Butch, "Evaluating the Performance and Safety Effectiveness of Roundabouts." Report No. RC-1566, Michigan Department of Transportation, December 2011.</t>
  </si>
  <si>
    <t>Convert Two-Way Stop to a Roundabout</t>
  </si>
  <si>
    <t>Rodegerdts, L. A., Blogg, M., Wemple, E., Myers, E., Kyte, M., Dixon, M., List, G., Flannery, A., Troutbeck, R., Brilon, W., Wu, N., Persaud, B., Lyon, C., Harkey, D., and Carter, D., "NCHRP Report 572: Applying Roundabouts in the United States." Washington, D.C., Transportation Research Board, National Research Council, (2007)</t>
  </si>
  <si>
    <t>Suburban</t>
  </si>
  <si>
    <t>Single Lane</t>
  </si>
  <si>
    <t>Multilane</t>
  </si>
  <si>
    <t>Convert Signal to a Roundabout</t>
  </si>
  <si>
    <t>Srinivasan, R., Baek, J., Smith, S., Sundstrom, C., Carter, D., Lyon, C., Persaud, B., Gross, F., Eccles, K., Hamidi, A., and Lefler, N., "NCHRP Report 705: Evaluation of Safety Strategies at Signalized Intersections.", Washington, D.C., Transportation Research Board, National Research Council, (2011)</t>
  </si>
  <si>
    <t>Convert Stop Controlled Interchange to Dogbone Roundabout</t>
  </si>
  <si>
    <t>Claros, B., B. Burdett, M. Chitturi, A. Bill, and D.A. Noyce. "Are Roundabouts Safe and Economically Viable Replacing Conventional Diamond Interchange Ramp Terminals?". Transportation Research Record No. 2675, Transportation Research Board of the National Academies of Science, Washington, D.C., (2021).</t>
  </si>
  <si>
    <t>Convert Signalized Interchange to Dogbone Roundabout</t>
  </si>
  <si>
    <t>Convert At-Grade Signalized Intersection to Dogbone Roundabout Interchange</t>
  </si>
  <si>
    <t>Any # of lanes</t>
  </si>
  <si>
    <t>Wang J, Cicchino JB. Safety effects of roundabout conversions in Carmel, Indiana, the Roundabout City. J Safety Res. 2022 Sep;82:159-165. doi: 10.1016/j.jsr.2022.05.007. Epub 2022 May 21. PMID: 36031243.</t>
  </si>
  <si>
    <t>RCI</t>
  </si>
  <si>
    <t>Convert Two-Way stop to RCI</t>
  </si>
  <si>
    <t>Multilane Arterial</t>
  </si>
  <si>
    <t>Hummer, J. E., Haley, R. L., Ott, S. E., Foyle, R. S., and Cunningham, C. M. "Superstreet Benefits and Capacities." Report No. FHWA/NC/2009-06, North Carolina State University, Raleigh, NC., (2010). Results also published in: Ott, S. E., Haley, R. L., Hummer, J. E., Foyle, R. S., and Cunningham, C. M. "Safety effects of unsignalized superstreets in North Carolina." Accident Analysis and Prevention, Volume 45, (2012).</t>
  </si>
  <si>
    <t>RCUT</t>
  </si>
  <si>
    <t>Convert Signalized Intersection to an RCUT</t>
  </si>
  <si>
    <t>Hummer, J.E., and S. Rao. "Safety Evaluation of a Signalized Restricted Crossing U-Turn." Report No. FHWA-HRT-17-082. Federal Highway Administration. McLean, Virginia. (December 2017).</t>
  </si>
  <si>
    <t>Boulevard Left</t>
  </si>
  <si>
    <t>Convert Intersection to Boulevard Left Turn</t>
  </si>
  <si>
    <t>FHWA HRT 21-024 - FHWA Research and Technology Evaluation: Innovative Intersection Design</t>
  </si>
  <si>
    <t>DDI</t>
  </si>
  <si>
    <t>Convert Diamond Interchange to Diverging Diamond Interchange</t>
  </si>
  <si>
    <t>Abdelrahman, A., M. Abdel-Aty, J. Yuan, and M. Al-Omari. "Systematic Safety Evaluation of Diverging Diamond Interchanges Based on Nationwide Implementation Data". Presented at the 100th Annual Meeting of the Transportation Research Board, Paper No. 21-00026, Washington, D.C., (2021).</t>
  </si>
  <si>
    <t>DLT</t>
  </si>
  <si>
    <t>Convert a conventional signalized intersection to a continuous flow intersection (CFI) with parallel right turn lanes (slip lanes)</t>
  </si>
  <si>
    <t>3-legs</t>
  </si>
  <si>
    <t>Cunningham, C. T. Lee, T. Saleem, and R. Srinivasan. "Development of a Crash Modification Factor for Conversion of a Conventional Signalized Intersection to a CFI." Report No. FHWA/NC/2020-29. North Carolina Department of Transportation. Raleigh, North Carolina. (2022).</t>
  </si>
  <si>
    <t>4-legs</t>
  </si>
  <si>
    <t>Convert a conventional signalized intersection to a continuous flow intersection (CFI) with standard right turn lanes</t>
  </si>
  <si>
    <t>3 or 4 legs</t>
  </si>
  <si>
    <t>Intersection Skew</t>
  </si>
  <si>
    <t>Intersection Skew Angle compared to 90 Degrees</t>
  </si>
  <si>
    <t>3-leg</t>
  </si>
  <si>
    <t>Ingle, A., and T.J. Gates. "Crash Modification Functions for Rural Skewed Intersections". Transportation Research Record, Transportation Research Board of the National Academies of Science, Washington, D.C., (2022).</t>
  </si>
  <si>
    <t>4-leg</t>
  </si>
  <si>
    <t xml:space="preserve">Change intersection skew angle from between 17-27 degrees to 90 degrees. </t>
  </si>
  <si>
    <t xml:space="preserve">Change intersection skew angle from greater than 27 degrees to 90 degrees. </t>
  </si>
  <si>
    <t>Change intersection skew angle from between 17-27 degrees to 90 degrees.</t>
  </si>
  <si>
    <t>Access Management</t>
  </si>
  <si>
    <t>Intall TWLTL (two-way left turn lane) on a four lane road</t>
  </si>
  <si>
    <t>Urban and Suburban</t>
  </si>
  <si>
    <t>Four-lane highways</t>
  </si>
  <si>
    <t xml:space="preserve">Sun, X. &amp; Rahman, A. (2019). Investigating Safety Impact of Center Line Rumble Strips, Lane Conversion, Roundabout, and J-Turn Features on Louisiana Highways </t>
  </si>
  <si>
    <t>Intall TWLTL (two-way left turn lane) on a two lane road</t>
  </si>
  <si>
    <t>Two-lane highways</t>
  </si>
  <si>
    <t>Persaud, B., Lyon, C., Eccles, K., Lefler, N., Carter, D., &amp; Amjadi, R. (2008b). Safety Evaluation of Installing Center Two-Way Left-Turn Lanes on Two-Lane Roads. Washington, D.C.: Federal Highway Administration.</t>
  </si>
  <si>
    <t>Road diet (Convert 4-lane undivided road to 2-lanes plus turning lane)</t>
  </si>
  <si>
    <t xml:space="preserve">Abdel-Aty et al. (2014). VALIDATION AND APPLICATION OF HIGHWAY SAFETY MANUAL (PART D) IN FLORIDA </t>
  </si>
  <si>
    <t>Replace TWLTL with raised median</t>
  </si>
  <si>
    <t>Principal arterials; minor arterials; collectors</t>
  </si>
  <si>
    <t>Mauga, T., &amp; Kaseko, M. (2010). Modeling and Evaluating Safety Impacts of Access Management Features in the Las Vegas, Nevada, Valley. Transportation Research Record: Journal of the Transportation Research Board, 2171, 57-65.
Keep from CRF Table
https://cmfclearinghouse.fhwa.dot.gov/study_detail.php?stid=165</t>
  </si>
  <si>
    <t>Reduce driveway density by 1 driveway per mile*</t>
  </si>
  <si>
    <t>Fitzpatrick, K., Park, E. S., &amp; Schneider IV, W. H. (2008). Potential Accident Modification Factors for Driveway Density on Rural Highways: From Texas Data. Transportation Research Record: Journal of the Transportation Research Board, 2083, 49-61.</t>
  </si>
  <si>
    <t>Reduce driveway density by 2 driveways per mile*</t>
  </si>
  <si>
    <t>Reduce driveway density by 3 driveways per mile*</t>
  </si>
  <si>
    <t>Reduce driveway density by 5 driveways per mile*</t>
  </si>
  <si>
    <t>Principal arterials, minor arterials, or collectors with raised medians</t>
  </si>
  <si>
    <t>Mauga, T., &amp; Kaseko, M. (2010). Modeling and Evaluating Safety Impacts of Access Management Features in the Las Vegas, Nevada, Valley. Transportation Research Record: Journal of the Transportation Research Board, 2171, 57-65.</t>
  </si>
  <si>
    <t>Principal arterials, minor arterials, or collectors with TWLTLs</t>
  </si>
  <si>
    <t>Reduce driveway density by 10 driveways per mile*</t>
  </si>
  <si>
    <t>Reduce driveway density by 15 driveways per mile*</t>
  </si>
  <si>
    <t>Reduce driveway density by 20 driveways per mile*</t>
  </si>
  <si>
    <r>
      <t xml:space="preserve">Factor 4: Mobility Improvement
</t>
    </r>
    <r>
      <rPr>
        <sz val="14"/>
        <color theme="1"/>
        <rFont val="Calibri"/>
        <family val="2"/>
        <scheme val="minor"/>
      </rPr>
      <t>Select the level of mobility improvement in the shaded box below</t>
    </r>
  </si>
  <si>
    <t>Factor 4 awards points based on how the project will improve mobility. See the scoring key below for how points will be awarded based on the level of mobility improvement.</t>
  </si>
  <si>
    <t>Mobility Improvement</t>
  </si>
  <si>
    <t>Scoring Key</t>
  </si>
  <si>
    <t>Input</t>
  </si>
  <si>
    <t>Negative Effect on Mobility</t>
  </si>
  <si>
    <t>Neutral Effect on Mobility</t>
  </si>
  <si>
    <t>LOS Improvement from D to C or Better, or reduction in delay of ≥ 15 seconds</t>
  </si>
  <si>
    <t xml:space="preserve"> LOS improvement from F to C or better, or reduction in delay of ≥ 35 seconds</t>
  </si>
  <si>
    <r>
      <t xml:space="preserve">Factor 5: Public and Other Interest
</t>
    </r>
    <r>
      <rPr>
        <sz val="14"/>
        <color theme="1"/>
        <rFont val="Calibri"/>
        <family val="2"/>
        <scheme val="minor"/>
      </rPr>
      <t>Select the level of public and other interest in the shaded box below</t>
    </r>
  </si>
  <si>
    <t>Factor 5 awards points based on interest from the public or government officials. In order to be awarded 2 or more points, documentation of public concern with the location or  support from a government official must be submitted along with other project documents. See the scoring key below for how points will be awarded based on the level of public and other interest.</t>
  </si>
  <si>
    <t>Public and Other Interest</t>
  </si>
  <si>
    <t>Opposition to the proposed project from a government official</t>
  </si>
  <si>
    <t>No documented public concern, and no support of project</t>
  </si>
  <si>
    <t>Documented public concern with location</t>
  </si>
  <si>
    <t>Documented concern with location from public official</t>
  </si>
  <si>
    <t>Documented support of chosen countermeasure from government official</t>
  </si>
  <si>
    <t>Documented support of chosen countermeasure from multiple government officials</t>
  </si>
  <si>
    <r>
      <t xml:space="preserve">Factor 6: Economic Factors
</t>
    </r>
    <r>
      <rPr>
        <sz val="14"/>
        <color theme="1"/>
        <rFont val="Calibri"/>
        <family val="2"/>
        <scheme val="minor"/>
      </rPr>
      <t>Input the census tract number for the project location in the shaded box below</t>
    </r>
  </si>
  <si>
    <t xml:space="preserve">Factor 6 awards up to 7 points based on median household income in the project census tract. After entering the correct County on the cover sheet, the census tract map (linked below) can be used to identify the census tract mst representative of the project area. If the census tract has an average household income of over $67,000, no points for Factor 6 will be awarded. If the census tract has an average household income of less than $33,000, full points will be awarded for Factor 6. If the project will require complete purchase of any developed parcels, no points will be awarded for Factor 6. </t>
  </si>
  <si>
    <t>EQUITY</t>
  </si>
  <si>
    <t>County</t>
  </si>
  <si>
    <t>Census Tract</t>
  </si>
  <si>
    <t>Census Tract Map</t>
  </si>
  <si>
    <t>Median Household Income:</t>
  </si>
  <si>
    <t>Does the project require the complete purchase of any developed parcels?</t>
  </si>
  <si>
    <t>https://experience.arcgis.com/experience/0920984aa80a4362b8778d779b090723/page/ETC-Explorer---State-Results/</t>
  </si>
  <si>
    <t>Tract:</t>
  </si>
  <si>
    <t>Text:</t>
  </si>
  <si>
    <t>Median Income</t>
  </si>
  <si>
    <t>Median Household Income</t>
  </si>
  <si>
    <t>lctn</t>
  </si>
  <si>
    <t>hhminc</t>
  </si>
  <si>
    <t>Census Tract 301, Adams County, Indiana</t>
  </si>
  <si>
    <t>Census Tract 302, Adams County, Indiana</t>
  </si>
  <si>
    <t>Census Tract 303, Adams County, Indiana</t>
  </si>
  <si>
    <t>Census Tract 304, Adams County, Indiana</t>
  </si>
  <si>
    <t>Census Tract 305, Adams County, Indiana</t>
  </si>
  <si>
    <t>Census Tract 306, Adams County, Indiana</t>
  </si>
  <si>
    <t>Census Tract 307, Adams County, Indiana</t>
  </si>
  <si>
    <t>Census Tract 1, Allen County, Indiana</t>
  </si>
  <si>
    <t>Census Tract 3, Allen County, Indiana</t>
  </si>
  <si>
    <t>Census Tract 4, Allen County, Indiana</t>
  </si>
  <si>
    <t>Census Tract 5, Allen County, Indiana</t>
  </si>
  <si>
    <t>Census Tract 6, Allen County, Indiana</t>
  </si>
  <si>
    <t>Census Tract 7.01, Allen County, Indiana</t>
  </si>
  <si>
    <t>Census Tract 7.04, Allen County, Indiana</t>
  </si>
  <si>
    <t>Census Tract 8, Allen County, Indiana</t>
  </si>
  <si>
    <t>Census Tract 9, Allen County, Indiana</t>
  </si>
  <si>
    <t>Census Tract 10, Allen County, Indiana</t>
  </si>
  <si>
    <t>Census Tract 11, Allen County, Indiana</t>
  </si>
  <si>
    <t>Census Tract 12, Allen County, Indiana</t>
  </si>
  <si>
    <t>Census Tract 13, Allen County, Indiana</t>
  </si>
  <si>
    <t>Census Tract 16, Allen County, Indiana</t>
  </si>
  <si>
    <t>Census Tract 17, Allen County, Indiana</t>
  </si>
  <si>
    <t>Census Tract 20, Allen County, Indiana</t>
  </si>
  <si>
    <t>Census Tract 21, Allen County, Indiana</t>
  </si>
  <si>
    <t>Census Tract 22, Allen County, Indiana</t>
  </si>
  <si>
    <t>Census Tract 23, Allen County, Indiana</t>
  </si>
  <si>
    <t>Census Tract 25, Allen County, Indiana</t>
  </si>
  <si>
    <t>Census Tract 26, Allen County, Indiana</t>
  </si>
  <si>
    <t>Census Tract 28, Allen County, Indiana</t>
  </si>
  <si>
    <t>Census Tract 29, Allen County, Indiana</t>
  </si>
  <si>
    <t>Census Tract 30, Allen County, Indiana</t>
  </si>
  <si>
    <t>Census Tract 31, Allen County, Indiana</t>
  </si>
  <si>
    <t>Census Tract 32, Allen County, Indiana</t>
  </si>
  <si>
    <t>Census Tract 33.01, Allen County, Indiana</t>
  </si>
  <si>
    <t>Census Tract 33.04, Allen County, Indiana</t>
  </si>
  <si>
    <t>Census Tract 34, Allen County, Indiana</t>
  </si>
  <si>
    <t>Census Tract 35, Allen County, Indiana</t>
  </si>
  <si>
    <t>Census Tract 36, Allen County, Indiana</t>
  </si>
  <si>
    <t>Census Tract 37, Allen County, Indiana</t>
  </si>
  <si>
    <t>Census Tract 38, Allen County, Indiana</t>
  </si>
  <si>
    <t>Census Tract 39.01, Allen County, Indiana</t>
  </si>
  <si>
    <t>Census Tract 39.02, Allen County, Indiana</t>
  </si>
  <si>
    <t>Census Tract 40, Allen County, Indiana</t>
  </si>
  <si>
    <t>Census Tract 41.01, Allen County, Indiana</t>
  </si>
  <si>
    <t>Census Tract 41.03, Allen County, Indiana</t>
  </si>
  <si>
    <t>Census Tract 43, Allen County, Indiana</t>
  </si>
  <si>
    <t>Census Tract 44, Allen County, Indiana</t>
  </si>
  <si>
    <t>Census Tract 101, Allen County, Indiana</t>
  </si>
  <si>
    <t>Census Tract 102.01, Allen County, Indiana</t>
  </si>
  <si>
    <t>Census Tract 102.02, Allen County, Indiana</t>
  </si>
  <si>
    <t>Census Tract 103.04, Allen County, Indiana</t>
  </si>
  <si>
    <t>Census Tract 103.05, Allen County, Indiana</t>
  </si>
  <si>
    <t>Census Tract 103.06, Allen County, Indiana</t>
  </si>
  <si>
    <t>Census Tract 103.07, Allen County, Indiana</t>
  </si>
  <si>
    <t>Census Tract 103.08, Allen County, Indiana</t>
  </si>
  <si>
    <t>Census Tract 104, Allen County, Indiana</t>
  </si>
  <si>
    <t>Census Tract 105, Allen County, Indiana</t>
  </si>
  <si>
    <t>Census Tract 106.01, Allen County, Indiana</t>
  </si>
  <si>
    <t>Census Tract 106.02, Allen County, Indiana</t>
  </si>
  <si>
    <t>Census Tract 106.03, Allen County, Indiana</t>
  </si>
  <si>
    <t>Census Tract 106.04, Allen County, Indiana</t>
  </si>
  <si>
    <t>Census Tract 107.05, Allen County, Indiana</t>
  </si>
  <si>
    <t>Census Tract 107.06, Allen County, Indiana</t>
  </si>
  <si>
    <t>Census Tract 107.07, Allen County, Indiana</t>
  </si>
  <si>
    <t>Census Tract 108.03, Allen County, Indiana</t>
  </si>
  <si>
    <t>Census Tract 108.04, Allen County, Indiana</t>
  </si>
  <si>
    <t>Census Tract 108.07, Allen County, Indiana</t>
  </si>
  <si>
    <t>Census Tract 108.08, Allen County, Indiana</t>
  </si>
  <si>
    <t>Census Tract 108.09, Allen County, Indiana</t>
  </si>
  <si>
    <t>Census Tract 108.11, Allen County, Indiana</t>
  </si>
  <si>
    <t>Census Tract 108.12, Allen County, Indiana</t>
  </si>
  <si>
    <t>Census Tract 108.13, Allen County, Indiana</t>
  </si>
  <si>
    <t>Census Tract 108.15, Allen County, Indiana</t>
  </si>
  <si>
    <t>Census Tract 108.16, Allen County, Indiana</t>
  </si>
  <si>
    <t>Census Tract 108.17, Allen County, Indiana</t>
  </si>
  <si>
    <t>Census Tract 108.19, Allen County, Indiana</t>
  </si>
  <si>
    <t>Census Tract 108.21, Allen County, Indiana</t>
  </si>
  <si>
    <t>Census Tract 109, Allen County, Indiana</t>
  </si>
  <si>
    <t>Census Tract 110, Allen County, Indiana</t>
  </si>
  <si>
    <t>Census Tract 111, Allen County, Indiana</t>
  </si>
  <si>
    <t>Census Tract 112.01, Allen County, Indiana</t>
  </si>
  <si>
    <t>Census Tract 112.02, Allen County, Indiana</t>
  </si>
  <si>
    <t>Census Tract 112.04, Allen County, Indiana</t>
  </si>
  <si>
    <t>Census Tract 112.05, Allen County, Indiana</t>
  </si>
  <si>
    <t>Census Tract 113.02, Allen County, Indiana</t>
  </si>
  <si>
    <t>Census Tract 113.03, Allen County, Indiana</t>
  </si>
  <si>
    <t>Census Tract 113.04, Allen County, Indiana</t>
  </si>
  <si>
    <t>Census Tract 115.01, Allen County, Indiana</t>
  </si>
  <si>
    <t>Census Tract 115.02, Allen County, Indiana</t>
  </si>
  <si>
    <t>Census Tract 116.03, Allen County, Indiana</t>
  </si>
  <si>
    <t>Census Tract 116.04, Allen County, Indiana</t>
  </si>
  <si>
    <t>Census Tract 116.05, Allen County, Indiana</t>
  </si>
  <si>
    <t>Census Tract 116.06, Allen County, Indiana</t>
  </si>
  <si>
    <t>Census Tract 116.07, Allen County, Indiana</t>
  </si>
  <si>
    <t>Census Tract 116.08, Allen County, Indiana</t>
  </si>
  <si>
    <t>Census Tract 116.09, Allen County, Indiana</t>
  </si>
  <si>
    <t>Census Tract 117.01, Allen County, Indiana</t>
  </si>
  <si>
    <t>Census Tract 117.02, Allen County, Indiana</t>
  </si>
  <si>
    <t>Census Tract 118.01, Allen County, Indiana</t>
  </si>
  <si>
    <t>Census Tract 118.02, Allen County, Indiana</t>
  </si>
  <si>
    <t>Census Tract 119, Allen County, Indiana</t>
  </si>
  <si>
    <t>Census Tract 9800.01, Allen County, Indiana</t>
  </si>
  <si>
    <t>Census Tract 9800.02, Allen County, Indiana</t>
  </si>
  <si>
    <t>Census Tract 101, Bartholomew County, Indiana</t>
  </si>
  <si>
    <t>Census Tract 102, Bartholomew County, Indiana</t>
  </si>
  <si>
    <t>Census Tract 103, Bartholomew County, Indiana</t>
  </si>
  <si>
    <t>Census Tract 104, Bartholomew County, Indiana</t>
  </si>
  <si>
    <t>Census Tract 105, Bartholomew County, Indiana</t>
  </si>
  <si>
    <t>Census Tract 106, Bartholomew County, Indiana</t>
  </si>
  <si>
    <t>Census Tract 107, Bartholomew County, Indiana</t>
  </si>
  <si>
    <t>Census Tract 108, Bartholomew County, Indiana</t>
  </si>
  <si>
    <t>Census Tract 109, Bartholomew County, Indiana</t>
  </si>
  <si>
    <t>Census Tract 110, Bartholomew County, Indiana</t>
  </si>
  <si>
    <t>Census Tract 111.01, Bartholomew County, Indiana</t>
  </si>
  <si>
    <t>Census Tract 111.02, Bartholomew County, Indiana</t>
  </si>
  <si>
    <t>Census Tract 112, Bartholomew County, Indiana</t>
  </si>
  <si>
    <t>Census Tract 113, Bartholomew County, Indiana</t>
  </si>
  <si>
    <t>Census Tract 114, Bartholomew County, Indiana</t>
  </si>
  <si>
    <t>Census Tract 115, Bartholomew County, Indiana</t>
  </si>
  <si>
    <t>Census Tract 1001, Benton County, Indiana</t>
  </si>
  <si>
    <t>Census Tract 1002, Benton County, Indiana</t>
  </si>
  <si>
    <t>Census Tract 1003, Benton County, Indiana</t>
  </si>
  <si>
    <t>Census Tract 9751, Blackford County, Indiana</t>
  </si>
  <si>
    <t>Census Tract 9752, Blackford County, Indiana</t>
  </si>
  <si>
    <t>Census Tract 9753, Blackford County, Indiana</t>
  </si>
  <si>
    <t>Census Tract 9754, Blackford County, Indiana</t>
  </si>
  <si>
    <t>Census Tract 8101, Boone County, Indiana</t>
  </si>
  <si>
    <t>Census Tract 8102, Boone County, Indiana</t>
  </si>
  <si>
    <t>Census Tract 8103, Boone County, Indiana</t>
  </si>
  <si>
    <t>Census Tract 8104, Boone County, Indiana</t>
  </si>
  <si>
    <t>Census Tract 8105, Boone County, Indiana</t>
  </si>
  <si>
    <t>Census Tract 8106.01, Boone County, Indiana</t>
  </si>
  <si>
    <t>Census Tract 8106.04, Boone County, Indiana</t>
  </si>
  <si>
    <t>Census Tract 8106.05, Boone County, Indiana</t>
  </si>
  <si>
    <t>Census Tract 8106.06, Boone County, Indiana</t>
  </si>
  <si>
    <t>Census Tract 8106.07, Boone County, Indiana</t>
  </si>
  <si>
    <t>Census Tract 8107, Boone County, Indiana</t>
  </si>
  <si>
    <t>Census Tract 9746, Brown County, Indiana</t>
  </si>
  <si>
    <t>Census Tract 9747, Brown County, Indiana</t>
  </si>
  <si>
    <t>Census Tract 9748, Brown County, Indiana</t>
  </si>
  <si>
    <t>Census Tract 9749.01, Brown County, Indiana</t>
  </si>
  <si>
    <t>Census Tract 9749.02, Brown County, Indiana</t>
  </si>
  <si>
    <t>Census Tract 9593, Carroll County, Indiana</t>
  </si>
  <si>
    <t>Census Tract 9594, Carroll County, Indiana</t>
  </si>
  <si>
    <t>Census Tract 9595, Carroll County, Indiana</t>
  </si>
  <si>
    <t>Census Tract 9596, Carroll County, Indiana</t>
  </si>
  <si>
    <t>Census Tract 9597, Carroll County, Indiana</t>
  </si>
  <si>
    <t>Census Tract 9598, Carroll County, Indiana</t>
  </si>
  <si>
    <t>Census Tract 9599, Carroll County, Indiana</t>
  </si>
  <si>
    <t>Census Tract 9509, Cass County, Indiana</t>
  </si>
  <si>
    <t>Census Tract 9510, Cass County, Indiana</t>
  </si>
  <si>
    <t>Census Tract 9511, Cass County, Indiana</t>
  </si>
  <si>
    <t>Census Tract 9512, Cass County, Indiana</t>
  </si>
  <si>
    <t>Census Tract 9513, Cass County, Indiana</t>
  </si>
  <si>
    <t>Census Tract 9514, Cass County, Indiana</t>
  </si>
  <si>
    <t>Census Tract 9515, Cass County, Indiana</t>
  </si>
  <si>
    <t>Census Tract 9516, Cass County, Indiana</t>
  </si>
  <si>
    <t>Census Tract 9517, Cass County, Indiana</t>
  </si>
  <si>
    <t>Census Tract 9518, Cass County, Indiana</t>
  </si>
  <si>
    <t>Census Tract 9519, Cass County, Indiana</t>
  </si>
  <si>
    <t>Census Tract 501, Clark County, Indiana</t>
  </si>
  <si>
    <t>Census Tract 502, Clark County, Indiana</t>
  </si>
  <si>
    <t>Census Tract 503.03, Clark County, Indiana</t>
  </si>
  <si>
    <t>Census Tract 503.04, Clark County, Indiana</t>
  </si>
  <si>
    <t>Census Tract 503.05, Clark County, Indiana</t>
  </si>
  <si>
    <t>Census Tract 503.06, Clark County, Indiana</t>
  </si>
  <si>
    <t>Census Tract 504.01, Clark County, Indiana</t>
  </si>
  <si>
    <t>Census Tract 504.03, Clark County, Indiana</t>
  </si>
  <si>
    <t>Census Tract 504.04, Clark County, Indiana</t>
  </si>
  <si>
    <t>Census Tract 505.03, Clark County, Indiana</t>
  </si>
  <si>
    <t>Census Tract 505.04, Clark County, Indiana</t>
  </si>
  <si>
    <t>Census Tract 505.05, Clark County, Indiana</t>
  </si>
  <si>
    <t>Census Tract 506.03, Clark County, Indiana</t>
  </si>
  <si>
    <t>Census Tract 506.04, Clark County, Indiana</t>
  </si>
  <si>
    <t>Census Tract 506.05, Clark County, Indiana</t>
  </si>
  <si>
    <t>Census Tract 506.06, Clark County, Indiana</t>
  </si>
  <si>
    <t>Census Tract 507.03, Clark County, Indiana</t>
  </si>
  <si>
    <t>Census Tract 507.04, Clark County, Indiana</t>
  </si>
  <si>
    <t>Census Tract 507.05, Clark County, Indiana</t>
  </si>
  <si>
    <t>Census Tract 507.06, Clark County, Indiana</t>
  </si>
  <si>
    <t>Census Tract 508.01, Clark County, Indiana</t>
  </si>
  <si>
    <t>Census Tract 508.03, Clark County, Indiana</t>
  </si>
  <si>
    <t>Census Tract 508.04, Clark County, Indiana</t>
  </si>
  <si>
    <t>Census Tract 509.02, Clark County, Indiana</t>
  </si>
  <si>
    <t>Census Tract 509.03, Clark County, Indiana</t>
  </si>
  <si>
    <t>Census Tract 509.04, Clark County, Indiana</t>
  </si>
  <si>
    <t>Census Tract 510, Clark County, Indiana</t>
  </si>
  <si>
    <t>Census Tract 401, Clay County, Indiana</t>
  </si>
  <si>
    <t>Census Tract 402, Clay County, Indiana</t>
  </si>
  <si>
    <t>Census Tract 403, Clay County, Indiana</t>
  </si>
  <si>
    <t>Census Tract 404, Clay County, Indiana</t>
  </si>
  <si>
    <t>Census Tract 405, Clay County, Indiana</t>
  </si>
  <si>
    <t>Census Tract 406, Clay County, Indiana</t>
  </si>
  <si>
    <t>Census Tract 9501, Clinton County, Indiana</t>
  </si>
  <si>
    <t>Census Tract 9502, Clinton County, Indiana</t>
  </si>
  <si>
    <t>Census Tract 9503, Clinton County, Indiana</t>
  </si>
  <si>
    <t>Census Tract 9504, Clinton County, Indiana</t>
  </si>
  <si>
    <t>Census Tract 9505, Clinton County, Indiana</t>
  </si>
  <si>
    <t>Census Tract 9506, Clinton County, Indiana</t>
  </si>
  <si>
    <t>Census Tract 9507, Clinton County, Indiana</t>
  </si>
  <si>
    <t>Census Tract 9508, Clinton County, Indiana</t>
  </si>
  <si>
    <t>Census Tract 9519, Crawford County, Indiana</t>
  </si>
  <si>
    <t>Census Tract 9520, Crawford County, Indiana</t>
  </si>
  <si>
    <t>Census Tract 9521, Crawford County, Indiana</t>
  </si>
  <si>
    <t>Census Tract 9543, Daviess County, Indiana</t>
  </si>
  <si>
    <t>Census Tract 9544, Daviess County, Indiana</t>
  </si>
  <si>
    <t>Census Tract 9545.01, Daviess County, Indiana</t>
  </si>
  <si>
    <t>Census Tract 9545.02, Daviess County, Indiana</t>
  </si>
  <si>
    <t>Census Tract 9546, Daviess County, Indiana</t>
  </si>
  <si>
    <t>Census Tract 9547, Daviess County, Indiana</t>
  </si>
  <si>
    <t>Census Tract 9548, Daviess County, Indiana</t>
  </si>
  <si>
    <t>Census Tract 9549, Daviess County, Indiana</t>
  </si>
  <si>
    <t>Census Tract 801.01, Dearborn County, Indiana</t>
  </si>
  <si>
    <t>Census Tract 801.03, Dearborn County, Indiana</t>
  </si>
  <si>
    <t>Census Tract 801.04, Dearborn County, Indiana</t>
  </si>
  <si>
    <t>Census Tract 802.01, Dearborn County, Indiana</t>
  </si>
  <si>
    <t>Census Tract 802.03, Dearborn County, Indiana</t>
  </si>
  <si>
    <t>Census Tract 802.04, Dearborn County, Indiana</t>
  </si>
  <si>
    <t>Census Tract 803.01, Dearborn County, Indiana</t>
  </si>
  <si>
    <t>Census Tract 803.02, Dearborn County, Indiana</t>
  </si>
  <si>
    <t>Census Tract 804, Dearborn County, Indiana</t>
  </si>
  <si>
    <t>Census Tract 805, Dearborn County, Indiana</t>
  </si>
  <si>
    <t>Census Tract 806.01, Dearborn County, Indiana</t>
  </si>
  <si>
    <t>Census Tract 806.02, Dearborn County, Indiana</t>
  </si>
  <si>
    <t>Census Tract 807, Dearborn County, Indiana</t>
  </si>
  <si>
    <t>Census Tract 9690, Decatur County, Indiana</t>
  </si>
  <si>
    <t>Census Tract 9691, Decatur County, Indiana</t>
  </si>
  <si>
    <t>Census Tract 9692, Decatur County, Indiana</t>
  </si>
  <si>
    <t>Census Tract 9693, Decatur County, Indiana</t>
  </si>
  <si>
    <t>Census Tract 9694, Decatur County, Indiana</t>
  </si>
  <si>
    <t>Census Tract 9695, Decatur County, Indiana</t>
  </si>
  <si>
    <t>Census Tract 201, DeKalb County, Indiana</t>
  </si>
  <si>
    <t>Census Tract 202, DeKalb County, Indiana</t>
  </si>
  <si>
    <t>Census Tract 203, DeKalb County, Indiana</t>
  </si>
  <si>
    <t>Census Tract 204, DeKalb County, Indiana</t>
  </si>
  <si>
    <t>Census Tract 205, DeKalb County, Indiana</t>
  </si>
  <si>
    <t>Census Tract 206.01, DeKalb County, Indiana</t>
  </si>
  <si>
    <t>Census Tract 206.02, DeKalb County, Indiana</t>
  </si>
  <si>
    <t>Census Tract 207, DeKalb County, Indiana</t>
  </si>
  <si>
    <t>Census Tract 208, DeKalb County, Indiana</t>
  </si>
  <si>
    <t>Census Tract 3, Delaware County, Indiana</t>
  </si>
  <si>
    <t>Census Tract 4, Delaware County, Indiana</t>
  </si>
  <si>
    <t>Census Tract 5, Delaware County, Indiana</t>
  </si>
  <si>
    <t>Census Tract 6, Delaware County, Indiana</t>
  </si>
  <si>
    <t>Census Tract 7, Delaware County, Indiana</t>
  </si>
  <si>
    <t>Census Tract 8, Delaware County, Indiana</t>
  </si>
  <si>
    <t>Census Tract 9.02, Delaware County, Indiana</t>
  </si>
  <si>
    <t>Census Tract 9.03, Delaware County, Indiana</t>
  </si>
  <si>
    <t>Census Tract 9.04, Delaware County, Indiana</t>
  </si>
  <si>
    <t>Census Tract 10, Delaware County, Indiana</t>
  </si>
  <si>
    <t>Census Tract 11, Delaware County, Indiana</t>
  </si>
  <si>
    <t>Census Tract 12, Delaware County, Indiana</t>
  </si>
  <si>
    <t>Census Tract 13, Delaware County, Indiana</t>
  </si>
  <si>
    <t>Census Tract 14, Delaware County, Indiana</t>
  </si>
  <si>
    <t>Census Tract 15, Delaware County, Indiana</t>
  </si>
  <si>
    <t>Census Tract 16, Delaware County, Indiana</t>
  </si>
  <si>
    <t>Census Tract 17, Delaware County, Indiana</t>
  </si>
  <si>
    <t>Census Tract 20, Delaware County, Indiana</t>
  </si>
  <si>
    <t>Census Tract 21, Delaware County, Indiana</t>
  </si>
  <si>
    <t>Census Tract 22.01, Delaware County, Indiana</t>
  </si>
  <si>
    <t>Census Tract 22.02, Delaware County, Indiana</t>
  </si>
  <si>
    <t>Census Tract 23.01, Delaware County, Indiana</t>
  </si>
  <si>
    <t>Census Tract 23.02, Delaware County, Indiana</t>
  </si>
  <si>
    <t>Census Tract 24.01, Delaware County, Indiana</t>
  </si>
  <si>
    <t>Census Tract 24.03, Delaware County, Indiana</t>
  </si>
  <si>
    <t>Census Tract 24.04, Delaware County, Indiana</t>
  </si>
  <si>
    <t>Census Tract 25.01, Delaware County, Indiana</t>
  </si>
  <si>
    <t>Census Tract 25.02, Delaware County, Indiana</t>
  </si>
  <si>
    <t>Census Tract 26.02, Delaware County, Indiana</t>
  </si>
  <si>
    <t>Census Tract 26.03, Delaware County, Indiana</t>
  </si>
  <si>
    <t>Census Tract 26.04, Delaware County, Indiana</t>
  </si>
  <si>
    <t>Census Tract 27, Delaware County, Indiana</t>
  </si>
  <si>
    <t>Census Tract 28, Delaware County, Indiana</t>
  </si>
  <si>
    <t>Census Tract 29, Delaware County, Indiana</t>
  </si>
  <si>
    <t>Census Tract 9532, Dubois County, Indiana</t>
  </si>
  <si>
    <t>Census Tract 9533.01, Dubois County, Indiana</t>
  </si>
  <si>
    <t>Census Tract 9533.02, Dubois County, Indiana</t>
  </si>
  <si>
    <t>Census Tract 9534, Dubois County, Indiana</t>
  </si>
  <si>
    <t>Census Tract 9535, Dubois County, Indiana</t>
  </si>
  <si>
    <t>Census Tract 9536, Dubois County, Indiana</t>
  </si>
  <si>
    <t>Census Tract 9537.01, Dubois County, Indiana</t>
  </si>
  <si>
    <t>Census Tract 9537.02, Dubois County, Indiana</t>
  </si>
  <si>
    <t>Census Tract 9538, Dubois County, Indiana</t>
  </si>
  <si>
    <t>Census Tract 1, Elkhart County, Indiana</t>
  </si>
  <si>
    <t>Census Tract 2.01, Elkhart County, Indiana</t>
  </si>
  <si>
    <t>Census Tract 2.02, Elkhart County, Indiana</t>
  </si>
  <si>
    <t>Census Tract 3.01, Elkhart County, Indiana</t>
  </si>
  <si>
    <t>Census Tract 3.02, Elkhart County, Indiana</t>
  </si>
  <si>
    <t>Census Tract 4, Elkhart County, Indiana</t>
  </si>
  <si>
    <t>Census Tract 5.01, Elkhart County, Indiana</t>
  </si>
  <si>
    <t>Census Tract 5.02, Elkhart County, Indiana</t>
  </si>
  <si>
    <t>Census Tract 6.01, Elkhart County, Indiana</t>
  </si>
  <si>
    <t>Census Tract 6.02, Elkhart County, Indiana</t>
  </si>
  <si>
    <t>Census Tract 7.01, Elkhart County, Indiana</t>
  </si>
  <si>
    <t>Census Tract 7.02, Elkhart County, Indiana</t>
  </si>
  <si>
    <t>Census Tract 8.01, Elkhart County, Indiana</t>
  </si>
  <si>
    <t>Census Tract 8.03, Elkhart County, Indiana</t>
  </si>
  <si>
    <t>Census Tract 8.04, Elkhart County, Indiana</t>
  </si>
  <si>
    <t>Census Tract 9.01, Elkhart County, Indiana</t>
  </si>
  <si>
    <t>Census Tract 9.02, Elkhart County, Indiana</t>
  </si>
  <si>
    <t>Census Tract 10, Elkhart County, Indiana</t>
  </si>
  <si>
    <t>Census Tract 11, Elkhart County, Indiana</t>
  </si>
  <si>
    <t>Census Tract 12, Elkhart County, Indiana</t>
  </si>
  <si>
    <t>Census Tract 13.01, Elkhart County, Indiana</t>
  </si>
  <si>
    <t>Census Tract 13.02, Elkhart County, Indiana</t>
  </si>
  <si>
    <t>Census Tract 14.01, Elkhart County, Indiana</t>
  </si>
  <si>
    <t>Census Tract 14.02, Elkhart County, Indiana</t>
  </si>
  <si>
    <t>Census Tract 15.01, Elkhart County, Indiana</t>
  </si>
  <si>
    <t>Census Tract 15.02, Elkhart County, Indiana</t>
  </si>
  <si>
    <t>Census Tract 16.01, Elkhart County, Indiana</t>
  </si>
  <si>
    <t>Census Tract 16.02, Elkhart County, Indiana</t>
  </si>
  <si>
    <t>Census Tract 17.01, Elkhart County, Indiana</t>
  </si>
  <si>
    <t>Census Tract 17.02, Elkhart County, Indiana</t>
  </si>
  <si>
    <t>Census Tract 18.01, Elkhart County, Indiana</t>
  </si>
  <si>
    <t>Census Tract 18.02, Elkhart County, Indiana</t>
  </si>
  <si>
    <t>Census Tract 19.01, Elkhart County, Indiana</t>
  </si>
  <si>
    <t>Census Tract 19.02, Elkhart County, Indiana</t>
  </si>
  <si>
    <t>Census Tract 20.01, Elkhart County, Indiana</t>
  </si>
  <si>
    <t>Census Tract 20.02, Elkhart County, Indiana</t>
  </si>
  <si>
    <t>Census Tract 21.01, Elkhart County, Indiana</t>
  </si>
  <si>
    <t>Census Tract 21.02, Elkhart County, Indiana</t>
  </si>
  <si>
    <t>Census Tract 22.01, Elkhart County, Indiana</t>
  </si>
  <si>
    <t>Census Tract 22.02, Elkhart County, Indiana</t>
  </si>
  <si>
    <t>Census Tract 23, Elkhart County, Indiana</t>
  </si>
  <si>
    <t>Census Tract 24, Elkhart County, Indiana</t>
  </si>
  <si>
    <t>Census Tract 26, Elkhart County, Indiana</t>
  </si>
  <si>
    <t>Census Tract 27, Elkhart County, Indiana</t>
  </si>
  <si>
    <t>Census Tract 29, Elkhart County, Indiana</t>
  </si>
  <si>
    <t>Census Tract 9540, Fayette County, Indiana</t>
  </si>
  <si>
    <t>Census Tract 9541, Fayette County, Indiana</t>
  </si>
  <si>
    <t>Census Tract 9542, Fayette County, Indiana</t>
  </si>
  <si>
    <t>Census Tract 9543, Fayette County, Indiana</t>
  </si>
  <si>
    <t>Census Tract 9544, Fayette County, Indiana</t>
  </si>
  <si>
    <t>Census Tract 9545, Fayette County, Indiana</t>
  </si>
  <si>
    <t>Census Tract 9546, Fayette County, Indiana</t>
  </si>
  <si>
    <t>Census Tract 702, Floyd County, Indiana</t>
  </si>
  <si>
    <t>Census Tract 703.01, Floyd County, Indiana</t>
  </si>
  <si>
    <t>Census Tract 703.02, Floyd County, Indiana</t>
  </si>
  <si>
    <t>Census Tract 704, Floyd County, Indiana</t>
  </si>
  <si>
    <t>Census Tract 705, Floyd County, Indiana</t>
  </si>
  <si>
    <t>Census Tract 706, Floyd County, Indiana</t>
  </si>
  <si>
    <t>Census Tract 707, Floyd County, Indiana</t>
  </si>
  <si>
    <t>Census Tract 708.01, Floyd County, Indiana</t>
  </si>
  <si>
    <t>Census Tract 708.02, Floyd County, Indiana</t>
  </si>
  <si>
    <t>Census Tract 709.01, Floyd County, Indiana</t>
  </si>
  <si>
    <t>Census Tract 709.02, Floyd County, Indiana</t>
  </si>
  <si>
    <t>Census Tract 710.03, Floyd County, Indiana</t>
  </si>
  <si>
    <t>Census Tract 710.04, Floyd County, Indiana</t>
  </si>
  <si>
    <t>Census Tract 710.05, Floyd County, Indiana</t>
  </si>
  <si>
    <t>Census Tract 710.06, Floyd County, Indiana</t>
  </si>
  <si>
    <t>Census Tract 710.07, Floyd County, Indiana</t>
  </si>
  <si>
    <t>Census Tract 711.01, Floyd County, Indiana</t>
  </si>
  <si>
    <t>Census Tract 711.03, Floyd County, Indiana</t>
  </si>
  <si>
    <t>Census Tract 711.04, Floyd County, Indiana</t>
  </si>
  <si>
    <t>Census Tract 712, Floyd County, Indiana</t>
  </si>
  <si>
    <t>Census Tract 9576, Fountain County, Indiana</t>
  </si>
  <si>
    <t>Census Tract 9577, Fountain County, Indiana</t>
  </si>
  <si>
    <t>Census Tract 9578, Fountain County, Indiana</t>
  </si>
  <si>
    <t>Census Tract 9579, Fountain County, Indiana</t>
  </si>
  <si>
    <t>Census Tract 9580, Fountain County, Indiana</t>
  </si>
  <si>
    <t>Census Tract 9601, Franklin County, Indiana</t>
  </si>
  <si>
    <t>Census Tract 9696, Franklin County, Indiana</t>
  </si>
  <si>
    <t>Census Tract 9697, Franklin County, Indiana</t>
  </si>
  <si>
    <t>Census Tract 9698, Franklin County, Indiana</t>
  </si>
  <si>
    <t>Census Tract 9699, Franklin County, Indiana</t>
  </si>
  <si>
    <t>Census Tract 9530, Fulton County, Indiana</t>
  </si>
  <si>
    <t>Census Tract 9531, Fulton County, Indiana</t>
  </si>
  <si>
    <t>Census Tract 9532, Fulton County, Indiana</t>
  </si>
  <si>
    <t>Census Tract 9533, Fulton County, Indiana</t>
  </si>
  <si>
    <t>Census Tract 9534, Fulton County, Indiana</t>
  </si>
  <si>
    <t>Census Tract 9535, Fulton County, Indiana</t>
  </si>
  <si>
    <t>Census Tract 501, Gibson County, Indiana</t>
  </si>
  <si>
    <t>Census Tract 502.01, Gibson County, Indiana</t>
  </si>
  <si>
    <t>Census Tract 502.02, Gibson County, Indiana</t>
  </si>
  <si>
    <t>Census Tract 503, Gibson County, Indiana</t>
  </si>
  <si>
    <t>Census Tract 504.01, Gibson County, Indiana</t>
  </si>
  <si>
    <t>Census Tract 504.02, Gibson County, Indiana</t>
  </si>
  <si>
    <t>Census Tract 505.01, Gibson County, Indiana</t>
  </si>
  <si>
    <t>Census Tract 505.02, Gibson County, Indiana</t>
  </si>
  <si>
    <t>Census Tract 1, Grant County, Indiana</t>
  </si>
  <si>
    <t>Census Tract 2, Grant County, Indiana</t>
  </si>
  <si>
    <t>Census Tract 4, Grant County, Indiana</t>
  </si>
  <si>
    <t>Census Tract 5, Grant County, Indiana</t>
  </si>
  <si>
    <t>Census Tract 6, Grant County, Indiana</t>
  </si>
  <si>
    <t>Census Tract 7, Grant County, Indiana</t>
  </si>
  <si>
    <t>Census Tract 8, Grant County, Indiana</t>
  </si>
  <si>
    <t>Census Tract 9, Grant County, Indiana</t>
  </si>
  <si>
    <t>Census Tract 101, Grant County, Indiana</t>
  </si>
  <si>
    <t>Census Tract 102, Grant County, Indiana</t>
  </si>
  <si>
    <t>Census Tract 103, Grant County, Indiana</t>
  </si>
  <si>
    <t>Census Tract 104, Grant County, Indiana</t>
  </si>
  <si>
    <t>Census Tract 105, Grant County, Indiana</t>
  </si>
  <si>
    <t>Census Tract 106, Grant County, Indiana</t>
  </si>
  <si>
    <t>Census Tract 107, Grant County, Indiana</t>
  </si>
  <si>
    <t>Census Tract 108, Grant County, Indiana</t>
  </si>
  <si>
    <t>Census Tract 9547.01, Greene County, Indiana</t>
  </si>
  <si>
    <t>Census Tract 9547.02, Greene County, Indiana</t>
  </si>
  <si>
    <t>Census Tract 9548, Greene County, Indiana</t>
  </si>
  <si>
    <t>Census Tract 9549, Greene County, Indiana</t>
  </si>
  <si>
    <t>Census Tract 9550, Greene County, Indiana</t>
  </si>
  <si>
    <t>Census Tract 9551, Greene County, Indiana</t>
  </si>
  <si>
    <t>Census Tract 9552, Greene County, Indiana</t>
  </si>
  <si>
    <t>Census Tract 9553, Greene County, Indiana</t>
  </si>
  <si>
    <t>Census Tract 9554, Greene County, Indiana</t>
  </si>
  <si>
    <t>Census Tract 1101.01, Hamilton County, Indiana</t>
  </si>
  <si>
    <t>Census Tract 1101.02, Hamilton County, Indiana</t>
  </si>
  <si>
    <t>Census Tract 1102.01, Hamilton County, Indiana</t>
  </si>
  <si>
    <t>Census Tract 1102.02, Hamilton County, Indiana</t>
  </si>
  <si>
    <t>Census Tract 1103.01, Hamilton County, Indiana</t>
  </si>
  <si>
    <t>Census Tract 1103.02, Hamilton County, Indiana</t>
  </si>
  <si>
    <t>Census Tract 1103.03, Hamilton County, Indiana</t>
  </si>
  <si>
    <t>Census Tract 1104.01, Hamilton County, Indiana</t>
  </si>
  <si>
    <t>Census Tract 1104.04, Hamilton County, Indiana</t>
  </si>
  <si>
    <t>Census Tract 1104.05, Hamilton County, Indiana</t>
  </si>
  <si>
    <t>Census Tract 1104.06, Hamilton County, Indiana</t>
  </si>
  <si>
    <t>Census Tract 1105.05, Hamilton County, Indiana</t>
  </si>
  <si>
    <t>Census Tract 1105.09, Hamilton County, Indiana</t>
  </si>
  <si>
    <t>Census Tract 1105.11, Hamilton County, Indiana</t>
  </si>
  <si>
    <t>Census Tract 1105.12, Hamilton County, Indiana</t>
  </si>
  <si>
    <t>Census Tract 1105.13, Hamilton County, Indiana</t>
  </si>
  <si>
    <t>Census Tract 1105.14, Hamilton County, Indiana</t>
  </si>
  <si>
    <t>Census Tract 1105.15, Hamilton County, Indiana</t>
  </si>
  <si>
    <t>Census Tract 1105.16, Hamilton County, Indiana</t>
  </si>
  <si>
    <t>Census Tract 1105.17, Hamilton County, Indiana</t>
  </si>
  <si>
    <t>Census Tract 1105.18, Hamilton County, Indiana</t>
  </si>
  <si>
    <t>Census Tract 1106, Hamilton County, Indiana</t>
  </si>
  <si>
    <t>Census Tract 1107, Hamilton County, Indiana</t>
  </si>
  <si>
    <t>Census Tract 1108.05, Hamilton County, Indiana</t>
  </si>
  <si>
    <t>Census Tract 1108.07, Hamilton County, Indiana</t>
  </si>
  <si>
    <t>Census Tract 1108.10, Hamilton County, Indiana</t>
  </si>
  <si>
    <t>Census Tract 1108.11, Hamilton County, Indiana</t>
  </si>
  <si>
    <t>Census Tract 1108.12, Hamilton County, Indiana</t>
  </si>
  <si>
    <t>Census Tract 1108.13, Hamilton County, Indiana</t>
  </si>
  <si>
    <t>Census Tract 1108.14, Hamilton County, Indiana</t>
  </si>
  <si>
    <t>Census Tract 1108.15, Hamilton County, Indiana</t>
  </si>
  <si>
    <t>Census Tract 1108.16, Hamilton County, Indiana</t>
  </si>
  <si>
    <t>Census Tract 1108.17, Hamilton County, Indiana</t>
  </si>
  <si>
    <t>Census Tract 1108.18, Hamilton County, Indiana</t>
  </si>
  <si>
    <t>Census Tract 1108.19, Hamilton County, Indiana</t>
  </si>
  <si>
    <t>Census Tract 1108.20, Hamilton County, Indiana</t>
  </si>
  <si>
    <t>Census Tract 1108.21, Hamilton County, Indiana</t>
  </si>
  <si>
    <t>Census Tract 1108.22, Hamilton County, Indiana</t>
  </si>
  <si>
    <t>Census Tract 1109.04, Hamilton County, Indiana</t>
  </si>
  <si>
    <t>Census Tract 1109.05, Hamilton County, Indiana</t>
  </si>
  <si>
    <t>Census Tract 1109.06, Hamilton County, Indiana</t>
  </si>
  <si>
    <t>Census Tract 1109.07, Hamilton County, Indiana</t>
  </si>
  <si>
    <t>Census Tract 1109.09, Hamilton County, Indiana</t>
  </si>
  <si>
    <t>Census Tract 1109.10, Hamilton County, Indiana</t>
  </si>
  <si>
    <t>Census Tract 1109.11, Hamilton County, Indiana</t>
  </si>
  <si>
    <t>Census Tract 1109.12, Hamilton County, Indiana</t>
  </si>
  <si>
    <t>Census Tract 1110.03, Hamilton County, Indiana</t>
  </si>
  <si>
    <t>Census Tract 1110.04, Hamilton County, Indiana</t>
  </si>
  <si>
    <t>Census Tract 1110.06, Hamilton County, Indiana</t>
  </si>
  <si>
    <t>Census Tract 1110.07, Hamilton County, Indiana</t>
  </si>
  <si>
    <t>Census Tract 1110.09, Hamilton County, Indiana</t>
  </si>
  <si>
    <t>Census Tract 1110.10, Hamilton County, Indiana</t>
  </si>
  <si>
    <t>Census Tract 1110.11, Hamilton County, Indiana</t>
  </si>
  <si>
    <t>Census Tract 1110.12, Hamilton County, Indiana</t>
  </si>
  <si>
    <t>Census Tract 1111.01, Hamilton County, Indiana</t>
  </si>
  <si>
    <t>Census Tract 1111.03, Hamilton County, Indiana</t>
  </si>
  <si>
    <t>Census Tract 1111.04, Hamilton County, Indiana</t>
  </si>
  <si>
    <t>Census Tract 4101, Hancock County, Indiana</t>
  </si>
  <si>
    <t>Census Tract 4102.01, Hancock County, Indiana</t>
  </si>
  <si>
    <t>Census Tract 4102.02, Hancock County, Indiana</t>
  </si>
  <si>
    <t>Census Tract 4103.01, Hancock County, Indiana</t>
  </si>
  <si>
    <t>Census Tract 4103.02, Hancock County, Indiana</t>
  </si>
  <si>
    <t>Census Tract 4104.01, Hancock County, Indiana</t>
  </si>
  <si>
    <t>Census Tract 4104.02, Hancock County, Indiana</t>
  </si>
  <si>
    <t>Census Tract 4105, Hancock County, Indiana</t>
  </si>
  <si>
    <t>Census Tract 4106, Hancock County, Indiana</t>
  </si>
  <si>
    <t>Census Tract 4107, Hancock County, Indiana</t>
  </si>
  <si>
    <t>Census Tract 4108.01, Hancock County, Indiana</t>
  </si>
  <si>
    <t>Census Tract 4108.02, Hancock County, Indiana</t>
  </si>
  <si>
    <t>Census Tract 4109.01, Hancock County, Indiana</t>
  </si>
  <si>
    <t>Census Tract 4109.02, Hancock County, Indiana</t>
  </si>
  <si>
    <t>Census Tract 4110, Hancock County, Indiana</t>
  </si>
  <si>
    <t>Census Tract 601, Harrison County, Indiana</t>
  </si>
  <si>
    <t>Census Tract 602.01, Harrison County, Indiana</t>
  </si>
  <si>
    <t>Census Tract 602.02, Harrison County, Indiana</t>
  </si>
  <si>
    <t>Census Tract 603, Harrison County, Indiana</t>
  </si>
  <si>
    <t>Census Tract 604.01, Harrison County, Indiana</t>
  </si>
  <si>
    <t>Census Tract 604.02, Harrison County, Indiana</t>
  </si>
  <si>
    <t>Census Tract 605, Harrison County, Indiana</t>
  </si>
  <si>
    <t>Census Tract 606.01, Harrison County, Indiana</t>
  </si>
  <si>
    <t>Census Tract 606.02, Harrison County, Indiana</t>
  </si>
  <si>
    <t>Census Tract 2101.03, Hendricks County, Indiana</t>
  </si>
  <si>
    <t>Census Tract 2101.05, Hendricks County, Indiana</t>
  </si>
  <si>
    <t>Census Tract 2101.06, Hendricks County, Indiana</t>
  </si>
  <si>
    <t>Census Tract 2101.07, Hendricks County, Indiana</t>
  </si>
  <si>
    <t>Census Tract 2101.08, Hendricks County, Indiana</t>
  </si>
  <si>
    <t>Census Tract 2101.09, Hendricks County, Indiana</t>
  </si>
  <si>
    <t>Census Tract 2102.01, Hendricks County, Indiana</t>
  </si>
  <si>
    <t>Census Tract 2102.03, Hendricks County, Indiana</t>
  </si>
  <si>
    <t>Census Tract 2102.04, Hendricks County, Indiana</t>
  </si>
  <si>
    <t>Census Tract 2103, Hendricks County, Indiana</t>
  </si>
  <si>
    <t>Census Tract 2104, Hendricks County, Indiana</t>
  </si>
  <si>
    <t>Census Tract 2105.01, Hendricks County, Indiana</t>
  </si>
  <si>
    <t>Census Tract 2105.02, Hendricks County, Indiana</t>
  </si>
  <si>
    <t>Census Tract 2106.07, Hendricks County, Indiana</t>
  </si>
  <si>
    <t>Census Tract 2106.08, Hendricks County, Indiana</t>
  </si>
  <si>
    <t>Census Tract 2106.09, Hendricks County, Indiana</t>
  </si>
  <si>
    <t>Census Tract 2106.10, Hendricks County, Indiana</t>
  </si>
  <si>
    <t>Census Tract 2106.11, Hendricks County, Indiana</t>
  </si>
  <si>
    <t>Census Tract 2106.12, Hendricks County, Indiana</t>
  </si>
  <si>
    <t>Census Tract 2106.13, Hendricks County, Indiana</t>
  </si>
  <si>
    <t>Census Tract 2106.14, Hendricks County, Indiana</t>
  </si>
  <si>
    <t>Census Tract 2106.15, Hendricks County, Indiana</t>
  </si>
  <si>
    <t>Census Tract 2106.16, Hendricks County, Indiana</t>
  </si>
  <si>
    <t>Census Tract 2106.17, Hendricks County, Indiana</t>
  </si>
  <si>
    <t>Census Tract 2107.01, Hendricks County, Indiana</t>
  </si>
  <si>
    <t>Census Tract 2107.02, Hendricks County, Indiana</t>
  </si>
  <si>
    <t>Census Tract 2108.01, Hendricks County, Indiana</t>
  </si>
  <si>
    <t>Census Tract 2108.02, Hendricks County, Indiana</t>
  </si>
  <si>
    <t>Census Tract 2109, Hendricks County, Indiana</t>
  </si>
  <si>
    <t>Census Tract 2110, Hendricks County, Indiana</t>
  </si>
  <si>
    <t>Census Tract 2111, Hendricks County, Indiana</t>
  </si>
  <si>
    <t>Census Tract 9755, Henry County, Indiana</t>
  </si>
  <si>
    <t>Census Tract 9756, Henry County, Indiana</t>
  </si>
  <si>
    <t>Census Tract 9757, Henry County, Indiana</t>
  </si>
  <si>
    <t>Census Tract 9758, Henry County, Indiana</t>
  </si>
  <si>
    <t>Census Tract 9759, Henry County, Indiana</t>
  </si>
  <si>
    <t>Census Tract 9760, Henry County, Indiana</t>
  </si>
  <si>
    <t>Census Tract 9761, Henry County, Indiana</t>
  </si>
  <si>
    <t>Census Tract 9763, Henry County, Indiana</t>
  </si>
  <si>
    <t>Census Tract 9764, Henry County, Indiana</t>
  </si>
  <si>
    <t>Census Tract 9765, Henry County, Indiana</t>
  </si>
  <si>
    <t>Census Tract 9766, Henry County, Indiana</t>
  </si>
  <si>
    <t>Census Tract 9767, Henry County, Indiana</t>
  </si>
  <si>
    <t>Census Tract 9768, Henry County, Indiana</t>
  </si>
  <si>
    <t>Census Tract 2, Howard County, Indiana</t>
  </si>
  <si>
    <t>Census Tract 3, Howard County, Indiana</t>
  </si>
  <si>
    <t>Census Tract 4, Howard County, Indiana</t>
  </si>
  <si>
    <t>Census Tract 5, Howard County, Indiana</t>
  </si>
  <si>
    <t>Census Tract 6, Howard County, Indiana</t>
  </si>
  <si>
    <t>Census Tract 7, Howard County, Indiana</t>
  </si>
  <si>
    <t>Census Tract 8, Howard County, Indiana</t>
  </si>
  <si>
    <t>Census Tract 9, Howard County, Indiana</t>
  </si>
  <si>
    <t>Census Tract 10, Howard County, Indiana</t>
  </si>
  <si>
    <t>Census Tract 11, Howard County, Indiana</t>
  </si>
  <si>
    <t>Census Tract 12, Howard County, Indiana</t>
  </si>
  <si>
    <t>Census Tract 13, Howard County, Indiana</t>
  </si>
  <si>
    <t>Census Tract 14, Howard County, Indiana</t>
  </si>
  <si>
    <t>Census Tract 15, Howard County, Indiana</t>
  </si>
  <si>
    <t>Census Tract 101, Howard County, Indiana</t>
  </si>
  <si>
    <t>Census Tract 102.01, Howard County, Indiana</t>
  </si>
  <si>
    <t>Census Tract 102.02, Howard County, Indiana</t>
  </si>
  <si>
    <t>Census Tract 103, Howard County, Indiana</t>
  </si>
  <si>
    <t>Census Tract 104, Howard County, Indiana</t>
  </si>
  <si>
    <t>Census Tract 105, Howard County, Indiana</t>
  </si>
  <si>
    <t>Census Tract 106, Howard County, Indiana</t>
  </si>
  <si>
    <t>Census Tract 9613, Huntington County, Indiana</t>
  </si>
  <si>
    <t>Census Tract 9614, Huntington County, Indiana</t>
  </si>
  <si>
    <t>Census Tract 9615, Huntington County, Indiana</t>
  </si>
  <si>
    <t>Census Tract 9616, Huntington County, Indiana</t>
  </si>
  <si>
    <t>Census Tract 9617, Huntington County, Indiana</t>
  </si>
  <si>
    <t>Census Tract 9618, Huntington County, Indiana</t>
  </si>
  <si>
    <t>Census Tract 9619, Huntington County, Indiana</t>
  </si>
  <si>
    <t>Census Tract 9620, Huntington County, Indiana</t>
  </si>
  <si>
    <t>Census Tract 9621, Huntington County, Indiana</t>
  </si>
  <si>
    <t>Census Tract 9675.01, Jackson County, Indiana</t>
  </si>
  <si>
    <t>Census Tract 9675.02, Jackson County, Indiana</t>
  </si>
  <si>
    <t>Census Tract 9676, Jackson County, Indiana</t>
  </si>
  <si>
    <t>Census Tract 9677, Jackson County, Indiana</t>
  </si>
  <si>
    <t>Census Tract 9678, Jackson County, Indiana</t>
  </si>
  <si>
    <t>Census Tract 9679.01, Jackson County, Indiana</t>
  </si>
  <si>
    <t>Census Tract 9679.02, Jackson County, Indiana</t>
  </si>
  <si>
    <t>Census Tract 9680, Jackson County, Indiana</t>
  </si>
  <si>
    <t>Census Tract 9681, Jackson County, Indiana</t>
  </si>
  <si>
    <t>Census Tract 9682, Jackson County, Indiana</t>
  </si>
  <si>
    <t>Census Tract 9683, Jackson County, Indiana</t>
  </si>
  <si>
    <t>Census Tract 1004, Jasper County, Indiana</t>
  </si>
  <si>
    <t>Census Tract 1008, Jasper County, Indiana</t>
  </si>
  <si>
    <t>Census Tract 1009.01, Jasper County, Indiana</t>
  </si>
  <si>
    <t>Census Tract 1009.02, Jasper County, Indiana</t>
  </si>
  <si>
    <t>Census Tract 1010, Jasper County, Indiana</t>
  </si>
  <si>
    <t>Census Tract 1011, Jasper County, Indiana</t>
  </si>
  <si>
    <t>Census Tract 1012, Jasper County, Indiana</t>
  </si>
  <si>
    <t>Census Tract 1013, Jasper County, Indiana</t>
  </si>
  <si>
    <t>Census Tract 9627, Jay County, Indiana</t>
  </si>
  <si>
    <t>Census Tract 9628, Jay County, Indiana</t>
  </si>
  <si>
    <t>Census Tract 9629, Jay County, Indiana</t>
  </si>
  <si>
    <t>Census Tract 9630, Jay County, Indiana</t>
  </si>
  <si>
    <t>Census Tract 9631, Jay County, Indiana</t>
  </si>
  <si>
    <t>Census Tract 9632, Jay County, Indiana</t>
  </si>
  <si>
    <t>Census Tract 9633, Jay County, Indiana</t>
  </si>
  <si>
    <t>Census Tract 9660, Jefferson County, Indiana</t>
  </si>
  <si>
    <t>Census Tract 9661, Jefferson County, Indiana</t>
  </si>
  <si>
    <t>Census Tract 9662, Jefferson County, Indiana</t>
  </si>
  <si>
    <t>Census Tract 9663, Jefferson County, Indiana</t>
  </si>
  <si>
    <t>Census Tract 9664, Jefferson County, Indiana</t>
  </si>
  <si>
    <t>Census Tract 9665, Jefferson County, Indiana</t>
  </si>
  <si>
    <t>Census Tract 9666, Jefferson County, Indiana</t>
  </si>
  <si>
    <t>Census Tract 9602, Jennings County, Indiana</t>
  </si>
  <si>
    <t>Census Tract 9603.01, Jennings County, Indiana</t>
  </si>
  <si>
    <t>Census Tract 9603.02, Jennings County, Indiana</t>
  </si>
  <si>
    <t>Census Tract 9604, Jennings County, Indiana</t>
  </si>
  <si>
    <t>Census Tract 9605, Jennings County, Indiana</t>
  </si>
  <si>
    <t>Census Tract 9606, Jennings County, Indiana</t>
  </si>
  <si>
    <t>Census Tract 6101.01, Johnson County, Indiana</t>
  </si>
  <si>
    <t>Census Tract 6101.02, Johnson County, Indiana</t>
  </si>
  <si>
    <t>Census Tract 6102.01, Johnson County, Indiana</t>
  </si>
  <si>
    <t>Census Tract 6102.03, Johnson County, Indiana</t>
  </si>
  <si>
    <t>Census Tract 6102.04, Johnson County, Indiana</t>
  </si>
  <si>
    <t>Census Tract 6103, Johnson County, Indiana</t>
  </si>
  <si>
    <t>Census Tract 6104.01, Johnson County, Indiana</t>
  </si>
  <si>
    <t>Census Tract 6104.03, Johnson County, Indiana</t>
  </si>
  <si>
    <t>Census Tract 6104.04, Johnson County, Indiana</t>
  </si>
  <si>
    <t>Census Tract 6105.01, Johnson County, Indiana</t>
  </si>
  <si>
    <t>Census Tract 6105.02, Johnson County, Indiana</t>
  </si>
  <si>
    <t>Census Tract 6106.03, Johnson County, Indiana</t>
  </si>
  <si>
    <t>Census Tract 6106.05, Johnson County, Indiana</t>
  </si>
  <si>
    <t>Census Tract 6106.06, Johnson County, Indiana</t>
  </si>
  <si>
    <t>Census Tract 6106.07, Johnson County, Indiana</t>
  </si>
  <si>
    <t>Census Tract 6106.08, Johnson County, Indiana</t>
  </si>
  <si>
    <t>Census Tract 6107.03, Johnson County, Indiana</t>
  </si>
  <si>
    <t>Census Tract 6107.04, Johnson County, Indiana</t>
  </si>
  <si>
    <t>Census Tract 6107.05, Johnson County, Indiana</t>
  </si>
  <si>
    <t>Census Tract 6107.06, Johnson County, Indiana</t>
  </si>
  <si>
    <t>Census Tract 6108.01, Johnson County, Indiana</t>
  </si>
  <si>
    <t>Census Tract 6108.02, Johnson County, Indiana</t>
  </si>
  <si>
    <t>Census Tract 6109, Johnson County, Indiana</t>
  </si>
  <si>
    <t>Census Tract 6110, Johnson County, Indiana</t>
  </si>
  <si>
    <t>Census Tract 6111, Johnson County, Indiana</t>
  </si>
  <si>
    <t>Census Tract 6112, Johnson County, Indiana</t>
  </si>
  <si>
    <t>Census Tract 6113, Johnson County, Indiana</t>
  </si>
  <si>
    <t>Census Tract 6114, Johnson County, Indiana</t>
  </si>
  <si>
    <t>Census Tract 9550, Knox County, Indiana</t>
  </si>
  <si>
    <t>Census Tract 9551, Knox County, Indiana</t>
  </si>
  <si>
    <t>Census Tract 9552.01, Knox County, Indiana</t>
  </si>
  <si>
    <t>Census Tract 9552.02, Knox County, Indiana</t>
  </si>
  <si>
    <t>Census Tract 9553, Knox County, Indiana</t>
  </si>
  <si>
    <t>Census Tract 9554, Knox County, Indiana</t>
  </si>
  <si>
    <t>Census Tract 9555, Knox County, Indiana</t>
  </si>
  <si>
    <t>Census Tract 9556, Knox County, Indiana</t>
  </si>
  <si>
    <t>Census Tract 9557, Knox County, Indiana</t>
  </si>
  <si>
    <t>Census Tract 9558, Knox County, Indiana</t>
  </si>
  <si>
    <t>Census Tract 9559, Knox County, Indiana</t>
  </si>
  <si>
    <t>Census Tract 9609, Kosciusko County, Indiana</t>
  </si>
  <si>
    <t>Census Tract 9610.01, Kosciusko County, Indiana</t>
  </si>
  <si>
    <t>Census Tract 9610.02, Kosciusko County, Indiana</t>
  </si>
  <si>
    <t>Census Tract 9611, Kosciusko County, Indiana</t>
  </si>
  <si>
    <t>Census Tract 9612, Kosciusko County, Indiana</t>
  </si>
  <si>
    <t>Census Tract 9613, Kosciusko County, Indiana</t>
  </si>
  <si>
    <t>Census Tract 9614, Kosciusko County, Indiana</t>
  </si>
  <si>
    <t>Census Tract 9615, Kosciusko County, Indiana</t>
  </si>
  <si>
    <t>Census Tract 9616, Kosciusko County, Indiana</t>
  </si>
  <si>
    <t>Census Tract 9617, Kosciusko County, Indiana</t>
  </si>
  <si>
    <t>Census Tract 9618, Kosciusko County, Indiana</t>
  </si>
  <si>
    <t>Census Tract 9619, Kosciusko County, Indiana</t>
  </si>
  <si>
    <t>Census Tract 9620, Kosciusko County, Indiana</t>
  </si>
  <si>
    <t>Census Tract 9621.01, Kosciusko County, Indiana</t>
  </si>
  <si>
    <t>Census Tract 9621.02, Kosciusko County, Indiana</t>
  </si>
  <si>
    <t>Census Tract 9622, Kosciusko County, Indiana</t>
  </si>
  <si>
    <t>Census Tract 9623, Kosciusko County, Indiana</t>
  </si>
  <si>
    <t>Census Tract 9624, Kosciusko County, Indiana</t>
  </si>
  <si>
    <t>Census Tract 9625, Kosciusko County, Indiana</t>
  </si>
  <si>
    <t>Census Tract 9626, Kosciusko County, Indiana</t>
  </si>
  <si>
    <t>Census Tract 9627, Kosciusko County, Indiana</t>
  </si>
  <si>
    <t>Census Tract 9701, LaGrange County, Indiana</t>
  </si>
  <si>
    <t>Census Tract 9702, LaGrange County, Indiana</t>
  </si>
  <si>
    <t>Census Tract 9703.01, LaGrange County, Indiana</t>
  </si>
  <si>
    <t>Census Tract 9703.02, LaGrange County, Indiana</t>
  </si>
  <si>
    <t>Census Tract 9704.01, LaGrange County, Indiana</t>
  </si>
  <si>
    <t>Census Tract 9704.02, LaGrange County, Indiana</t>
  </si>
  <si>
    <t>Census Tract 9705, LaGrange County, Indiana</t>
  </si>
  <si>
    <t>Census Tract 9706, LaGrange County, Indiana</t>
  </si>
  <si>
    <t>Census Tract 9707, LaGrange County, Indiana</t>
  </si>
  <si>
    <t>Census Tract 101, Lake County, Indiana</t>
  </si>
  <si>
    <t>Census Tract 102.03, Lake County, Indiana</t>
  </si>
  <si>
    <t>Census Tract 102.05, Lake County, Indiana</t>
  </si>
  <si>
    <t>Census Tract 102.06, Lake County, Indiana</t>
  </si>
  <si>
    <t>Census Tract 102.07, Lake County, Indiana</t>
  </si>
  <si>
    <t>Census Tract 103.02, Lake County, Indiana</t>
  </si>
  <si>
    <t>Census Tract 103.04, Lake County, Indiana</t>
  </si>
  <si>
    <t>Census Tract 104, Lake County, Indiana</t>
  </si>
  <si>
    <t>Census Tract 105, Lake County, Indiana</t>
  </si>
  <si>
    <t>Census Tract 106, Lake County, Indiana</t>
  </si>
  <si>
    <t>Census Tract 109, Lake County, Indiana</t>
  </si>
  <si>
    <t>Census Tract 110, Lake County, Indiana</t>
  </si>
  <si>
    <t>Census Tract 111, Lake County, Indiana</t>
  </si>
  <si>
    <t>Census Tract 112, Lake County, Indiana</t>
  </si>
  <si>
    <t>Census Tract 113, Lake County, Indiana</t>
  </si>
  <si>
    <t>Census Tract 114, Lake County, Indiana</t>
  </si>
  <si>
    <t>Census Tract 115, Lake County, Indiana</t>
  </si>
  <si>
    <t>Census Tract 116, Lake County, Indiana</t>
  </si>
  <si>
    <t>Census Tract 117, Lake County, Indiana</t>
  </si>
  <si>
    <t>Census Tract 118, Lake County, Indiana</t>
  </si>
  <si>
    <t>Census Tract 119, Lake County, Indiana</t>
  </si>
  <si>
    <t>Census Tract 120, Lake County, Indiana</t>
  </si>
  <si>
    <t>Census Tract 121, Lake County, Indiana</t>
  </si>
  <si>
    <t>Census Tract 122, Lake County, Indiana</t>
  </si>
  <si>
    <t>Census Tract 123, Lake County, Indiana</t>
  </si>
  <si>
    <t>Census Tract 124, Lake County, Indiana</t>
  </si>
  <si>
    <t>Census Tract 125, Lake County, Indiana</t>
  </si>
  <si>
    <t>Census Tract 126, Lake County, Indiana</t>
  </si>
  <si>
    <t>Census Tract 127, Lake County, Indiana</t>
  </si>
  <si>
    <t>Census Tract 128, Lake County, Indiana</t>
  </si>
  <si>
    <t>Census Tract 201, Lake County, Indiana</t>
  </si>
  <si>
    <t>Census Tract 202, Lake County, Indiana</t>
  </si>
  <si>
    <t>Census Tract 203, Lake County, Indiana</t>
  </si>
  <si>
    <t>Census Tract 204, Lake County, Indiana</t>
  </si>
  <si>
    <t>Census Tract 205, Lake County, Indiana</t>
  </si>
  <si>
    <t>Census Tract 206, Lake County, Indiana</t>
  </si>
  <si>
    <t>Census Tract 207, Lake County, Indiana</t>
  </si>
  <si>
    <t>Census Tract 208, Lake County, Indiana</t>
  </si>
  <si>
    <t>Census Tract 209, Lake County, Indiana</t>
  </si>
  <si>
    <t>Census Tract 210, Lake County, Indiana</t>
  </si>
  <si>
    <t>Census Tract 211, Lake County, Indiana</t>
  </si>
  <si>
    <t>Census Tract 213, Lake County, Indiana</t>
  </si>
  <si>
    <t>Census Tract 214, Lake County, Indiana</t>
  </si>
  <si>
    <t>Census Tract 215, Lake County, Indiana</t>
  </si>
  <si>
    <t>Census Tract 216, Lake County, Indiana</t>
  </si>
  <si>
    <t>Census Tract 217, Lake County, Indiana</t>
  </si>
  <si>
    <t>Census Tract 218, Lake County, Indiana</t>
  </si>
  <si>
    <t>Census Tract 219, Lake County, Indiana</t>
  </si>
  <si>
    <t>Census Tract 220, Lake County, Indiana</t>
  </si>
  <si>
    <t>Census Tract 301, Lake County, Indiana</t>
  </si>
  <si>
    <t>Census Tract 302, Lake County, Indiana</t>
  </si>
  <si>
    <t>Census Tract 303, Lake County, Indiana</t>
  </si>
  <si>
    <t>Census Tract 304, Lake County, Indiana</t>
  </si>
  <si>
    <t>Census Tract 305, Lake County, Indiana</t>
  </si>
  <si>
    <t>Census Tract 306, Lake County, Indiana</t>
  </si>
  <si>
    <t>Census Tract 307, Lake County, Indiana</t>
  </si>
  <si>
    <t>Census Tract 308, Lake County, Indiana</t>
  </si>
  <si>
    <t>Census Tract 309, Lake County, Indiana</t>
  </si>
  <si>
    <t>Census Tract 310, Lake County, Indiana</t>
  </si>
  <si>
    <t>Census Tract 401, Lake County, Indiana</t>
  </si>
  <si>
    <t>Census Tract 402, Lake County, Indiana</t>
  </si>
  <si>
    <t>Census Tract 403.01, Lake County, Indiana</t>
  </si>
  <si>
    <t>Census Tract 403.02, Lake County, Indiana</t>
  </si>
  <si>
    <t>Census Tract 404.01, Lake County, Indiana</t>
  </si>
  <si>
    <t>Census Tract 404.02, Lake County, Indiana</t>
  </si>
  <si>
    <t>Census Tract 404.03, Lake County, Indiana</t>
  </si>
  <si>
    <t>Census Tract 405.01, Lake County, Indiana</t>
  </si>
  <si>
    <t>Census Tract 405.02, Lake County, Indiana</t>
  </si>
  <si>
    <t>Census Tract 406, Lake County, Indiana</t>
  </si>
  <si>
    <t>Census Tract 407, Lake County, Indiana</t>
  </si>
  <si>
    <t>Census Tract 408.01, Lake County, Indiana</t>
  </si>
  <si>
    <t>Census Tract 408.02, Lake County, Indiana</t>
  </si>
  <si>
    <t>Census Tract 409, Lake County, Indiana</t>
  </si>
  <si>
    <t>Census Tract 410.01, Lake County, Indiana</t>
  </si>
  <si>
    <t>Census Tract 410.02, Lake County, Indiana</t>
  </si>
  <si>
    <t>Census Tract 411, Lake County, Indiana</t>
  </si>
  <si>
    <t>Census Tract 412, Lake County, Indiana</t>
  </si>
  <si>
    <t>Census Tract 413.02, Lake County, Indiana</t>
  </si>
  <si>
    <t>Census Tract 414, Lake County, Indiana</t>
  </si>
  <si>
    <t>Census Tract 415, Lake County, Indiana</t>
  </si>
  <si>
    <t>Census Tract 416, Lake County, Indiana</t>
  </si>
  <si>
    <t>Census Tract 417, Lake County, Indiana</t>
  </si>
  <si>
    <t>Census Tract 418, Lake County, Indiana</t>
  </si>
  <si>
    <t>Census Tract 419, Lake County, Indiana</t>
  </si>
  <si>
    <t>Census Tract 420, Lake County, Indiana</t>
  </si>
  <si>
    <t>Census Tract 421, Lake County, Indiana</t>
  </si>
  <si>
    <t>Census Tract 422, Lake County, Indiana</t>
  </si>
  <si>
    <t>Census Tract 423.01, Lake County, Indiana</t>
  </si>
  <si>
    <t>Census Tract 423.02, Lake County, Indiana</t>
  </si>
  <si>
    <t>Census Tract 424.01, Lake County, Indiana</t>
  </si>
  <si>
    <t>Census Tract 424.03, Lake County, Indiana</t>
  </si>
  <si>
    <t>Census Tract 424.04, Lake County, Indiana</t>
  </si>
  <si>
    <t>Census Tract 424.05, Lake County, Indiana</t>
  </si>
  <si>
    <t>Census Tract 425.01, Lake County, Indiana</t>
  </si>
  <si>
    <t>Census Tract 425.03, Lake County, Indiana</t>
  </si>
  <si>
    <t>Census Tract 425.06, Lake County, Indiana</t>
  </si>
  <si>
    <t>Census Tract 425.07, Lake County, Indiana</t>
  </si>
  <si>
    <t>Census Tract 425.08, Lake County, Indiana</t>
  </si>
  <si>
    <t>Census Tract 425.09, Lake County, Indiana</t>
  </si>
  <si>
    <t>Census Tract 426.02, Lake County, Indiana</t>
  </si>
  <si>
    <t>Census Tract 426.06, Lake County, Indiana</t>
  </si>
  <si>
    <t>Census Tract 426.07, Lake County, Indiana</t>
  </si>
  <si>
    <t>Census Tract 426.08, Lake County, Indiana</t>
  </si>
  <si>
    <t>Census Tract 426.10, Lake County, Indiana</t>
  </si>
  <si>
    <t>Census Tract 426.11, Lake County, Indiana</t>
  </si>
  <si>
    <t>Census Tract 426.12, Lake County, Indiana</t>
  </si>
  <si>
    <t>Census Tract 426.13, Lake County, Indiana</t>
  </si>
  <si>
    <t>Census Tract 427.02, Lake County, Indiana</t>
  </si>
  <si>
    <t>Census Tract 427.03, Lake County, Indiana</t>
  </si>
  <si>
    <t>Census Tract 427.04, Lake County, Indiana</t>
  </si>
  <si>
    <t>Census Tract 428.02, Lake County, Indiana</t>
  </si>
  <si>
    <t>Census Tract 428.03, Lake County, Indiana</t>
  </si>
  <si>
    <t>Census Tract 428.04, Lake County, Indiana</t>
  </si>
  <si>
    <t>Census Tract 429.01, Lake County, Indiana</t>
  </si>
  <si>
    <t>Census Tract 429.03, Lake County, Indiana</t>
  </si>
  <si>
    <t>Census Tract 429.04, Lake County, Indiana</t>
  </si>
  <si>
    <t>Census Tract 430.01, Lake County, Indiana</t>
  </si>
  <si>
    <t>Census Tract 430.03, Lake County, Indiana</t>
  </si>
  <si>
    <t>Census Tract 430.04, Lake County, Indiana</t>
  </si>
  <si>
    <t>Census Tract 431.01, Lake County, Indiana</t>
  </si>
  <si>
    <t>Census Tract 431.03, Lake County, Indiana</t>
  </si>
  <si>
    <t>Census Tract 431.04, Lake County, Indiana</t>
  </si>
  <si>
    <t>Census Tract 432.01, Lake County, Indiana</t>
  </si>
  <si>
    <t>Census Tract 432.03, Lake County, Indiana</t>
  </si>
  <si>
    <t>Census Tract 432.04, Lake County, Indiana</t>
  </si>
  <si>
    <t>Census Tract 433.01, Lake County, Indiana</t>
  </si>
  <si>
    <t>Census Tract 433.02, Lake County, Indiana</t>
  </si>
  <si>
    <t>Census Tract 434.01, Lake County, Indiana</t>
  </si>
  <si>
    <t>Census Tract 434.03, Lake County, Indiana</t>
  </si>
  <si>
    <t>Census Tract 434.04, Lake County, Indiana</t>
  </si>
  <si>
    <t>Census Tract 434.05, Lake County, Indiana</t>
  </si>
  <si>
    <t>Census Tract 401, LaPorte County, Indiana</t>
  </si>
  <si>
    <t>Census Tract 403, LaPorte County, Indiana</t>
  </si>
  <si>
    <t>Census Tract 404, LaPorte County, Indiana</t>
  </si>
  <si>
    <t>Census Tract 405, LaPorte County, Indiana</t>
  </si>
  <si>
    <t>Census Tract 406, LaPorte County, Indiana</t>
  </si>
  <si>
    <t>Census Tract 407, LaPorte County, Indiana</t>
  </si>
  <si>
    <t>Census Tract 408, LaPorte County, Indiana</t>
  </si>
  <si>
    <t>Census Tract 409, LaPorte County, Indiana</t>
  </si>
  <si>
    <t>Census Tract 411, LaPorte County, Indiana</t>
  </si>
  <si>
    <t>Census Tract 412, LaPorte County, Indiana</t>
  </si>
  <si>
    <t>Census Tract 413, LaPorte County, Indiana</t>
  </si>
  <si>
    <t>Census Tract 414, LaPorte County, Indiana</t>
  </si>
  <si>
    <t>Census Tract 415, LaPorte County, Indiana</t>
  </si>
  <si>
    <t>Census Tract 416, LaPorte County, Indiana</t>
  </si>
  <si>
    <t>Census Tract 417, LaPorte County, Indiana</t>
  </si>
  <si>
    <t>Census Tract 418, LaPorte County, Indiana</t>
  </si>
  <si>
    <t>Census Tract 419, LaPorte County, Indiana</t>
  </si>
  <si>
    <t>Census Tract 420, LaPorte County, Indiana</t>
  </si>
  <si>
    <t>Census Tract 421, LaPorte County, Indiana</t>
  </si>
  <si>
    <t>Census Tract 422, LaPorte County, Indiana</t>
  </si>
  <si>
    <t>Census Tract 423, LaPorte County, Indiana</t>
  </si>
  <si>
    <t>Census Tract 424.01, LaPorte County, Indiana</t>
  </si>
  <si>
    <t>Census Tract 424.02, LaPorte County, Indiana</t>
  </si>
  <si>
    <t>Census Tract 425, LaPorte County, Indiana</t>
  </si>
  <si>
    <t>Census Tract 426.01, LaPorte County, Indiana</t>
  </si>
  <si>
    <t>Census Tract 426.02, LaPorte County, Indiana</t>
  </si>
  <si>
    <t>Census Tract 427, LaPorte County, Indiana</t>
  </si>
  <si>
    <t>Census Tract 428, LaPorte County, Indiana</t>
  </si>
  <si>
    <t>Census Tract 429, LaPorte County, Indiana</t>
  </si>
  <si>
    <t>Census Tract 430, LaPorte County, Indiana</t>
  </si>
  <si>
    <t>Census Tract 9504, Lawrence County, Indiana</t>
  </si>
  <si>
    <t>Census Tract 9505, Lawrence County, Indiana</t>
  </si>
  <si>
    <t>Census Tract 9506.01, Lawrence County, Indiana</t>
  </si>
  <si>
    <t>Census Tract 9506.02, Lawrence County, Indiana</t>
  </si>
  <si>
    <t>Census Tract 9507.01, Lawrence County, Indiana</t>
  </si>
  <si>
    <t>Census Tract 9507.02, Lawrence County, Indiana</t>
  </si>
  <si>
    <t>Census Tract 9508, Lawrence County, Indiana</t>
  </si>
  <si>
    <t>Census Tract 9509, Lawrence County, Indiana</t>
  </si>
  <si>
    <t>Census Tract 9510, Lawrence County, Indiana</t>
  </si>
  <si>
    <t>Census Tract 9511, Lawrence County, Indiana</t>
  </si>
  <si>
    <t>Census Tract 9512.01, Lawrence County, Indiana</t>
  </si>
  <si>
    <t>Census Tract 9512.02, Lawrence County, Indiana</t>
  </si>
  <si>
    <t>Census Tract 9513, Lawrence County, Indiana</t>
  </si>
  <si>
    <t>Census Tract 3, Madison County, Indiana</t>
  </si>
  <si>
    <t>Census Tract 4, Madison County, Indiana</t>
  </si>
  <si>
    <t>Census Tract 5, Madison County, Indiana</t>
  </si>
  <si>
    <t>Census Tract 8, Madison County, Indiana</t>
  </si>
  <si>
    <t>Census Tract 9, Madison County, Indiana</t>
  </si>
  <si>
    <t>Census Tract 10, Madison County, Indiana</t>
  </si>
  <si>
    <t>Census Tract 11, Madison County, Indiana</t>
  </si>
  <si>
    <t>Census Tract 12, Madison County, Indiana</t>
  </si>
  <si>
    <t>Census Tract 13, Madison County, Indiana</t>
  </si>
  <si>
    <t>Census Tract 14, Madison County, Indiana</t>
  </si>
  <si>
    <t>Census Tract 15, Madison County, Indiana</t>
  </si>
  <si>
    <t>Census Tract 16, Madison County, Indiana</t>
  </si>
  <si>
    <t>Census Tract 17, Madison County, Indiana</t>
  </si>
  <si>
    <t>Census Tract 18.01, Madison County, Indiana</t>
  </si>
  <si>
    <t>Census Tract 18.02, Madison County, Indiana</t>
  </si>
  <si>
    <t>Census Tract 19.01, Madison County, Indiana</t>
  </si>
  <si>
    <t>Census Tract 19.02, Madison County, Indiana</t>
  </si>
  <si>
    <t>Census Tract 20, Madison County, Indiana</t>
  </si>
  <si>
    <t>Census Tract 101, Madison County, Indiana</t>
  </si>
  <si>
    <t>Census Tract 102, Madison County, Indiana</t>
  </si>
  <si>
    <t>Census Tract 103, Madison County, Indiana</t>
  </si>
  <si>
    <t>Census Tract 104, Madison County, Indiana</t>
  </si>
  <si>
    <t>Census Tract 105, Madison County, Indiana</t>
  </si>
  <si>
    <t>Census Tract 106, Madison County, Indiana</t>
  </si>
  <si>
    <t>Census Tract 107, Madison County, Indiana</t>
  </si>
  <si>
    <t>Census Tract 108, Madison County, Indiana</t>
  </si>
  <si>
    <t>Census Tract 109, Madison County, Indiana</t>
  </si>
  <si>
    <t>Census Tract 110, Madison County, Indiana</t>
  </si>
  <si>
    <t>Census Tract 111, Madison County, Indiana</t>
  </si>
  <si>
    <t>Census Tract 112, Madison County, Indiana</t>
  </si>
  <si>
    <t>Census Tract 113, Madison County, Indiana</t>
  </si>
  <si>
    <t>Census Tract 114, Madison County, Indiana</t>
  </si>
  <si>
    <t>Census Tract 115.01, Madison County, Indiana</t>
  </si>
  <si>
    <t>Census Tract 115.02, Madison County, Indiana</t>
  </si>
  <si>
    <t>Census Tract 116, Madison County, Indiana</t>
  </si>
  <si>
    <t>Census Tract 117, Madison County, Indiana</t>
  </si>
  <si>
    <t>Census Tract 118, Madison County, Indiana</t>
  </si>
  <si>
    <t>Census Tract 119, Madison County, Indiana</t>
  </si>
  <si>
    <t>Census Tract 120, Madison County, Indiana</t>
  </si>
  <si>
    <t>Census Tract 3101.04, Marion County, Indiana</t>
  </si>
  <si>
    <t>Census Tract 3101.05, Marion County, Indiana</t>
  </si>
  <si>
    <t>Census Tract 3101.06, Marion County, Indiana</t>
  </si>
  <si>
    <t>Census Tract 3101.08, Marion County, Indiana</t>
  </si>
  <si>
    <t>Census Tract 3101.10, Marion County, Indiana</t>
  </si>
  <si>
    <t>Census Tract 3101.11, Marion County, Indiana</t>
  </si>
  <si>
    <t>Census Tract 3101.12, Marion County, Indiana</t>
  </si>
  <si>
    <t>Census Tract 3101.13, Marion County, Indiana</t>
  </si>
  <si>
    <t>Census Tract 3102.01, Marion County, Indiana</t>
  </si>
  <si>
    <t>Census Tract 3102.03, Marion County, Indiana</t>
  </si>
  <si>
    <t>Census Tract 3102.04, Marion County, Indiana</t>
  </si>
  <si>
    <t>Census Tract 3103.05, Marion County, Indiana</t>
  </si>
  <si>
    <t>Census Tract 3103.06, Marion County, Indiana</t>
  </si>
  <si>
    <t>Census Tract 3103.08, Marion County, Indiana</t>
  </si>
  <si>
    <t>Census Tract 3103.09, Marion County, Indiana</t>
  </si>
  <si>
    <t>Census Tract 3103.10, Marion County, Indiana</t>
  </si>
  <si>
    <t>Census Tract 3103.11, Marion County, Indiana</t>
  </si>
  <si>
    <t>Census Tract 3103.12, Marion County, Indiana</t>
  </si>
  <si>
    <t>Census Tract 3201.05, Marion County, Indiana</t>
  </si>
  <si>
    <t>Census Tract 3201.06, Marion County, Indiana</t>
  </si>
  <si>
    <t>Census Tract 3201.07, Marion County, Indiana</t>
  </si>
  <si>
    <t>Census Tract 3201.08, Marion County, Indiana</t>
  </si>
  <si>
    <t>Census Tract 3201.09, Marion County, Indiana</t>
  </si>
  <si>
    <t>Census Tract 3202.02, Marion County, Indiana</t>
  </si>
  <si>
    <t>Census Tract 3202.03, Marion County, Indiana</t>
  </si>
  <si>
    <t>Census Tract 3202.05, Marion County, Indiana</t>
  </si>
  <si>
    <t>Census Tract 3202.06, Marion County, Indiana</t>
  </si>
  <si>
    <t>Census Tract 3203.01, Marion County, Indiana</t>
  </si>
  <si>
    <t>Census Tract 3203.03, Marion County, Indiana</t>
  </si>
  <si>
    <t>Census Tract 3203.05, Marion County, Indiana</t>
  </si>
  <si>
    <t>Census Tract 3203.06, Marion County, Indiana</t>
  </si>
  <si>
    <t>Census Tract 3204, Marion County, Indiana</t>
  </si>
  <si>
    <t>Census Tract 3205, Marion County, Indiana</t>
  </si>
  <si>
    <t>Census Tract 3206, Marion County, Indiana</t>
  </si>
  <si>
    <t>Census Tract 3207, Marion County, Indiana</t>
  </si>
  <si>
    <t>Census Tract 3208, Marion County, Indiana</t>
  </si>
  <si>
    <t>Census Tract 3209.01, Marion County, Indiana</t>
  </si>
  <si>
    <t>Census Tract 3209.02, Marion County, Indiana</t>
  </si>
  <si>
    <t>Census Tract 3209.03, Marion County, Indiana</t>
  </si>
  <si>
    <t>Census Tract 3210.01, Marion County, Indiana</t>
  </si>
  <si>
    <t>Census Tract 3210.02, Marion County, Indiana</t>
  </si>
  <si>
    <t>Census Tract 3211, Marion County, Indiana</t>
  </si>
  <si>
    <t>Census Tract 3212, Marion County, Indiana</t>
  </si>
  <si>
    <t>Census Tract 3213, Marion County, Indiana</t>
  </si>
  <si>
    <t>Census Tract 3214, Marion County, Indiana</t>
  </si>
  <si>
    <t>Census Tract 3216, Marion County, Indiana</t>
  </si>
  <si>
    <t>Census Tract 3217, Marion County, Indiana</t>
  </si>
  <si>
    <t>Census Tract 3218, Marion County, Indiana</t>
  </si>
  <si>
    <t>Census Tract 3219, Marion County, Indiana</t>
  </si>
  <si>
    <t>Census Tract 3220, Marion County, Indiana</t>
  </si>
  <si>
    <t>Census Tract 3221, Marion County, Indiana</t>
  </si>
  <si>
    <t>Census Tract 3222, Marion County, Indiana</t>
  </si>
  <si>
    <t>Census Tract 3223, Marion County, Indiana</t>
  </si>
  <si>
    <t>Census Tract 3224, Marion County, Indiana</t>
  </si>
  <si>
    <t>Census Tract 3225, Marion County, Indiana</t>
  </si>
  <si>
    <t>Census Tract 3226.01, Marion County, Indiana</t>
  </si>
  <si>
    <t>Census Tract 3226.02, Marion County, Indiana</t>
  </si>
  <si>
    <t>Census Tract 3227, Marion County, Indiana</t>
  </si>
  <si>
    <t>Census Tract 3301.03, Marion County, Indiana</t>
  </si>
  <si>
    <t>Census Tract 3301.05, Marion County, Indiana</t>
  </si>
  <si>
    <t>Census Tract 3301.06, Marion County, Indiana</t>
  </si>
  <si>
    <t>Census Tract 3301.07, Marion County, Indiana</t>
  </si>
  <si>
    <t>Census Tract 3301.08, Marion County, Indiana</t>
  </si>
  <si>
    <t>Census Tract 3301.09, Marion County, Indiana</t>
  </si>
  <si>
    <t>Census Tract 3302.03, Marion County, Indiana</t>
  </si>
  <si>
    <t>Census Tract 3302.04, Marion County, Indiana</t>
  </si>
  <si>
    <t>Census Tract 3302.06, Marion County, Indiana</t>
  </si>
  <si>
    <t>Census Tract 3302.08, Marion County, Indiana</t>
  </si>
  <si>
    <t>Census Tract 3302.10, Marion County, Indiana</t>
  </si>
  <si>
    <t>Census Tract 3302.11, Marion County, Indiana</t>
  </si>
  <si>
    <t>Census Tract 3302.12, Marion County, Indiana</t>
  </si>
  <si>
    <t>Census Tract 3302.13, Marion County, Indiana</t>
  </si>
  <si>
    <t>Census Tract 3304.01, Marion County, Indiana</t>
  </si>
  <si>
    <t>Census Tract 3305, Marion County, Indiana</t>
  </si>
  <si>
    <t>Census Tract 3306, Marion County, Indiana</t>
  </si>
  <si>
    <t>Census Tract 3307.01, Marion County, Indiana</t>
  </si>
  <si>
    <t>Census Tract 3307.02, Marion County, Indiana</t>
  </si>
  <si>
    <t>Census Tract 3308.03, Marion County, Indiana</t>
  </si>
  <si>
    <t>Census Tract 3308.04, Marion County, Indiana</t>
  </si>
  <si>
    <t>Census Tract 3308.05, Marion County, Indiana</t>
  </si>
  <si>
    <t>Census Tract 3308.06, Marion County, Indiana</t>
  </si>
  <si>
    <t>Census Tract 3309, Marion County, Indiana</t>
  </si>
  <si>
    <t>Census Tract 3310, Marion County, Indiana</t>
  </si>
  <si>
    <t>Census Tract 3401.01, Marion County, Indiana</t>
  </si>
  <si>
    <t>Census Tract 3401.02, Marion County, Indiana</t>
  </si>
  <si>
    <t>Census Tract 3401.08, Marion County, Indiana</t>
  </si>
  <si>
    <t>Census Tract 3401.11, Marion County, Indiana</t>
  </si>
  <si>
    <t>Census Tract 3401.12, Marion County, Indiana</t>
  </si>
  <si>
    <t>Census Tract 3401.13, Marion County, Indiana</t>
  </si>
  <si>
    <t>Census Tract 3401.14, Marion County, Indiana</t>
  </si>
  <si>
    <t>Census Tract 3401.15, Marion County, Indiana</t>
  </si>
  <si>
    <t>Census Tract 3402.01, Marion County, Indiana</t>
  </si>
  <si>
    <t>Census Tract 3402.02, Marion County, Indiana</t>
  </si>
  <si>
    <t>Census Tract 3403.01, Marion County, Indiana</t>
  </si>
  <si>
    <t>Census Tract 3403.02, Marion County, Indiana</t>
  </si>
  <si>
    <t>Census Tract 3404, Marion County, Indiana</t>
  </si>
  <si>
    <t>Census Tract 3405, Marion County, Indiana</t>
  </si>
  <si>
    <t>Census Tract 3406, Marion County, Indiana</t>
  </si>
  <si>
    <t>Census Tract 3407, Marion County, Indiana</t>
  </si>
  <si>
    <t>Census Tract 3408, Marion County, Indiana</t>
  </si>
  <si>
    <t>Census Tract 3409.01, Marion County, Indiana</t>
  </si>
  <si>
    <t>Census Tract 3409.03, Marion County, Indiana</t>
  </si>
  <si>
    <t>Census Tract 3409.04, Marion County, Indiana</t>
  </si>
  <si>
    <t>Census Tract 3410, Marion County, Indiana</t>
  </si>
  <si>
    <t>Census Tract 3411, Marion County, Indiana</t>
  </si>
  <si>
    <t>Census Tract 3412, Marion County, Indiana</t>
  </si>
  <si>
    <t>Census Tract 3416, Marion County, Indiana</t>
  </si>
  <si>
    <t>Census Tract 3417.01, Marion County, Indiana</t>
  </si>
  <si>
    <t>Census Tract 3417.02, Marion County, Indiana</t>
  </si>
  <si>
    <t>Census Tract 3419.02, Marion County, Indiana</t>
  </si>
  <si>
    <t>Census Tract 3419.03, Marion County, Indiana</t>
  </si>
  <si>
    <t>Census Tract 3419.04, Marion County, Indiana</t>
  </si>
  <si>
    <t>Census Tract 3420, Marion County, Indiana</t>
  </si>
  <si>
    <t>Census Tract 3421.01, Marion County, Indiana</t>
  </si>
  <si>
    <t>Census Tract 3422, Marion County, Indiana</t>
  </si>
  <si>
    <t>Census Tract 3423, Marion County, Indiana</t>
  </si>
  <si>
    <t>Census Tract 3424, Marion County, Indiana</t>
  </si>
  <si>
    <t>Census Tract 3425, Marion County, Indiana</t>
  </si>
  <si>
    <t>Census Tract 3426, Marion County, Indiana</t>
  </si>
  <si>
    <t>Census Tract 3501, Marion County, Indiana</t>
  </si>
  <si>
    <t>Census Tract 3503, Marion County, Indiana</t>
  </si>
  <si>
    <t>Census Tract 3504, Marion County, Indiana</t>
  </si>
  <si>
    <t>Census Tract 3505, Marion County, Indiana</t>
  </si>
  <si>
    <t>Census Tract 3506, Marion County, Indiana</t>
  </si>
  <si>
    <t>Census Tract 3507, Marion County, Indiana</t>
  </si>
  <si>
    <t>Census Tract 3508, Marion County, Indiana</t>
  </si>
  <si>
    <t>Census Tract 3509, Marion County, Indiana</t>
  </si>
  <si>
    <t>Census Tract 3510, Marion County, Indiana</t>
  </si>
  <si>
    <t>Census Tract 3512, Marion County, Indiana</t>
  </si>
  <si>
    <t>Census Tract 3515, Marion County, Indiana</t>
  </si>
  <si>
    <t>Census Tract 3516, Marion County, Indiana</t>
  </si>
  <si>
    <t>Census Tract 3517, Marion County, Indiana</t>
  </si>
  <si>
    <t>Census Tract 3519, Marion County, Indiana</t>
  </si>
  <si>
    <t>Census Tract 3521, Marion County, Indiana</t>
  </si>
  <si>
    <t>Census Tract 3523, Marion County, Indiana</t>
  </si>
  <si>
    <t>Census Tract 3524, Marion County, Indiana</t>
  </si>
  <si>
    <t>Census Tract 3525, Marion County, Indiana</t>
  </si>
  <si>
    <t>Census Tract 3526, Marion County, Indiana</t>
  </si>
  <si>
    <t>Census Tract 3527, Marion County, Indiana</t>
  </si>
  <si>
    <t>Census Tract 3528, Marion County, Indiana</t>
  </si>
  <si>
    <t>Census Tract 3533, Marion County, Indiana</t>
  </si>
  <si>
    <t>Census Tract 3535, Marion County, Indiana</t>
  </si>
  <si>
    <t>Census Tract 3536, Marion County, Indiana</t>
  </si>
  <si>
    <t>Census Tract 3542.01, Marion County, Indiana</t>
  </si>
  <si>
    <t>Census Tract 3542.02, Marion County, Indiana</t>
  </si>
  <si>
    <t>Census Tract 3544, Marion County, Indiana</t>
  </si>
  <si>
    <t>Census Tract 3545, Marion County, Indiana</t>
  </si>
  <si>
    <t>Census Tract 3547, Marion County, Indiana</t>
  </si>
  <si>
    <t>Census Tract 3548, Marion County, Indiana</t>
  </si>
  <si>
    <t>Census Tract 3549, Marion County, Indiana</t>
  </si>
  <si>
    <t>Census Tract 3550, Marion County, Indiana</t>
  </si>
  <si>
    <t>Census Tract 3551, Marion County, Indiana</t>
  </si>
  <si>
    <t>Census Tract 3553, Marion County, Indiana</t>
  </si>
  <si>
    <t>Census Tract 3554, Marion County, Indiana</t>
  </si>
  <si>
    <t>Census Tract 3555, Marion County, Indiana</t>
  </si>
  <si>
    <t>Census Tract 3556, Marion County, Indiana</t>
  </si>
  <si>
    <t>Census Tract 3557, Marion County, Indiana</t>
  </si>
  <si>
    <t>Census Tract 3559, Marion County, Indiana</t>
  </si>
  <si>
    <t>Census Tract 3562, Marion County, Indiana</t>
  </si>
  <si>
    <t>Census Tract 3564, Marion County, Indiana</t>
  </si>
  <si>
    <t>Census Tract 3569, Marion County, Indiana</t>
  </si>
  <si>
    <t>Census Tract 3570, Marion County, Indiana</t>
  </si>
  <si>
    <t>Census Tract 3571, Marion County, Indiana</t>
  </si>
  <si>
    <t>Census Tract 3572, Marion County, Indiana</t>
  </si>
  <si>
    <t>Census Tract 3573, Marion County, Indiana</t>
  </si>
  <si>
    <t>Census Tract 3574, Marion County, Indiana</t>
  </si>
  <si>
    <t>Census Tract 3575, Marion County, Indiana</t>
  </si>
  <si>
    <t>Census Tract 3576.01, Marion County, Indiana</t>
  </si>
  <si>
    <t>Census Tract 3576.02, Marion County, Indiana</t>
  </si>
  <si>
    <t>Census Tract 3578, Marion County, Indiana</t>
  </si>
  <si>
    <t>Census Tract 3579, Marion County, Indiana</t>
  </si>
  <si>
    <t>Census Tract 3580, Marion County, Indiana</t>
  </si>
  <si>
    <t>Census Tract 3581, Marion County, Indiana</t>
  </si>
  <si>
    <t>Census Tract 3601.01, Marion County, Indiana</t>
  </si>
  <si>
    <t>Census Tract 3601.02, Marion County, Indiana</t>
  </si>
  <si>
    <t>Census Tract 3602.01, Marion County, Indiana</t>
  </si>
  <si>
    <t>Census Tract 3602.02, Marion County, Indiana</t>
  </si>
  <si>
    <t>Census Tract 3603.01, Marion County, Indiana</t>
  </si>
  <si>
    <t>Census Tract 3603.02, Marion County, Indiana</t>
  </si>
  <si>
    <t>Census Tract 3604.01, Marion County, Indiana</t>
  </si>
  <si>
    <t>Census Tract 3604.02, Marion County, Indiana</t>
  </si>
  <si>
    <t>Census Tract 3604.05, Marion County, Indiana</t>
  </si>
  <si>
    <t>Census Tract 3604.06, Marion County, Indiana</t>
  </si>
  <si>
    <t>Census Tract 3604.07, Marion County, Indiana</t>
  </si>
  <si>
    <t>Census Tract 3605.01, Marion County, Indiana</t>
  </si>
  <si>
    <t>Census Tract 3605.02, Marion County, Indiana</t>
  </si>
  <si>
    <t>Census Tract 3606.01, Marion County, Indiana</t>
  </si>
  <si>
    <t>Census Tract 3606.02, Marion County, Indiana</t>
  </si>
  <si>
    <t>Census Tract 3607, Marion County, Indiana</t>
  </si>
  <si>
    <t>Census Tract 3608, Marion County, Indiana</t>
  </si>
  <si>
    <t>Census Tract 3609, Marion County, Indiana</t>
  </si>
  <si>
    <t>Census Tract 3610, Marion County, Indiana</t>
  </si>
  <si>
    <t>Census Tract 3611, Marion County, Indiana</t>
  </si>
  <si>
    <t>Census Tract 3612, Marion County, Indiana</t>
  </si>
  <si>
    <t>Census Tract 3613, Marion County, Indiana</t>
  </si>
  <si>
    <t>Census Tract 3614.01, Marion County, Indiana</t>
  </si>
  <si>
    <t>Census Tract 3614.02, Marion County, Indiana</t>
  </si>
  <si>
    <t>Census Tract 3616.01, Marion County, Indiana</t>
  </si>
  <si>
    <t>Census Tract 3616.02, Marion County, Indiana</t>
  </si>
  <si>
    <t>Census Tract 3702.01, Marion County, Indiana</t>
  </si>
  <si>
    <t>Census Tract 3702.03, Marion County, Indiana</t>
  </si>
  <si>
    <t>Census Tract 3702.04, Marion County, Indiana</t>
  </si>
  <si>
    <t>Census Tract 3703.03, Marion County, Indiana</t>
  </si>
  <si>
    <t>Census Tract 3703.04, Marion County, Indiana</t>
  </si>
  <si>
    <t>Census Tract 3703.05, Marion County, Indiana</t>
  </si>
  <si>
    <t>Census Tract 3703.06, Marion County, Indiana</t>
  </si>
  <si>
    <t>Census Tract 3801.01, Marion County, Indiana</t>
  </si>
  <si>
    <t>Census Tract 3801.02, Marion County, Indiana</t>
  </si>
  <si>
    <t>Census Tract 3801.03, Marion County, Indiana</t>
  </si>
  <si>
    <t>Census Tract 3802, Marion County, Indiana</t>
  </si>
  <si>
    <t>Census Tract 3803.01, Marion County, Indiana</t>
  </si>
  <si>
    <t>Census Tract 3803.02, Marion County, Indiana</t>
  </si>
  <si>
    <t>Census Tract 3804.02, Marion County, Indiana</t>
  </si>
  <si>
    <t>Census Tract 3804.03, Marion County, Indiana</t>
  </si>
  <si>
    <t>Census Tract 3804.04, Marion County, Indiana</t>
  </si>
  <si>
    <t>Census Tract 3805.01, Marion County, Indiana</t>
  </si>
  <si>
    <t>Census Tract 3805.02, Marion County, Indiana</t>
  </si>
  <si>
    <t>Census Tract 3806, Marion County, Indiana</t>
  </si>
  <si>
    <t>Census Tract 3807, Marion County, Indiana</t>
  </si>
  <si>
    <t>Census Tract 3808, Marion County, Indiana</t>
  </si>
  <si>
    <t>Census Tract 3809.01, Marion County, Indiana</t>
  </si>
  <si>
    <t>Census Tract 3809.02, Marion County, Indiana</t>
  </si>
  <si>
    <t>Census Tract 3810.02, Marion County, Indiana</t>
  </si>
  <si>
    <t>Census Tract 3810.03, Marion County, Indiana</t>
  </si>
  <si>
    <t>Census Tract 3810.04, Marion County, Indiana</t>
  </si>
  <si>
    <t>Census Tract 3811.01, Marion County, Indiana</t>
  </si>
  <si>
    <t>Census Tract 3811.02, Marion County, Indiana</t>
  </si>
  <si>
    <t>Census Tract 3812.03, Marion County, Indiana</t>
  </si>
  <si>
    <t>Census Tract 3812.04, Marion County, Indiana</t>
  </si>
  <si>
    <t>Census Tract 3812.05, Marion County, Indiana</t>
  </si>
  <si>
    <t>Census Tract 3812.06, Marion County, Indiana</t>
  </si>
  <si>
    <t>Census Tract 3812.07, Marion County, Indiana</t>
  </si>
  <si>
    <t>Census Tract 3901.02, Marion County, Indiana</t>
  </si>
  <si>
    <t>Census Tract 3901.03, Marion County, Indiana</t>
  </si>
  <si>
    <t>Census Tract 3901.04, Marion County, Indiana</t>
  </si>
  <si>
    <t>Census Tract 3902, Marion County, Indiana</t>
  </si>
  <si>
    <t>Census Tract 3903, Marion County, Indiana</t>
  </si>
  <si>
    <t>Census Tract 3904.05, Marion County, Indiana</t>
  </si>
  <si>
    <t>Census Tract 3904.06, Marion County, Indiana</t>
  </si>
  <si>
    <t>Census Tract 3904.07, Marion County, Indiana</t>
  </si>
  <si>
    <t>Census Tract 3904.08, Marion County, Indiana</t>
  </si>
  <si>
    <t>Census Tract 3904.09, Marion County, Indiana</t>
  </si>
  <si>
    <t>Census Tract 3904.10, Marion County, Indiana</t>
  </si>
  <si>
    <t>Census Tract 3904.11, Marion County, Indiana</t>
  </si>
  <si>
    <t>Census Tract 3905, Marion County, Indiana</t>
  </si>
  <si>
    <t>Census Tract 3906.01, Marion County, Indiana</t>
  </si>
  <si>
    <t>Census Tract 3906.02, Marion County, Indiana</t>
  </si>
  <si>
    <t>Census Tract 3907, Marion County, Indiana</t>
  </si>
  <si>
    <t>Census Tract 3908.01, Marion County, Indiana</t>
  </si>
  <si>
    <t>Census Tract 3908.02, Marion County, Indiana</t>
  </si>
  <si>
    <t>Census Tract 3909, Marion County, Indiana</t>
  </si>
  <si>
    <t>Census Tract 3910.01, Marion County, Indiana</t>
  </si>
  <si>
    <t>Census Tract 3910.02, Marion County, Indiana</t>
  </si>
  <si>
    <t>Census Tract 201.01, Marshall County, Indiana</t>
  </si>
  <si>
    <t>Census Tract 201.02, Marshall County, Indiana</t>
  </si>
  <si>
    <t>Census Tract 202.01, Marshall County, Indiana</t>
  </si>
  <si>
    <t>Census Tract 202.02, Marshall County, Indiana</t>
  </si>
  <si>
    <t>Census Tract 203.01, Marshall County, Indiana</t>
  </si>
  <si>
    <t>Census Tract 203.02, Marshall County, Indiana</t>
  </si>
  <si>
    <t>Census Tract 204, Marshall County, Indiana</t>
  </si>
  <si>
    <t>Census Tract 205, Marshall County, Indiana</t>
  </si>
  <si>
    <t>Census Tract 206, Marshall County, Indiana</t>
  </si>
  <si>
    <t>Census Tract 207.01, Marshall County, Indiana</t>
  </si>
  <si>
    <t>Census Tract 207.02, Marshall County, Indiana</t>
  </si>
  <si>
    <t>Census Tract 208, Marshall County, Indiana</t>
  </si>
  <si>
    <t>Census Tract 9501, Martin County, Indiana</t>
  </si>
  <si>
    <t>Census Tract 9502, Martin County, Indiana</t>
  </si>
  <si>
    <t>Census Tract 9503, Martin County, Indiana</t>
  </si>
  <si>
    <t>Census Tract 9520, Miami County, Indiana</t>
  </si>
  <si>
    <t>Census Tract 9521, Miami County, Indiana</t>
  </si>
  <si>
    <t>Census Tract 9522, Miami County, Indiana</t>
  </si>
  <si>
    <t>Census Tract 9523, Miami County, Indiana</t>
  </si>
  <si>
    <t>Census Tract 9524, Miami County, Indiana</t>
  </si>
  <si>
    <t>Census Tract 9525, Miami County, Indiana</t>
  </si>
  <si>
    <t>Census Tract 9526, Miami County, Indiana</t>
  </si>
  <si>
    <t>Census Tract 9527, Miami County, Indiana</t>
  </si>
  <si>
    <t>Census Tract 9528, Miami County, Indiana</t>
  </si>
  <si>
    <t>Census Tract 9529, Miami County, Indiana</t>
  </si>
  <si>
    <t>Census Tract 1, Monroe County, Indiana</t>
  </si>
  <si>
    <t>Census Tract 2.01, Monroe County, Indiana</t>
  </si>
  <si>
    <t>Census Tract 2.02, Monroe County, Indiana</t>
  </si>
  <si>
    <t>Census Tract 3.01, Monroe County, Indiana</t>
  </si>
  <si>
    <t>Census Tract 3.02, Monroe County, Indiana</t>
  </si>
  <si>
    <t>Census Tract 4.01, Monroe County, Indiana</t>
  </si>
  <si>
    <t>Census Tract 4.02, Monroe County, Indiana</t>
  </si>
  <si>
    <t>Census Tract 5.01, Monroe County, Indiana</t>
  </si>
  <si>
    <t>Census Tract 5.02, Monroe County, Indiana</t>
  </si>
  <si>
    <t>Census Tract 6.01, Monroe County, Indiana</t>
  </si>
  <si>
    <t>Census Tract 6.02, Monroe County, Indiana</t>
  </si>
  <si>
    <t>Census Tract 7, Monroe County, Indiana</t>
  </si>
  <si>
    <t>Census Tract 8.01, Monroe County, Indiana</t>
  </si>
  <si>
    <t>Census Tract 8.02, Monroe County, Indiana</t>
  </si>
  <si>
    <t>Census Tract 9.01, Monroe County, Indiana</t>
  </si>
  <si>
    <t>Census Tract 9.03, Monroe County, Indiana</t>
  </si>
  <si>
    <t>Census Tract 9.04, Monroe County, Indiana</t>
  </si>
  <si>
    <t>Census Tract 10.01, Monroe County, Indiana</t>
  </si>
  <si>
    <t>Census Tract 10.02, Monroe County, Indiana</t>
  </si>
  <si>
    <t>Census Tract 11.01, Monroe County, Indiana</t>
  </si>
  <si>
    <t>Census Tract 11.02, Monroe County, Indiana</t>
  </si>
  <si>
    <t>Census Tract 11.03, Monroe County, Indiana</t>
  </si>
  <si>
    <t>Census Tract 12, Monroe County, Indiana</t>
  </si>
  <si>
    <t>Census Tract 13.01, Monroe County, Indiana</t>
  </si>
  <si>
    <t>Census Tract 13.03, Monroe County, Indiana</t>
  </si>
  <si>
    <t>Census Tract 13.04, Monroe County, Indiana</t>
  </si>
  <si>
    <t>Census Tract 13.05, Monroe County, Indiana</t>
  </si>
  <si>
    <t>Census Tract 14.01, Monroe County, Indiana</t>
  </si>
  <si>
    <t>Census Tract 14.03, Monroe County, Indiana</t>
  </si>
  <si>
    <t>Census Tract 14.04, Monroe County, Indiana</t>
  </si>
  <si>
    <t>Census Tract 15.01, Monroe County, Indiana</t>
  </si>
  <si>
    <t>Census Tract 15.02, Monroe County, Indiana</t>
  </si>
  <si>
    <t>Census Tract 16, Monroe County, Indiana</t>
  </si>
  <si>
    <t>Census Tract 9567, Montgomery County, Indiana</t>
  </si>
  <si>
    <t>Census Tract 9568, Montgomery County, Indiana</t>
  </si>
  <si>
    <t>Census Tract 9569, Montgomery County, Indiana</t>
  </si>
  <si>
    <t>Census Tract 9570, Montgomery County, Indiana</t>
  </si>
  <si>
    <t>Census Tract 9571, Montgomery County, Indiana</t>
  </si>
  <si>
    <t>Census Tract 9572, Montgomery County, Indiana</t>
  </si>
  <si>
    <t>Census Tract 9573, Montgomery County, Indiana</t>
  </si>
  <si>
    <t>Census Tract 9574, Montgomery County, Indiana</t>
  </si>
  <si>
    <t>Census Tract 9575, Montgomery County, Indiana</t>
  </si>
  <si>
    <t>Census Tract 5101.01, Morgan County, Indiana</t>
  </si>
  <si>
    <t>Census Tract 5101.02, Morgan County, Indiana</t>
  </si>
  <si>
    <t>Census Tract 5102.01, Morgan County, Indiana</t>
  </si>
  <si>
    <t>Census Tract 5102.02, Morgan County, Indiana</t>
  </si>
  <si>
    <t>Census Tract 5103, Morgan County, Indiana</t>
  </si>
  <si>
    <t>Census Tract 5104.01, Morgan County, Indiana</t>
  </si>
  <si>
    <t>Census Tract 5104.02, Morgan County, Indiana</t>
  </si>
  <si>
    <t>Census Tract 5105, Morgan County, Indiana</t>
  </si>
  <si>
    <t>Census Tract 5106.01, Morgan County, Indiana</t>
  </si>
  <si>
    <t>Census Tract 5106.02, Morgan County, Indiana</t>
  </si>
  <si>
    <t>Census Tract 5107.01, Morgan County, Indiana</t>
  </si>
  <si>
    <t>Census Tract 5107.03, Morgan County, Indiana</t>
  </si>
  <si>
    <t>Census Tract 5107.04, Morgan County, Indiana</t>
  </si>
  <si>
    <t>Census Tract 5108, Morgan County, Indiana</t>
  </si>
  <si>
    <t>Census Tract 5109, Morgan County, Indiana</t>
  </si>
  <si>
    <t>Census Tract 5110.01, Morgan County, Indiana</t>
  </si>
  <si>
    <t>Census Tract 5110.02, Morgan County, Indiana</t>
  </si>
  <si>
    <t>Census Tract 1004, Newton County, Indiana</t>
  </si>
  <si>
    <t>Census Tract 1005, Newton County, Indiana</t>
  </si>
  <si>
    <t>Census Tract 1006, Newton County, Indiana</t>
  </si>
  <si>
    <t>Census Tract 1007, Newton County, Indiana</t>
  </si>
  <si>
    <t>Census Tract 9717, Noble County, Indiana</t>
  </si>
  <si>
    <t>Census Tract 9718, Noble County, Indiana</t>
  </si>
  <si>
    <t>Census Tract 9719, Noble County, Indiana</t>
  </si>
  <si>
    <t>Census Tract 9720, Noble County, Indiana</t>
  </si>
  <si>
    <t>Census Tract 9721, Noble County, Indiana</t>
  </si>
  <si>
    <t>Census Tract 9722, Noble County, Indiana</t>
  </si>
  <si>
    <t>Census Tract 9723, Noble County, Indiana</t>
  </si>
  <si>
    <t>Census Tract 9724, Noble County, Indiana</t>
  </si>
  <si>
    <t>Census Tract 9725, Noble County, Indiana</t>
  </si>
  <si>
    <t>Census Tract 9726, Noble County, Indiana</t>
  </si>
  <si>
    <t>Census Tract 9657, Ohio County, Indiana</t>
  </si>
  <si>
    <t>Census Tract 9658, Ohio County, Indiana</t>
  </si>
  <si>
    <t>Census Tract 9513, Orange County, Indiana</t>
  </si>
  <si>
    <t>Census Tract 9514, Orange County, Indiana</t>
  </si>
  <si>
    <t>Census Tract 9515, Orange County, Indiana</t>
  </si>
  <si>
    <t>Census Tract 9516, Orange County, Indiana</t>
  </si>
  <si>
    <t>Census Tract 9517, Orange County, Indiana</t>
  </si>
  <si>
    <t>Census Tract 9518, Orange County, Indiana</t>
  </si>
  <si>
    <t>Census Tract 9555, Owen County, Indiana</t>
  </si>
  <si>
    <t>Census Tract 9556, Owen County, Indiana</t>
  </si>
  <si>
    <t>Census Tract 9557.01, Owen County, Indiana</t>
  </si>
  <si>
    <t>Census Tract 9557.02, Owen County, Indiana</t>
  </si>
  <si>
    <t>Census Tract 9558, Owen County, Indiana</t>
  </si>
  <si>
    <t>Census Tract 9559, Owen County, Indiana</t>
  </si>
  <si>
    <t>Census Tract 301, Parke County, Indiana</t>
  </si>
  <si>
    <t>Census Tract 302, Parke County, Indiana</t>
  </si>
  <si>
    <t>Census Tract 303, Parke County, Indiana</t>
  </si>
  <si>
    <t>Census Tract 304.01, Parke County, Indiana</t>
  </si>
  <si>
    <t>Census Tract 304.02, Parke County, Indiana</t>
  </si>
  <si>
    <t>Census Tract 9522, Perry County, Indiana</t>
  </si>
  <si>
    <t>Census Tract 9523, Perry County, Indiana</t>
  </si>
  <si>
    <t>Census Tract 9524, Perry County, Indiana</t>
  </si>
  <si>
    <t>Census Tract 9525, Perry County, Indiana</t>
  </si>
  <si>
    <t>Census Tract 9526, Perry County, Indiana</t>
  </si>
  <si>
    <t>Census Tract 9539, Pike County, Indiana</t>
  </si>
  <si>
    <t>Census Tract 9540, Pike County, Indiana</t>
  </si>
  <si>
    <t>Census Tract 9541, Pike County, Indiana</t>
  </si>
  <si>
    <t>Census Tract 9542, Pike County, Indiana</t>
  </si>
  <si>
    <t>Census Tract 501.04, Porter County, Indiana</t>
  </si>
  <si>
    <t>Census Tract 501.05, Porter County, Indiana</t>
  </si>
  <si>
    <t>Census Tract 501.06, Porter County, Indiana</t>
  </si>
  <si>
    <t>Census Tract 501.07, Porter County, Indiana</t>
  </si>
  <si>
    <t>Census Tract 502.02, Porter County, Indiana</t>
  </si>
  <si>
    <t>Census Tract 502.03, Porter County, Indiana</t>
  </si>
  <si>
    <t>Census Tract 503.01, Porter County, Indiana</t>
  </si>
  <si>
    <t>Census Tract 503.02, Porter County, Indiana</t>
  </si>
  <si>
    <t>Census Tract 504.05, Porter County, Indiana</t>
  </si>
  <si>
    <t>Census Tract 504.07, Porter County, Indiana</t>
  </si>
  <si>
    <t>Census Tract 504.08, Porter County, Indiana</t>
  </si>
  <si>
    <t>Census Tract 504.09, Porter County, Indiana</t>
  </si>
  <si>
    <t>Census Tract 505.01, Porter County, Indiana</t>
  </si>
  <si>
    <t>Census Tract 505.03, Porter County, Indiana</t>
  </si>
  <si>
    <t>Census Tract 505.05, Porter County, Indiana</t>
  </si>
  <si>
    <t>Census Tract 505.06, Porter County, Indiana</t>
  </si>
  <si>
    <t>Census Tract 505.07, Porter County, Indiana</t>
  </si>
  <si>
    <t>Census Tract 505.08, Porter County, Indiana</t>
  </si>
  <si>
    <t>Census Tract 505.09, Porter County, Indiana</t>
  </si>
  <si>
    <t>Census Tract 506.02, Porter County, Indiana</t>
  </si>
  <si>
    <t>Census Tract 506.03, Porter County, Indiana</t>
  </si>
  <si>
    <t>Census Tract 506.05, Porter County, Indiana</t>
  </si>
  <si>
    <t>Census Tract 506.06, Porter County, Indiana</t>
  </si>
  <si>
    <t>Census Tract 507.03, Porter County, Indiana</t>
  </si>
  <si>
    <t>Census Tract 507.04, Porter County, Indiana</t>
  </si>
  <si>
    <t>Census Tract 507.05, Porter County, Indiana</t>
  </si>
  <si>
    <t>Census Tract 507.06, Porter County, Indiana</t>
  </si>
  <si>
    <t>Census Tract 508.01, Porter County, Indiana</t>
  </si>
  <si>
    <t>Census Tract 508.02, Porter County, Indiana</t>
  </si>
  <si>
    <t>Census Tract 509.01, Porter County, Indiana</t>
  </si>
  <si>
    <t>Census Tract 509.02, Porter County, Indiana</t>
  </si>
  <si>
    <t>Census Tract 510.05, Porter County, Indiana</t>
  </si>
  <si>
    <t>Census Tract 510.06, Porter County, Indiana</t>
  </si>
  <si>
    <t>Census Tract 510.08, Porter County, Indiana</t>
  </si>
  <si>
    <t>Census Tract 510.09, Porter County, Indiana</t>
  </si>
  <si>
    <t>Census Tract 510.10, Porter County, Indiana</t>
  </si>
  <si>
    <t>Census Tract 510.11, Porter County, Indiana</t>
  </si>
  <si>
    <t>Census Tract 510.12, Porter County, Indiana</t>
  </si>
  <si>
    <t>Census Tract 511.01, Porter County, Indiana</t>
  </si>
  <si>
    <t>Census Tract 511.02, Porter County, Indiana</t>
  </si>
  <si>
    <t>Census Tract 9800.01, Porter County, Indiana</t>
  </si>
  <si>
    <t>Census Tract 9800.02, Porter County, Indiana</t>
  </si>
  <si>
    <t>Census Tract 401, Posey County, Indiana</t>
  </si>
  <si>
    <t>Census Tract 402, Posey County, Indiana</t>
  </si>
  <si>
    <t>Census Tract 403, Posey County, Indiana</t>
  </si>
  <si>
    <t>Census Tract 404, Posey County, Indiana</t>
  </si>
  <si>
    <t>Census Tract 405, Posey County, Indiana</t>
  </si>
  <si>
    <t>Census Tract 406, Posey County, Indiana</t>
  </si>
  <si>
    <t>Census Tract 407, Posey County, Indiana</t>
  </si>
  <si>
    <t>Census Tract 9589, Pulaski County, Indiana</t>
  </si>
  <si>
    <t>Census Tract 9590, Pulaski County, Indiana</t>
  </si>
  <si>
    <t>Census Tract 9591, Pulaski County, Indiana</t>
  </si>
  <si>
    <t>Census Tract 9592, Pulaski County, Indiana</t>
  </si>
  <si>
    <t>Census Tract 9560, Putnam County, Indiana</t>
  </si>
  <si>
    <t>Census Tract 9561, Putnam County, Indiana</t>
  </si>
  <si>
    <t>Census Tract 9562, Putnam County, Indiana</t>
  </si>
  <si>
    <t>Census Tract 9563.01, Putnam County, Indiana</t>
  </si>
  <si>
    <t>Census Tract 9563.02, Putnam County, Indiana</t>
  </si>
  <si>
    <t>Census Tract 9564.01, Putnam County, Indiana</t>
  </si>
  <si>
    <t>Census Tract 9564.02, Putnam County, Indiana</t>
  </si>
  <si>
    <t>Census Tract 9565, Putnam County, Indiana</t>
  </si>
  <si>
    <t>Census Tract 9566, Putnam County, Indiana</t>
  </si>
  <si>
    <t>Census Tract 9514, Randolph County, Indiana</t>
  </si>
  <si>
    <t>Census Tract 9515, Randolph County, Indiana</t>
  </si>
  <si>
    <t>Census Tract 9516, Randolph County, Indiana</t>
  </si>
  <si>
    <t>Census Tract 9517, Randolph County, Indiana</t>
  </si>
  <si>
    <t>Census Tract 9518, Randolph County, Indiana</t>
  </si>
  <si>
    <t>Census Tract 9519, Randolph County, Indiana</t>
  </si>
  <si>
    <t>Census Tract 9520, Randolph County, Indiana</t>
  </si>
  <si>
    <t>Census Tract 9521, Randolph County, Indiana</t>
  </si>
  <si>
    <t>Census Tract 9684.01, Ripley County, Indiana</t>
  </si>
  <si>
    <t>Census Tract 9684.02, Ripley County, Indiana</t>
  </si>
  <si>
    <t>Census Tract 9685, Ripley County, Indiana</t>
  </si>
  <si>
    <t>Census Tract 9686, Ripley County, Indiana</t>
  </si>
  <si>
    <t>Census Tract 9687, Ripley County, Indiana</t>
  </si>
  <si>
    <t>Census Tract 9688, Ripley County, Indiana</t>
  </si>
  <si>
    <t>Census Tract 9689, Ripley County, Indiana</t>
  </si>
  <si>
    <t>Census Tract 9741, Rush County, Indiana</t>
  </si>
  <si>
    <t>Census Tract 9742, Rush County, Indiana</t>
  </si>
  <si>
    <t>Census Tract 9743, Rush County, Indiana</t>
  </si>
  <si>
    <t>Census Tract 9744, Rush County, Indiana</t>
  </si>
  <si>
    <t>Census Tract 9745, Rush County, Indiana</t>
  </si>
  <si>
    <t>Census Tract 1, St. Joseph County, Indiana</t>
  </si>
  <si>
    <t>Census Tract 2, St. Joseph County, Indiana</t>
  </si>
  <si>
    <t>Census Tract 3.01, St. Joseph County, Indiana</t>
  </si>
  <si>
    <t>Census Tract 3.02, St. Joseph County, Indiana</t>
  </si>
  <si>
    <t>Census Tract 4, St. Joseph County, Indiana</t>
  </si>
  <si>
    <t>Census Tract 5, St. Joseph County, Indiana</t>
  </si>
  <si>
    <t>Census Tract 6, St. Joseph County, Indiana</t>
  </si>
  <si>
    <t>Census Tract 7, St. Joseph County, Indiana</t>
  </si>
  <si>
    <t>Census Tract 8, St. Joseph County, Indiana</t>
  </si>
  <si>
    <t>Census Tract 9, St. Joseph County, Indiana</t>
  </si>
  <si>
    <t>Census Tract 10, St. Joseph County, Indiana</t>
  </si>
  <si>
    <t>Census Tract 11, St. Joseph County, Indiana</t>
  </si>
  <si>
    <t>Census Tract 12, St. Joseph County, Indiana</t>
  </si>
  <si>
    <t>Census Tract 13, St. Joseph County, Indiana</t>
  </si>
  <si>
    <t>Census Tract 14, St. Joseph County, Indiana</t>
  </si>
  <si>
    <t>Census Tract 15, St. Joseph County, Indiana</t>
  </si>
  <si>
    <t>Census Tract 16, St. Joseph County, Indiana</t>
  </si>
  <si>
    <t>Census Tract 17, St. Joseph County, Indiana</t>
  </si>
  <si>
    <t>Census Tract 19, St. Joseph County, Indiana</t>
  </si>
  <si>
    <t>Census Tract 20, St. Joseph County, Indiana</t>
  </si>
  <si>
    <t>Census Tract 21, St. Joseph County, Indiana</t>
  </si>
  <si>
    <t>Census Tract 22, St. Joseph County, Indiana</t>
  </si>
  <si>
    <t>Census Tract 23, St. Joseph County, Indiana</t>
  </si>
  <si>
    <t>Census Tract 24, St. Joseph County, Indiana</t>
  </si>
  <si>
    <t>Census Tract 25, St. Joseph County, Indiana</t>
  </si>
  <si>
    <t>Census Tract 26, St. Joseph County, Indiana</t>
  </si>
  <si>
    <t>Census Tract 27, St. Joseph County, Indiana</t>
  </si>
  <si>
    <t>Census Tract 28, St. Joseph County, Indiana</t>
  </si>
  <si>
    <t>Census Tract 29, St. Joseph County, Indiana</t>
  </si>
  <si>
    <t>Census Tract 30, St. Joseph County, Indiana</t>
  </si>
  <si>
    <t>Census Tract 31, St. Joseph County, Indiana</t>
  </si>
  <si>
    <t>Census Tract 32, St. Joseph County, Indiana</t>
  </si>
  <si>
    <t>Census Tract 33, St. Joseph County, Indiana</t>
  </si>
  <si>
    <t>Census Tract 34, St. Joseph County, Indiana</t>
  </si>
  <si>
    <t>Census Tract 35, St. Joseph County, Indiana</t>
  </si>
  <si>
    <t>Census Tract 101, St. Joseph County, Indiana</t>
  </si>
  <si>
    <t>Census Tract 102.01, St. Joseph County, Indiana</t>
  </si>
  <si>
    <t>Census Tract 102.02, St. Joseph County, Indiana</t>
  </si>
  <si>
    <t>Census Tract 103, St. Joseph County, Indiana</t>
  </si>
  <si>
    <t>Census Tract 104, St. Joseph County, Indiana</t>
  </si>
  <si>
    <t>Census Tract 105, St. Joseph County, Indiana</t>
  </si>
  <si>
    <t>Census Tract 106, St. Joseph County, Indiana</t>
  </si>
  <si>
    <t>Census Tract 107, St. Joseph County, Indiana</t>
  </si>
  <si>
    <t>Census Tract 108, St. Joseph County, Indiana</t>
  </si>
  <si>
    <t>Census Tract 109.01, St. Joseph County, Indiana</t>
  </si>
  <si>
    <t>Census Tract 109.02, St. Joseph County, Indiana</t>
  </si>
  <si>
    <t>Census Tract 110.01, St. Joseph County, Indiana</t>
  </si>
  <si>
    <t>Census Tract 110.02, St. Joseph County, Indiana</t>
  </si>
  <si>
    <t>Census Tract 111, St. Joseph County, Indiana</t>
  </si>
  <si>
    <t>Census Tract 112.03, St. Joseph County, Indiana</t>
  </si>
  <si>
    <t>Census Tract 113.03, St. Joseph County, Indiana</t>
  </si>
  <si>
    <t>Census Tract 113.04, St. Joseph County, Indiana</t>
  </si>
  <si>
    <t>Census Tract 113.05, St. Joseph County, Indiana</t>
  </si>
  <si>
    <t>Census Tract 113.06, St. Joseph County, Indiana</t>
  </si>
  <si>
    <t>Census Tract 113.07, St. Joseph County, Indiana</t>
  </si>
  <si>
    <t>Census Tract 113.08, St. Joseph County, Indiana</t>
  </si>
  <si>
    <t>Census Tract 113.09, St. Joseph County, Indiana</t>
  </si>
  <si>
    <t>Census Tract 113.10, St. Joseph County, Indiana</t>
  </si>
  <si>
    <t>Census Tract 114.03, St. Joseph County, Indiana</t>
  </si>
  <si>
    <t>Census Tract 114.04, St. Joseph County, Indiana</t>
  </si>
  <si>
    <t>Census Tract 114.05, St. Joseph County, Indiana</t>
  </si>
  <si>
    <t>Census Tract 114.06, St. Joseph County, Indiana</t>
  </si>
  <si>
    <t>Census Tract 115.01, St. Joseph County, Indiana</t>
  </si>
  <si>
    <t>Census Tract 115.03, St. Joseph County, Indiana</t>
  </si>
  <si>
    <t>Census Tract 115.04, St. Joseph County, Indiana</t>
  </si>
  <si>
    <t>Census Tract 115.05, St. Joseph County, Indiana</t>
  </si>
  <si>
    <t>Census Tract 115.06, St. Joseph County, Indiana</t>
  </si>
  <si>
    <t>Census Tract 116.02, St. Joseph County, Indiana</t>
  </si>
  <si>
    <t>Census Tract 116.03, St. Joseph County, Indiana</t>
  </si>
  <si>
    <t>Census Tract 116.04, St. Joseph County, Indiana</t>
  </si>
  <si>
    <t>Census Tract 117.01, St. Joseph County, Indiana</t>
  </si>
  <si>
    <t>Census Tract 117.03, St. Joseph County, Indiana</t>
  </si>
  <si>
    <t>Census Tract 117.04, St. Joseph County, Indiana</t>
  </si>
  <si>
    <t>Census Tract 118.01, St. Joseph County, Indiana</t>
  </si>
  <si>
    <t>Census Tract 118.03, St. Joseph County, Indiana</t>
  </si>
  <si>
    <t>Census Tract 118.04, St. Joseph County, Indiana</t>
  </si>
  <si>
    <t>Census Tract 119, St. Joseph County, Indiana</t>
  </si>
  <si>
    <t>Census Tract 120, St. Joseph County, Indiana</t>
  </si>
  <si>
    <t>Census Tract 121, St. Joseph County, Indiana</t>
  </si>
  <si>
    <t>Census Tract 122, St. Joseph County, Indiana</t>
  </si>
  <si>
    <t>Census Tract 123, St. Joseph County, Indiana</t>
  </si>
  <si>
    <t>Census Tract 124, St. Joseph County, Indiana</t>
  </si>
  <si>
    <t>Census Tract 9667, Scott County, Indiana</t>
  </si>
  <si>
    <t>Census Tract 9668, Scott County, Indiana</t>
  </si>
  <si>
    <t>Census Tract 9669, Scott County, Indiana</t>
  </si>
  <si>
    <t>Census Tract 9670, Scott County, Indiana</t>
  </si>
  <si>
    <t>Census Tract 9671, Scott County, Indiana</t>
  </si>
  <si>
    <t>Census Tract 7101, Shelby County, Indiana</t>
  </si>
  <si>
    <t>Census Tract 7102, Shelby County, Indiana</t>
  </si>
  <si>
    <t>Census Tract 7103, Shelby County, Indiana</t>
  </si>
  <si>
    <t>Census Tract 7104, Shelby County, Indiana</t>
  </si>
  <si>
    <t>Census Tract 7105, Shelby County, Indiana</t>
  </si>
  <si>
    <t>Census Tract 7106.01, Shelby County, Indiana</t>
  </si>
  <si>
    <t>Census Tract 7106.02, Shelby County, Indiana</t>
  </si>
  <si>
    <t>Census Tract 7107, Shelby County, Indiana</t>
  </si>
  <si>
    <t>Census Tract 7108, Shelby County, Indiana</t>
  </si>
  <si>
    <t>Census Tract 7109, Shelby County, Indiana</t>
  </si>
  <si>
    <t>Census Tract 9527.01, Spencer County, Indiana</t>
  </si>
  <si>
    <t>Census Tract 9527.02, Spencer County, Indiana</t>
  </si>
  <si>
    <t>Census Tract 9528, Spencer County, Indiana</t>
  </si>
  <si>
    <t>Census Tract 9529, Spencer County, Indiana</t>
  </si>
  <si>
    <t>Census Tract 9530, Spencer County, Indiana</t>
  </si>
  <si>
    <t>Census Tract 9531, Spencer County, Indiana</t>
  </si>
  <si>
    <t>Census Tract 9536, Starke County, Indiana</t>
  </si>
  <si>
    <t>Census Tract 9537, Starke County, Indiana</t>
  </si>
  <si>
    <t>Census Tract 9538, Starke County, Indiana</t>
  </si>
  <si>
    <t>Census Tract 9539, Starke County, Indiana</t>
  </si>
  <si>
    <t>Census Tract 9540, Starke County, Indiana</t>
  </si>
  <si>
    <t>Census Tract 9541, Starke County, Indiana</t>
  </si>
  <si>
    <t>Census Tract 9542, Starke County, Indiana</t>
  </si>
  <si>
    <t>Census Tract 9708, Steuben County, Indiana</t>
  </si>
  <si>
    <t>Census Tract 9709, Steuben County, Indiana</t>
  </si>
  <si>
    <t>Census Tract 9710, Steuben County, Indiana</t>
  </si>
  <si>
    <t>Census Tract 9711, Steuben County, Indiana</t>
  </si>
  <si>
    <t>Census Tract 9712, Steuben County, Indiana</t>
  </si>
  <si>
    <t>Census Tract 9713, Steuben County, Indiana</t>
  </si>
  <si>
    <t>Census Tract 9714, Steuben County, Indiana</t>
  </si>
  <si>
    <t>Census Tract 9715, Steuben County, Indiana</t>
  </si>
  <si>
    <t>Census Tract 9716, Steuben County, Indiana</t>
  </si>
  <si>
    <t>Census Tract 501.01, Sullivan County, Indiana</t>
  </si>
  <si>
    <t>Census Tract 501.02, Sullivan County, Indiana</t>
  </si>
  <si>
    <t>Census Tract 502, Sullivan County, Indiana</t>
  </si>
  <si>
    <t>Census Tract 503.01, Sullivan County, Indiana</t>
  </si>
  <si>
    <t>Census Tract 503.02, Sullivan County, Indiana</t>
  </si>
  <si>
    <t>Census Tract 504, Sullivan County, Indiana</t>
  </si>
  <si>
    <t>Census Tract 505.01, Sullivan County, Indiana</t>
  </si>
  <si>
    <t>Census Tract 505.02, Sullivan County, Indiana</t>
  </si>
  <si>
    <t>Census Tract 9657, Switzerland County, Indiana</t>
  </si>
  <si>
    <t>Census Tract 9658, Switzerland County, Indiana</t>
  </si>
  <si>
    <t>Census Tract 9659, Switzerland County, Indiana</t>
  </si>
  <si>
    <t>Census Tract 1, Tippecanoe County, Indiana</t>
  </si>
  <si>
    <t>Census Tract 2, Tippecanoe County, Indiana</t>
  </si>
  <si>
    <t>Census Tract 3, Tippecanoe County, Indiana</t>
  </si>
  <si>
    <t>Census Tract 4, Tippecanoe County, Indiana</t>
  </si>
  <si>
    <t>Census Tract 7, Tippecanoe County, Indiana</t>
  </si>
  <si>
    <t>Census Tract 8, Tippecanoe County, Indiana</t>
  </si>
  <si>
    <t>Census Tract 10, Tippecanoe County, Indiana</t>
  </si>
  <si>
    <t>Census Tract 11, Tippecanoe County, Indiana</t>
  </si>
  <si>
    <t>Census Tract 12, Tippecanoe County, Indiana</t>
  </si>
  <si>
    <t>Census Tract 13, Tippecanoe County, Indiana</t>
  </si>
  <si>
    <t>Census Tract 14, Tippecanoe County, Indiana</t>
  </si>
  <si>
    <t>Census Tract 15.01, Tippecanoe County, Indiana</t>
  </si>
  <si>
    <t>Census Tract 15.02, Tippecanoe County, Indiana</t>
  </si>
  <si>
    <t>Census Tract 16.01, Tippecanoe County, Indiana</t>
  </si>
  <si>
    <t>Census Tract 16.02, Tippecanoe County, Indiana</t>
  </si>
  <si>
    <t>Census Tract 16.03, Tippecanoe County, Indiana</t>
  </si>
  <si>
    <t>Census Tract 17.01, Tippecanoe County, Indiana</t>
  </si>
  <si>
    <t>Census Tract 17.02, Tippecanoe County, Indiana</t>
  </si>
  <si>
    <t>Census Tract 18, Tippecanoe County, Indiana</t>
  </si>
  <si>
    <t>Census Tract 19, Tippecanoe County, Indiana</t>
  </si>
  <si>
    <t>Census Tract 51.01, Tippecanoe County, Indiana</t>
  </si>
  <si>
    <t>Census Tract 51.02, Tippecanoe County, Indiana</t>
  </si>
  <si>
    <t>Census Tract 52, Tippecanoe County, Indiana</t>
  </si>
  <si>
    <t>Census Tract 54.01, Tippecanoe County, Indiana</t>
  </si>
  <si>
    <t>Census Tract 54.02, Tippecanoe County, Indiana</t>
  </si>
  <si>
    <t>Census Tract 55, Tippecanoe County, Indiana</t>
  </si>
  <si>
    <t>Census Tract 101, Tippecanoe County, Indiana</t>
  </si>
  <si>
    <t>Census Tract 102.01, Tippecanoe County, Indiana</t>
  </si>
  <si>
    <t>Census Tract 102.05, Tippecanoe County, Indiana</t>
  </si>
  <si>
    <t>Census Tract 102.06, Tippecanoe County, Indiana</t>
  </si>
  <si>
    <t>Census Tract 102.07, Tippecanoe County, Indiana</t>
  </si>
  <si>
    <t>Census Tract 102.08, Tippecanoe County, Indiana</t>
  </si>
  <si>
    <t>Census Tract 102.09, Tippecanoe County, Indiana</t>
  </si>
  <si>
    <t>Census Tract 104, Tippecanoe County, Indiana</t>
  </si>
  <si>
    <t>Census Tract 105, Tippecanoe County, Indiana</t>
  </si>
  <si>
    <t>Census Tract 106, Tippecanoe County, Indiana</t>
  </si>
  <si>
    <t>Census Tract 107, Tippecanoe County, Indiana</t>
  </si>
  <si>
    <t>Census Tract 108, Tippecanoe County, Indiana</t>
  </si>
  <si>
    <t>Census Tract 109.01, Tippecanoe County, Indiana</t>
  </si>
  <si>
    <t>Census Tract 109.02, Tippecanoe County, Indiana</t>
  </si>
  <si>
    <t>Census Tract 110, Tippecanoe County, Indiana</t>
  </si>
  <si>
    <t>Census Tract 111, Tippecanoe County, Indiana</t>
  </si>
  <si>
    <t>Census Tract 112, Tippecanoe County, Indiana</t>
  </si>
  <si>
    <t>Census Tract 201, Tipton County, Indiana</t>
  </si>
  <si>
    <t>Census Tract 202, Tipton County, Indiana</t>
  </si>
  <si>
    <t>Census Tract 203, Tipton County, Indiana</t>
  </si>
  <si>
    <t>Census Tract 204.01, Tipton County, Indiana</t>
  </si>
  <si>
    <t>Census Tract 204.02, Tipton County, Indiana</t>
  </si>
  <si>
    <t>Census Tract 9607, Union County, Indiana</t>
  </si>
  <si>
    <t>Census Tract 9608, Union County, Indiana</t>
  </si>
  <si>
    <t>Census Tract 1, Vanderburgh County, Indiana</t>
  </si>
  <si>
    <t>Census Tract 2.03, Vanderburgh County, Indiana</t>
  </si>
  <si>
    <t>Census Tract 2.04, Vanderburgh County, Indiana</t>
  </si>
  <si>
    <t>Census Tract 2.05, Vanderburgh County, Indiana</t>
  </si>
  <si>
    <t>Census Tract 3, Vanderburgh County, Indiana</t>
  </si>
  <si>
    <t>Census Tract 4, Vanderburgh County, Indiana</t>
  </si>
  <si>
    <t>Census Tract 5, Vanderburgh County, Indiana</t>
  </si>
  <si>
    <t>Census Tract 6, Vanderburgh County, Indiana</t>
  </si>
  <si>
    <t>Census Tract 8, Vanderburgh County, Indiana</t>
  </si>
  <si>
    <t>Census Tract 9, Vanderburgh County, Indiana</t>
  </si>
  <si>
    <t>Census Tract 10, Vanderburgh County, Indiana</t>
  </si>
  <si>
    <t>Census Tract 11.01, Vanderburgh County, Indiana</t>
  </si>
  <si>
    <t>Census Tract 12, Vanderburgh County, Indiana</t>
  </si>
  <si>
    <t>Census Tract 13, Vanderburgh County, Indiana</t>
  </si>
  <si>
    <t>Census Tract 14, Vanderburgh County, Indiana</t>
  </si>
  <si>
    <t>Census Tract 15, Vanderburgh County, Indiana</t>
  </si>
  <si>
    <t>Census Tract 17, Vanderburgh County, Indiana</t>
  </si>
  <si>
    <t>Census Tract 18, Vanderburgh County, Indiana</t>
  </si>
  <si>
    <t>Census Tract 19, Vanderburgh County, Indiana</t>
  </si>
  <si>
    <t>Census Tract 20, Vanderburgh County, Indiana</t>
  </si>
  <si>
    <t>Census Tract 21, Vanderburgh County, Indiana</t>
  </si>
  <si>
    <t>Census Tract 23, Vanderburgh County, Indiana</t>
  </si>
  <si>
    <t>Census Tract 24, Vanderburgh County, Indiana</t>
  </si>
  <si>
    <t>Census Tract 25, Vanderburgh County, Indiana</t>
  </si>
  <si>
    <t>Census Tract 26, Vanderburgh County, Indiana</t>
  </si>
  <si>
    <t>Census Tract 30, Vanderburgh County, Indiana</t>
  </si>
  <si>
    <t>Census Tract 31, Vanderburgh County, Indiana</t>
  </si>
  <si>
    <t>Census Tract 32, Vanderburgh County, Indiana</t>
  </si>
  <si>
    <t>Census Tract 33, Vanderburgh County, Indiana</t>
  </si>
  <si>
    <t>Census Tract 34, Vanderburgh County, Indiana</t>
  </si>
  <si>
    <t>Census Tract 35, Vanderburgh County, Indiana</t>
  </si>
  <si>
    <t>Census Tract 36, Vanderburgh County, Indiana</t>
  </si>
  <si>
    <t>Census Tract 37.01, Vanderburgh County, Indiana</t>
  </si>
  <si>
    <t>Census Tract 37.02, Vanderburgh County, Indiana</t>
  </si>
  <si>
    <t>Census Tract 38.01, Vanderburgh County, Indiana</t>
  </si>
  <si>
    <t>Census Tract 38.03, Vanderburgh County, Indiana</t>
  </si>
  <si>
    <t>Census Tract 38.05, Vanderburgh County, Indiana</t>
  </si>
  <si>
    <t>Census Tract 39, Vanderburgh County, Indiana</t>
  </si>
  <si>
    <t>Census Tract 101.01, Vanderburgh County, Indiana</t>
  </si>
  <si>
    <t>Census Tract 101.02, Vanderburgh County, Indiana</t>
  </si>
  <si>
    <t>Census Tract 102.04, Vanderburgh County, Indiana</t>
  </si>
  <si>
    <t>Census Tract 102.05, Vanderburgh County, Indiana</t>
  </si>
  <si>
    <t>Census Tract 102.06, Vanderburgh County, Indiana</t>
  </si>
  <si>
    <t>Census Tract 102.07, Vanderburgh County, Indiana</t>
  </si>
  <si>
    <t>Census Tract 102.08, Vanderburgh County, Indiana</t>
  </si>
  <si>
    <t>Census Tract 104.04, Vanderburgh County, Indiana</t>
  </si>
  <si>
    <t>Census Tract 104.05, Vanderburgh County, Indiana</t>
  </si>
  <si>
    <t>Census Tract 104.06, Vanderburgh County, Indiana</t>
  </si>
  <si>
    <t>Census Tract 105.01, Vanderburgh County, Indiana</t>
  </si>
  <si>
    <t>Census Tract 105.02, Vanderburgh County, Indiana</t>
  </si>
  <si>
    <t>Census Tract 106, Vanderburgh County, Indiana</t>
  </si>
  <si>
    <t>Census Tract 107.01, Vanderburgh County, Indiana</t>
  </si>
  <si>
    <t>Census Tract 107.02, Vanderburgh County, Indiana</t>
  </si>
  <si>
    <t>Census Tract 108, Vanderburgh County, Indiana</t>
  </si>
  <si>
    <t>Census Tract 9801, Vanderburgh County, Indiana</t>
  </si>
  <si>
    <t>Census Tract 9802, Vanderburgh County, Indiana</t>
  </si>
  <si>
    <t>Census Tract 9803, Vanderburgh County, Indiana</t>
  </si>
  <si>
    <t>Census Tract 9805, Vanderburgh County, Indiana</t>
  </si>
  <si>
    <t>Census Tract 9806, Vanderburgh County, Indiana</t>
  </si>
  <si>
    <t>Census Tract 201, Vermillion County, Indiana</t>
  </si>
  <si>
    <t>Census Tract 202, Vermillion County, Indiana</t>
  </si>
  <si>
    <t>Census Tract 203, Vermillion County, Indiana</t>
  </si>
  <si>
    <t>Census Tract 204, Vermillion County, Indiana</t>
  </si>
  <si>
    <t>Census Tract 205, Vermillion County, Indiana</t>
  </si>
  <si>
    <t>Census Tract 3, Vigo County, Indiana</t>
  </si>
  <si>
    <t>Census Tract 4, Vigo County, Indiana</t>
  </si>
  <si>
    <t>Census Tract 5, Vigo County, Indiana</t>
  </si>
  <si>
    <t>Census Tract 6, Vigo County, Indiana</t>
  </si>
  <si>
    <t>Census Tract 7, Vigo County, Indiana</t>
  </si>
  <si>
    <t>Census Tract 9, Vigo County, Indiana</t>
  </si>
  <si>
    <t>Census Tract 10, Vigo County, Indiana</t>
  </si>
  <si>
    <t>Census Tract 11, Vigo County, Indiana</t>
  </si>
  <si>
    <t>Census Tract 12, Vigo County, Indiana</t>
  </si>
  <si>
    <t>Census Tract 13, Vigo County, Indiana</t>
  </si>
  <si>
    <t>Census Tract 14, Vigo County, Indiana</t>
  </si>
  <si>
    <t>Census Tract 15, Vigo County, Indiana</t>
  </si>
  <si>
    <t>Census Tract 16, Vigo County, Indiana</t>
  </si>
  <si>
    <t>Census Tract 17, Vigo County, Indiana</t>
  </si>
  <si>
    <t>Census Tract 18, Vigo County, Indiana</t>
  </si>
  <si>
    <t>Census Tract 19, Vigo County, Indiana</t>
  </si>
  <si>
    <t>Census Tract 101, Vigo County, Indiana</t>
  </si>
  <si>
    <t>Census Tract 102.01, Vigo County, Indiana</t>
  </si>
  <si>
    <t>Census Tract 102.02, Vigo County, Indiana</t>
  </si>
  <si>
    <t>Census Tract 103, Vigo County, Indiana</t>
  </si>
  <si>
    <t>Census Tract 104, Vigo County, Indiana</t>
  </si>
  <si>
    <t>Census Tract 105, Vigo County, Indiana</t>
  </si>
  <si>
    <t>Census Tract 106.01, Vigo County, Indiana</t>
  </si>
  <si>
    <t>Census Tract 106.02, Vigo County, Indiana</t>
  </si>
  <si>
    <t>Census Tract 107.02, Vigo County, Indiana</t>
  </si>
  <si>
    <t>Census Tract 107.03, Vigo County, Indiana</t>
  </si>
  <si>
    <t>Census Tract 107.04, Vigo County, Indiana</t>
  </si>
  <si>
    <t>Census Tract 110, Vigo County, Indiana</t>
  </si>
  <si>
    <t>Census Tract 111.01, Vigo County, Indiana</t>
  </si>
  <si>
    <t>Census Tract 111.02, Vigo County, Indiana</t>
  </si>
  <si>
    <t>Census Tract 112.01, Vigo County, Indiana</t>
  </si>
  <si>
    <t>Census Tract 112.02, Vigo County, Indiana</t>
  </si>
  <si>
    <t>Census Tract 1022, Wabash County, Indiana</t>
  </si>
  <si>
    <t>Census Tract 1023, Wabash County, Indiana</t>
  </si>
  <si>
    <t>Census Tract 1024, Wabash County, Indiana</t>
  </si>
  <si>
    <t>Census Tract 1025, Wabash County, Indiana</t>
  </si>
  <si>
    <t>Census Tract 1026, Wabash County, Indiana</t>
  </si>
  <si>
    <t>Census Tract 1027, Wabash County, Indiana</t>
  </si>
  <si>
    <t>Census Tract 1028, Wabash County, Indiana</t>
  </si>
  <si>
    <t>Census Tract 1029, Wabash County, Indiana</t>
  </si>
  <si>
    <t>Census Tract 9510.01, Warren County, Indiana</t>
  </si>
  <si>
    <t>Census Tract 9510.02, Warren County, Indiana</t>
  </si>
  <si>
    <t>Census Tract 9511, Warren County, Indiana</t>
  </si>
  <si>
    <t>Census Tract 301, Warrick County, Indiana</t>
  </si>
  <si>
    <t>Census Tract 302, Warrick County, Indiana</t>
  </si>
  <si>
    <t>Census Tract 303, Warrick County, Indiana</t>
  </si>
  <si>
    <t>Census Tract 304, Warrick County, Indiana</t>
  </si>
  <si>
    <t>Census Tract 305.01, Warrick County, Indiana</t>
  </si>
  <si>
    <t>Census Tract 305.02, Warrick County, Indiana</t>
  </si>
  <si>
    <t>Census Tract 306.01, Warrick County, Indiana</t>
  </si>
  <si>
    <t>Census Tract 306.02, Warrick County, Indiana</t>
  </si>
  <si>
    <t>Census Tract 307.03, Warrick County, Indiana</t>
  </si>
  <si>
    <t>Census Tract 307.04, Warrick County, Indiana</t>
  </si>
  <si>
    <t>Census Tract 307.06, Warrick County, Indiana</t>
  </si>
  <si>
    <t>Census Tract 307.07, Warrick County, Indiana</t>
  </si>
  <si>
    <t>Census Tract 307.08, Warrick County, Indiana</t>
  </si>
  <si>
    <t>Census Tract 307.09, Warrick County, Indiana</t>
  </si>
  <si>
    <t>Census Tract 308.01, Warrick County, Indiana</t>
  </si>
  <si>
    <t>Census Tract 308.02, Warrick County, Indiana</t>
  </si>
  <si>
    <t>Census Tract 9672, Washington County, Indiana</t>
  </si>
  <si>
    <t>Census Tract 9673, Washington County, Indiana</t>
  </si>
  <si>
    <t>Census Tract 9674, Washington County, Indiana</t>
  </si>
  <si>
    <t>Census Tract 9675, Washington County, Indiana</t>
  </si>
  <si>
    <t>Census Tract 9676, Washington County, Indiana</t>
  </si>
  <si>
    <t>Census Tract 9677.01, Washington County, Indiana</t>
  </si>
  <si>
    <t>Census Tract 9677.02, Washington County, Indiana</t>
  </si>
  <si>
    <t>Census Tract 2, Wayne County, Indiana</t>
  </si>
  <si>
    <t>Census Tract 4, Wayne County, Indiana</t>
  </si>
  <si>
    <t>Census Tract 5, Wayne County, Indiana</t>
  </si>
  <si>
    <t>Census Tract 6, Wayne County, Indiana</t>
  </si>
  <si>
    <t>Census Tract 7, Wayne County, Indiana</t>
  </si>
  <si>
    <t>Census Tract 8, Wayne County, Indiana</t>
  </si>
  <si>
    <t>Census Tract 9, Wayne County, Indiana</t>
  </si>
  <si>
    <t>Census Tract 10, Wayne County, Indiana</t>
  </si>
  <si>
    <t>Census Tract 11.01, Wayne County, Indiana</t>
  </si>
  <si>
    <t>Census Tract 11.02, Wayne County, Indiana</t>
  </si>
  <si>
    <t>Census Tract 101, Wayne County, Indiana</t>
  </si>
  <si>
    <t>Census Tract 102, Wayne County, Indiana</t>
  </si>
  <si>
    <t>Census Tract 103, Wayne County, Indiana</t>
  </si>
  <si>
    <t>Census Tract 104, Wayne County, Indiana</t>
  </si>
  <si>
    <t>Census Tract 105, Wayne County, Indiana</t>
  </si>
  <si>
    <t>Census Tract 106, Wayne County, Indiana</t>
  </si>
  <si>
    <t>Census Tract 107, Wayne County, Indiana</t>
  </si>
  <si>
    <t>Census Tract 108, Wayne County, Indiana</t>
  </si>
  <si>
    <t>Census Tract 401, Wells County, Indiana</t>
  </si>
  <si>
    <t>Census Tract 402, Wells County, Indiana</t>
  </si>
  <si>
    <t>Census Tract 403, Wells County, Indiana</t>
  </si>
  <si>
    <t>Census Tract 404, Wells County, Indiana</t>
  </si>
  <si>
    <t>Census Tract 405, Wells County, Indiana</t>
  </si>
  <si>
    <t>Census Tract 406, Wells County, Indiana</t>
  </si>
  <si>
    <t>Census Tract 407, Wells County, Indiana</t>
  </si>
  <si>
    <t>Census Tract 9581, White County, Indiana</t>
  </si>
  <si>
    <t>Census Tract 9582, White County, Indiana</t>
  </si>
  <si>
    <t>Census Tract 9583, White County, Indiana</t>
  </si>
  <si>
    <t>Census Tract 9584, White County, Indiana</t>
  </si>
  <si>
    <t>Census Tract 9585.01, White County, Indiana</t>
  </si>
  <si>
    <t>Census Tract 9585.02, White County, Indiana</t>
  </si>
  <si>
    <t>Census Tract 9586, White County, Indiana</t>
  </si>
  <si>
    <t>Census Tract 9587, White County, Indiana</t>
  </si>
  <si>
    <t>Census Tract 9588, White County, Indiana</t>
  </si>
  <si>
    <t>Census Tract 501, Whitley County, Indiana</t>
  </si>
  <si>
    <t>Census Tract 502, Whitley County, Indiana</t>
  </si>
  <si>
    <t>Census Tract 503, Whitley County, Indiana</t>
  </si>
  <si>
    <t>Census Tract 504.01, Whitley County, Indiana</t>
  </si>
  <si>
    <t>Census Tract 504.02, Whitley County, Indiana</t>
  </si>
  <si>
    <t>Census Tract 505, Whitley County, Indiana</t>
  </si>
  <si>
    <t>Census Tract 506, Whitley County, Indiana</t>
  </si>
  <si>
    <t>Census Tract 507, Whitley County, Indiana</t>
  </si>
  <si>
    <r>
      <t xml:space="preserve">Factor 7 (Bonus): Earmarks and External Contributions
</t>
    </r>
    <r>
      <rPr>
        <sz val="14"/>
        <color theme="1"/>
        <rFont val="Calibri"/>
        <family val="2"/>
        <scheme val="minor"/>
      </rPr>
      <t>Select the level of external funding contributed in the shaded box below.</t>
    </r>
  </si>
  <si>
    <t>Factor 7 awards bonus points to projects that receive earmarks or external contrubutions for funding. The purpose of this bonus factor is to increase the chances of a project funding if an external source has commited funds for it. To receive any points for Factor 7, documentation of the commitment of funds must be subitted along with other project documents. See the scoring key below for how points will be awarded based on the level of external contribution. 
NOTE: The overall project score cannot exceed 100, no matter how may points from Factor 7 are awarded.</t>
  </si>
  <si>
    <t>Earmarks and External Contributions</t>
  </si>
  <si>
    <t>Bonus Points Awarded</t>
  </si>
  <si>
    <t>No Earmarks of External Contributions</t>
  </si>
  <si>
    <t>≤20% of Funding Contributed by External Source</t>
  </si>
  <si>
    <t>≤40% of Funding Contributed by External Source</t>
  </si>
  <si>
    <t xml:space="preserve">≤60% of Funding Contributed by External Source </t>
  </si>
  <si>
    <t xml:space="preserve">≤80% of Funding Contributed by External Source </t>
  </si>
  <si>
    <t>&gt;80%  of Funding Contributed by External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</si>
</sst>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quot;$&quot;#,##0.00"/>
    <numFmt numFmtId="166" formatCode="0000000"/>
    <numFmt numFmtId="167" formatCode="0.0"/>
    <numFmt numFmtId="168" formatCode="0.000"/>
  </numFmts>
  <fonts count="40">
    <font>
      <sz val="11"/>
      <color theme="1"/>
      <name val="Calibri"/>
      <family val="2"/>
      <scheme val="minor"/>
    </font>
    <font>
      <u/>
      <sz val="11"/>
      <color theme="10"/>
      <name val="Calibri"/>
      <family val="2"/>
      <scheme val="minor"/>
    </font>
    <font>
      <b/>
      <sz val="18"/>
      <color theme="1"/>
      <name val="Calibri"/>
      <family val="2"/>
      <scheme val="minor"/>
    </font>
    <font>
      <sz val="11"/>
      <color theme="1"/>
      <name val="Calibri"/>
      <family val="2"/>
      <scheme val="minor"/>
    </font>
    <font>
      <sz val="11"/>
      <color theme="0"/>
      <name val="Calibri"/>
      <family val="2"/>
      <scheme val="minor"/>
    </font>
    <font>
      <u/>
      <sz val="18"/>
      <name val="Calibri"/>
      <family val="2"/>
      <scheme val="minor"/>
    </font>
    <font>
      <sz val="16"/>
      <name val="Calibri"/>
      <family val="2"/>
      <scheme val="minor"/>
    </font>
    <font>
      <sz val="16"/>
      <color theme="0" tint="-0.499984740745262"/>
      <name val="Calibri"/>
      <family val="2"/>
      <scheme val="minor"/>
    </font>
    <font>
      <b/>
      <sz val="50"/>
      <color theme="1"/>
      <name val="Calibri"/>
      <family val="2"/>
      <scheme val="minor"/>
    </font>
    <font>
      <sz val="13"/>
      <color theme="1"/>
      <name val="Calibri"/>
      <family val="2"/>
      <scheme val="minor"/>
    </font>
    <font>
      <sz val="10"/>
      <color theme="1"/>
      <name val="Calibri"/>
      <family val="2"/>
      <scheme val="minor"/>
    </font>
    <font>
      <b/>
      <u/>
      <sz val="14"/>
      <name val="Arial"/>
      <family val="2"/>
    </font>
    <font>
      <sz val="11"/>
      <color rgb="FFFF0000"/>
      <name val="Calibri"/>
      <family val="2"/>
      <scheme val="minor"/>
    </font>
    <font>
      <sz val="9"/>
      <color rgb="FFFF0000"/>
      <name val="Calibri"/>
      <family val="2"/>
      <scheme val="minor"/>
    </font>
    <font>
      <sz val="11"/>
      <name val="Calibri"/>
      <family val="2"/>
      <scheme val="minor"/>
    </font>
    <font>
      <u/>
      <sz val="11"/>
      <color theme="1"/>
      <name val="Calibri"/>
      <family val="2"/>
      <scheme val="minor"/>
    </font>
    <font>
      <b/>
      <sz val="13"/>
      <color theme="1"/>
      <name val="Calibri"/>
      <family val="2"/>
      <scheme val="minor"/>
    </font>
    <font>
      <b/>
      <u/>
      <sz val="11"/>
      <color theme="1"/>
      <name val="Calibri"/>
      <family val="2"/>
      <scheme val="minor"/>
    </font>
    <font>
      <sz val="9"/>
      <color theme="1"/>
      <name val="Calibri"/>
      <family val="2"/>
      <scheme val="minor"/>
    </font>
    <font>
      <sz val="13"/>
      <name val="Calibri"/>
      <family val="2"/>
      <scheme val="minor"/>
    </font>
    <font>
      <b/>
      <u/>
      <sz val="14"/>
      <name val="Calibri"/>
      <family val="2"/>
      <scheme val="minor"/>
    </font>
    <font>
      <sz val="14"/>
      <color theme="1"/>
      <name val="Calibri"/>
      <family val="2"/>
      <scheme val="minor"/>
    </font>
    <font>
      <b/>
      <u/>
      <sz val="14"/>
      <color theme="1"/>
      <name val="Calibri"/>
      <family val="2"/>
      <scheme val="minor"/>
    </font>
    <font>
      <b/>
      <u/>
      <sz val="20"/>
      <color theme="1"/>
      <name val="Calibri"/>
      <family val="2"/>
      <scheme val="minor"/>
    </font>
    <font>
      <u/>
      <sz val="14"/>
      <color theme="10"/>
      <name val="Calibri"/>
      <family val="2"/>
      <scheme val="minor"/>
    </font>
    <font>
      <u/>
      <sz val="16"/>
      <color theme="10"/>
      <name val="Calibri"/>
      <family val="2"/>
      <scheme val="minor"/>
    </font>
    <font>
      <sz val="14"/>
      <name val="Calibri"/>
      <family val="2"/>
      <scheme val="minor"/>
    </font>
    <font>
      <sz val="14"/>
      <color theme="3" tint="0.39997558519241921"/>
      <name val="Calibri"/>
      <family val="2"/>
      <scheme val="minor"/>
    </font>
    <font>
      <b/>
      <u/>
      <sz val="18"/>
      <name val="Calibri"/>
      <family val="2"/>
      <scheme val="minor"/>
    </font>
    <font>
      <i/>
      <sz val="10"/>
      <name val="Calibri"/>
      <family val="2"/>
      <scheme val="minor"/>
    </font>
    <font>
      <b/>
      <sz val="18"/>
      <name val="Calibri"/>
      <family val="2"/>
      <scheme val="minor"/>
    </font>
    <font>
      <b/>
      <sz val="16"/>
      <name val="Calibri"/>
      <family val="2"/>
      <scheme val="minor"/>
    </font>
    <font>
      <b/>
      <sz val="18"/>
      <color theme="0"/>
      <name val="Calibri"/>
      <family val="2"/>
      <scheme val="minor"/>
    </font>
    <font>
      <u/>
      <sz val="16"/>
      <color theme="1"/>
      <name val="Calibri"/>
      <family val="2"/>
      <scheme val="minor"/>
    </font>
    <font>
      <sz val="16"/>
      <color theme="1"/>
      <name val="Calibri"/>
      <family val="2"/>
      <scheme val="minor"/>
    </font>
    <font>
      <sz val="11"/>
      <color theme="1"/>
      <name val="Calibri"/>
      <family val="2"/>
    </font>
    <font>
      <b/>
      <sz val="11"/>
      <color theme="1"/>
      <name val="Calibri"/>
      <family val="2"/>
    </font>
    <font>
      <u/>
      <sz val="11"/>
      <color theme="10"/>
      <name val="Calibri"/>
      <family val="2"/>
    </font>
    <font>
      <sz val="11"/>
      <color rgb="FF000000"/>
      <name val="Calibri"/>
      <family val="2"/>
      <scheme val="minor"/>
    </font>
    <font>
      <sz val="11"/>
      <color rgb="FF000000"/>
      <name val="Aptos Narrow"/>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applyNumberForma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cellStyleXfs>
  <cellXfs count="407">
    <xf numFmtId="0" fontId="0" fillId="0" borderId="0" xfId="0"/>
    <xf numFmtId="0" fontId="3" fillId="0" borderId="0" xfId="2"/>
    <xf numFmtId="0" fontId="0" fillId="0" borderId="0" xfId="2" applyFont="1"/>
    <xf numFmtId="0" fontId="0" fillId="0" borderId="1" xfId="0" applyBorder="1"/>
    <xf numFmtId="164" fontId="0" fillId="0" borderId="0" xfId="0" applyNumberFormat="1"/>
    <xf numFmtId="0" fontId="0" fillId="0" borderId="0" xfId="2" applyFont="1" applyAlignment="1">
      <alignment horizontal="right" vertical="center"/>
    </xf>
    <xf numFmtId="164" fontId="3" fillId="0" borderId="0" xfId="2" applyNumberFormat="1" applyAlignment="1" applyProtection="1">
      <alignment horizontal="center" vertical="center"/>
      <protection locked="0"/>
    </xf>
    <xf numFmtId="0" fontId="0" fillId="0" borderId="0" xfId="0" applyAlignment="1">
      <alignment horizontal="center" vertical="center"/>
    </xf>
    <xf numFmtId="0" fontId="0" fillId="0" borderId="2" xfId="0" applyBorder="1"/>
    <xf numFmtId="0" fontId="0" fillId="0" borderId="18" xfId="0" applyBorder="1"/>
    <xf numFmtId="0" fontId="0" fillId="0" borderId="19" xfId="0" applyBorder="1"/>
    <xf numFmtId="0" fontId="0" fillId="0" borderId="38" xfId="0" applyBorder="1"/>
    <xf numFmtId="164" fontId="3" fillId="0" borderId="0" xfId="2" applyNumberFormat="1" applyAlignment="1">
      <alignment horizontal="center" vertical="center"/>
    </xf>
    <xf numFmtId="0" fontId="4" fillId="0" borderId="0" xfId="0" applyFont="1"/>
    <xf numFmtId="0" fontId="0" fillId="0" borderId="0" xfId="0" applyAlignment="1">
      <alignment vertical="top" wrapText="1"/>
    </xf>
    <xf numFmtId="0" fontId="6" fillId="0" borderId="0" xfId="0" applyFont="1" applyAlignment="1" applyProtection="1">
      <alignment vertical="top"/>
      <protection locked="0"/>
    </xf>
    <xf numFmtId="0" fontId="7" fillId="0" borderId="9" xfId="0" applyFont="1" applyBorder="1" applyAlignment="1">
      <alignment horizontal="left" vertical="top"/>
    </xf>
    <xf numFmtId="0" fontId="9" fillId="0" borderId="7" xfId="2" applyFont="1" applyBorder="1"/>
    <xf numFmtId="0" fontId="9" fillId="0" borderId="11" xfId="2" applyFont="1" applyBorder="1"/>
    <xf numFmtId="165" fontId="9" fillId="0" borderId="7" xfId="2" applyNumberFormat="1" applyFont="1" applyBorder="1" applyAlignment="1">
      <alignment horizontal="center" vertical="center"/>
    </xf>
    <xf numFmtId="0" fontId="9" fillId="0" borderId="2" xfId="2" applyFont="1" applyBorder="1" applyAlignment="1">
      <alignment horizontal="right" vertical="center"/>
    </xf>
    <xf numFmtId="0" fontId="9" fillId="0" borderId="18" xfId="2" applyFont="1" applyBorder="1" applyAlignment="1">
      <alignment horizontal="right" vertical="center"/>
    </xf>
    <xf numFmtId="0" fontId="7" fillId="0" borderId="0" xfId="0" applyFont="1" applyAlignment="1">
      <alignment horizontal="left" vertical="top"/>
    </xf>
    <xf numFmtId="0" fontId="3" fillId="0" borderId="0" xfId="2" applyAlignment="1" applyProtection="1">
      <alignment horizontal="center" vertical="center"/>
      <protection locked="0"/>
    </xf>
    <xf numFmtId="0" fontId="9" fillId="0" borderId="0" xfId="2" applyFont="1" applyAlignment="1" applyProtection="1">
      <alignment horizontal="center" vertical="center"/>
      <protection locked="0"/>
    </xf>
    <xf numFmtId="164" fontId="9" fillId="0" borderId="0" xfId="2" applyNumberFormat="1" applyFont="1" applyAlignment="1" applyProtection="1">
      <alignment horizontal="center" vertical="center"/>
      <protection locked="0"/>
    </xf>
    <xf numFmtId="0" fontId="11" fillId="0" borderId="0" xfId="0" applyFont="1" applyAlignment="1">
      <alignment horizontal="center" vertical="center"/>
    </xf>
    <xf numFmtId="0" fontId="12" fillId="0" borderId="0" xfId="2" applyFont="1"/>
    <xf numFmtId="0" fontId="12" fillId="0" borderId="0" xfId="0" applyFont="1"/>
    <xf numFmtId="0" fontId="1" fillId="0" borderId="0" xfId="1"/>
    <xf numFmtId="0" fontId="14" fillId="0" borderId="0" xfId="0" applyFont="1"/>
    <xf numFmtId="44" fontId="0" fillId="0" borderId="0" xfId="3" applyFont="1" applyBorder="1"/>
    <xf numFmtId="0" fontId="16" fillId="0" borderId="36" xfId="2" applyFont="1" applyBorder="1" applyAlignment="1">
      <alignment horizontal="right" vertical="center"/>
    </xf>
    <xf numFmtId="0" fontId="0" fillId="0" borderId="9" xfId="0" applyBorder="1"/>
    <xf numFmtId="0" fontId="0" fillId="0" borderId="10" xfId="0" applyBorder="1"/>
    <xf numFmtId="0" fontId="0" fillId="0" borderId="12" xfId="0" applyBorder="1"/>
    <xf numFmtId="0" fontId="0" fillId="0" borderId="13" xfId="0" applyBorder="1"/>
    <xf numFmtId="0" fontId="0" fillId="0" borderId="14" xfId="0" applyBorder="1"/>
    <xf numFmtId="0" fontId="17" fillId="0" borderId="8" xfId="0" applyFont="1" applyBorder="1"/>
    <xf numFmtId="44" fontId="0" fillId="0" borderId="1" xfId="3" applyFont="1" applyBorder="1" applyAlignment="1">
      <alignment vertical="center"/>
    </xf>
    <xf numFmtId="0" fontId="0" fillId="0" borderId="3" xfId="0" applyBorder="1"/>
    <xf numFmtId="44" fontId="0" fillId="0" borderId="3" xfId="3" applyFont="1" applyBorder="1"/>
    <xf numFmtId="44" fontId="0" fillId="0" borderId="19" xfId="3" applyFont="1" applyBorder="1" applyAlignment="1">
      <alignment vertical="center"/>
    </xf>
    <xf numFmtId="44" fontId="0" fillId="0" borderId="20" xfId="3" applyFont="1" applyBorder="1"/>
    <xf numFmtId="0" fontId="0" fillId="0" borderId="50" xfId="0" applyBorder="1"/>
    <xf numFmtId="0" fontId="15" fillId="0" borderId="42" xfId="0" applyFont="1" applyBorder="1"/>
    <xf numFmtId="0" fontId="0" fillId="0" borderId="42" xfId="0" applyBorder="1"/>
    <xf numFmtId="0" fontId="0" fillId="0" borderId="39" xfId="0" applyBorder="1"/>
    <xf numFmtId="0" fontId="0" fillId="0" borderId="51" xfId="0" applyBorder="1"/>
    <xf numFmtId="0" fontId="0" fillId="0" borderId="43" xfId="0" applyBorder="1"/>
    <xf numFmtId="44" fontId="0" fillId="0" borderId="43" xfId="3" applyFont="1" applyBorder="1"/>
    <xf numFmtId="44" fontId="0" fillId="0" borderId="52" xfId="3" applyFont="1" applyBorder="1"/>
    <xf numFmtId="44" fontId="0" fillId="0" borderId="0" xfId="0" applyNumberFormat="1"/>
    <xf numFmtId="0" fontId="0" fillId="0" borderId="9" xfId="0" applyBorder="1" applyAlignment="1">
      <alignment horizontal="center" vertical="center"/>
    </xf>
    <xf numFmtId="0" fontId="9" fillId="0" borderId="0" xfId="2" applyFont="1"/>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164" fontId="9" fillId="0" borderId="13" xfId="2" applyNumberFormat="1" applyFont="1" applyBorder="1" applyAlignment="1">
      <alignment horizontal="center" vertical="center"/>
    </xf>
    <xf numFmtId="0" fontId="9" fillId="0" borderId="14" xfId="2" applyFont="1" applyBorder="1" applyAlignment="1" applyProtection="1">
      <alignment horizontal="left" vertical="center"/>
      <protection locked="0"/>
    </xf>
    <xf numFmtId="0" fontId="0" fillId="0" borderId="0" xfId="0" quotePrefix="1"/>
    <xf numFmtId="0" fontId="9" fillId="0" borderId="31" xfId="2" applyFont="1" applyBorder="1" applyAlignment="1">
      <alignment horizontal="right" vertical="center"/>
    </xf>
    <xf numFmtId="0" fontId="9" fillId="0" borderId="32" xfId="2" applyFont="1" applyBorder="1" applyAlignment="1">
      <alignment horizontal="right" vertical="center"/>
    </xf>
    <xf numFmtId="0" fontId="16" fillId="0" borderId="48" xfId="2" applyFont="1" applyBorder="1" applyAlignment="1">
      <alignment horizontal="right" vertical="center"/>
    </xf>
    <xf numFmtId="0" fontId="9" fillId="5" borderId="3" xfId="2" applyFont="1" applyFill="1" applyBorder="1" applyAlignment="1" applyProtection="1">
      <alignment horizontal="center" vertical="center"/>
      <protection locked="0"/>
    </xf>
    <xf numFmtId="0" fontId="9" fillId="5" borderId="3" xfId="2" applyFont="1" applyFill="1" applyBorder="1" applyAlignment="1">
      <alignment horizontal="center" vertical="center"/>
    </xf>
    <xf numFmtId="0" fontId="9" fillId="5" borderId="20" xfId="2" applyFont="1" applyFill="1" applyBorder="1" applyAlignment="1" applyProtection="1">
      <alignment horizontal="center" vertical="center"/>
      <protection locked="0"/>
    </xf>
    <xf numFmtId="0" fontId="9" fillId="0" borderId="1" xfId="2" applyFont="1" applyBorder="1" applyAlignment="1">
      <alignment horizontal="right" vertical="center"/>
    </xf>
    <xf numFmtId="0" fontId="0" fillId="0" borderId="8" xfId="0" applyBorder="1"/>
    <xf numFmtId="0" fontId="0" fillId="4" borderId="14" xfId="0" applyFill="1" applyBorder="1"/>
    <xf numFmtId="0" fontId="0" fillId="0" borderId="7" xfId="0" applyBorder="1"/>
    <xf numFmtId="44" fontId="0" fillId="0" borderId="0" xfId="3" applyFont="1" applyFill="1" applyBorder="1"/>
    <xf numFmtId="44" fontId="0" fillId="0" borderId="13" xfId="0" applyNumberFormat="1" applyBorder="1"/>
    <xf numFmtId="0" fontId="0" fillId="0" borderId="11" xfId="0" applyBorder="1"/>
    <xf numFmtId="44" fontId="0" fillId="0" borderId="11" xfId="3" applyFont="1" applyFill="1" applyBorder="1"/>
    <xf numFmtId="44" fontId="0" fillId="0" borderId="11" xfId="0" applyNumberFormat="1" applyBorder="1"/>
    <xf numFmtId="0" fontId="9" fillId="0" borderId="53" xfId="2" applyFont="1" applyBorder="1" applyAlignment="1">
      <alignment horizontal="right" vertical="center"/>
    </xf>
    <xf numFmtId="0" fontId="9" fillId="0" borderId="15" xfId="2" applyFont="1" applyBorder="1" applyAlignment="1">
      <alignment horizontal="right" vertical="center"/>
    </xf>
    <xf numFmtId="0" fontId="9" fillId="0" borderId="19" xfId="2" applyFont="1" applyBorder="1" applyAlignment="1">
      <alignment horizontal="right" vertical="center"/>
    </xf>
    <xf numFmtId="0" fontId="9" fillId="0" borderId="54" xfId="2" applyFont="1" applyBorder="1" applyAlignment="1">
      <alignment horizontal="right" vertical="center"/>
    </xf>
    <xf numFmtId="0" fontId="9" fillId="0" borderId="35" xfId="2" applyFont="1" applyBorder="1" applyAlignment="1">
      <alignment horizontal="center" vertical="center"/>
    </xf>
    <xf numFmtId="0" fontId="9" fillId="0" borderId="38" xfId="2" applyFont="1" applyBorder="1" applyAlignment="1">
      <alignment horizontal="right" vertical="center"/>
    </xf>
    <xf numFmtId="0" fontId="9" fillId="0" borderId="16" xfId="2" applyFont="1" applyBorder="1" applyAlignment="1">
      <alignment horizontal="right" vertical="center"/>
    </xf>
    <xf numFmtId="0" fontId="9" fillId="5" borderId="17" xfId="2" applyFont="1" applyFill="1" applyBorder="1" applyAlignment="1" applyProtection="1">
      <alignment horizontal="center" vertical="center"/>
      <protection locked="0"/>
    </xf>
    <xf numFmtId="0" fontId="18" fillId="0" borderId="18" xfId="2" applyFont="1" applyBorder="1" applyAlignment="1">
      <alignment horizontal="right" vertical="center"/>
    </xf>
    <xf numFmtId="0" fontId="9" fillId="0" borderId="36" xfId="2" applyFont="1" applyBorder="1" applyAlignment="1">
      <alignment horizontal="right" vertical="center"/>
    </xf>
    <xf numFmtId="0" fontId="19" fillId="0" borderId="15" xfId="0" applyFont="1" applyBorder="1" applyAlignment="1">
      <alignment horizontal="right" vertical="center"/>
    </xf>
    <xf numFmtId="0" fontId="11" fillId="0" borderId="16" xfId="0" applyFont="1" applyBorder="1" applyAlignment="1">
      <alignment horizontal="center" vertical="center"/>
    </xf>
    <xf numFmtId="0" fontId="19" fillId="5" borderId="17" xfId="0" applyFont="1" applyFill="1" applyBorder="1" applyAlignment="1">
      <alignment horizontal="center" vertical="center"/>
    </xf>
    <xf numFmtId="0" fontId="9" fillId="5" borderId="37" xfId="2" applyFont="1" applyFill="1" applyBorder="1" applyAlignment="1" applyProtection="1">
      <alignment horizontal="center" vertical="center"/>
      <protection locked="0"/>
    </xf>
    <xf numFmtId="0" fontId="9" fillId="5" borderId="20" xfId="2" applyFont="1" applyFill="1" applyBorder="1" applyAlignment="1">
      <alignment horizontal="center" vertical="center"/>
    </xf>
    <xf numFmtId="44" fontId="0" fillId="0" borderId="14" xfId="0" applyNumberFormat="1" applyBorder="1"/>
    <xf numFmtId="2" fontId="9" fillId="0" borderId="12" xfId="2" applyNumberFormat="1" applyFont="1" applyBorder="1" applyAlignment="1" applyProtection="1">
      <alignment horizontal="right" vertical="center"/>
      <protection locked="0"/>
    </xf>
    <xf numFmtId="0" fontId="9" fillId="6" borderId="3" xfId="2" applyFont="1" applyFill="1" applyBorder="1" applyAlignment="1" applyProtection="1">
      <alignment horizontal="center" vertical="center"/>
      <protection locked="0"/>
    </xf>
    <xf numFmtId="0" fontId="10" fillId="6" borderId="0" xfId="2" applyFont="1" applyFill="1" applyAlignment="1">
      <alignment horizontal="right" vertical="center"/>
    </xf>
    <xf numFmtId="0" fontId="9" fillId="6" borderId="0" xfId="2" applyFont="1" applyFill="1" applyAlignment="1" applyProtection="1">
      <alignment horizontal="center" vertical="center"/>
      <protection locked="0"/>
    </xf>
    <xf numFmtId="164" fontId="9" fillId="6" borderId="0" xfId="2" applyNumberFormat="1" applyFont="1" applyFill="1" applyAlignment="1" applyProtection="1">
      <alignment horizontal="center" vertical="center"/>
      <protection locked="0"/>
    </xf>
    <xf numFmtId="0" fontId="9" fillId="6" borderId="0" xfId="2" applyFont="1" applyFill="1" applyAlignment="1">
      <alignment horizontal="right" vertical="center"/>
    </xf>
    <xf numFmtId="164" fontId="9" fillId="6" borderId="0" xfId="2" applyNumberFormat="1" applyFont="1" applyFill="1" applyAlignment="1">
      <alignment horizontal="center" vertical="center"/>
    </xf>
    <xf numFmtId="164" fontId="9" fillId="0" borderId="7" xfId="2" applyNumberFormat="1" applyFont="1" applyBorder="1" applyAlignment="1">
      <alignment vertical="center"/>
    </xf>
    <xf numFmtId="164" fontId="9" fillId="0" borderId="0" xfId="2" applyNumberFormat="1" applyFont="1" applyAlignment="1">
      <alignment vertical="center"/>
    </xf>
    <xf numFmtId="164" fontId="9" fillId="0" borderId="11" xfId="2" applyNumberFormat="1" applyFont="1" applyBorder="1" applyAlignment="1">
      <alignment vertical="center"/>
    </xf>
    <xf numFmtId="0" fontId="9" fillId="0" borderId="2" xfId="0" applyFont="1" applyBorder="1" applyAlignment="1">
      <alignment horizontal="right"/>
    </xf>
    <xf numFmtId="165" fontId="9" fillId="0" borderId="3" xfId="3" applyNumberFormat="1" applyFont="1" applyBorder="1" applyAlignment="1">
      <alignment horizontal="center"/>
    </xf>
    <xf numFmtId="0" fontId="9" fillId="5" borderId="3" xfId="0" applyFont="1" applyFill="1" applyBorder="1" applyAlignment="1">
      <alignment horizontal="center"/>
    </xf>
    <xf numFmtId="10" fontId="9" fillId="5" borderId="3" xfId="4" applyNumberFormat="1" applyFont="1" applyFill="1" applyBorder="1" applyAlignment="1" applyProtection="1">
      <alignment horizontal="center" vertical="center"/>
      <protection locked="0"/>
    </xf>
    <xf numFmtId="0" fontId="9" fillId="6" borderId="2" xfId="2" applyFont="1" applyFill="1" applyBorder="1" applyAlignment="1">
      <alignment horizontal="right" vertical="center"/>
    </xf>
    <xf numFmtId="0" fontId="20" fillId="0" borderId="0" xfId="0" applyFont="1"/>
    <xf numFmtId="0" fontId="19" fillId="0" borderId="0" xfId="0" applyFont="1"/>
    <xf numFmtId="0" fontId="21" fillId="2" borderId="1" xfId="0" applyFont="1" applyFill="1" applyBorder="1" applyAlignment="1">
      <alignment horizontal="center" vertical="center"/>
    </xf>
    <xf numFmtId="0" fontId="9" fillId="0" borderId="2" xfId="0" applyFont="1" applyBorder="1" applyAlignment="1">
      <alignment horizontal="right" wrapText="1"/>
    </xf>
    <xf numFmtId="165" fontId="9" fillId="5" borderId="3" xfId="3" applyNumberFormat="1"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19" fillId="5" borderId="18" xfId="0" applyFont="1" applyFill="1" applyBorder="1" applyAlignment="1">
      <alignment horizontal="center" vertical="center"/>
    </xf>
    <xf numFmtId="2" fontId="19" fillId="0" borderId="20" xfId="0" applyNumberFormat="1" applyFont="1" applyBorder="1" applyAlignment="1">
      <alignment horizontal="center" vertical="center"/>
    </xf>
    <xf numFmtId="0" fontId="20" fillId="2" borderId="15" xfId="0" applyFont="1" applyFill="1" applyBorder="1" applyAlignment="1">
      <alignment horizontal="center" vertical="center"/>
    </xf>
    <xf numFmtId="0" fontId="20" fillId="2" borderId="17" xfId="0" applyFont="1" applyFill="1" applyBorder="1" applyAlignment="1">
      <alignment horizontal="center" vertical="center"/>
    </xf>
    <xf numFmtId="0" fontId="0" fillId="0" borderId="0" xfId="0" applyAlignment="1">
      <alignment vertical="center" wrapText="1"/>
    </xf>
    <xf numFmtId="0" fontId="20" fillId="2" borderId="15" xfId="0" applyFont="1" applyFill="1" applyBorder="1"/>
    <xf numFmtId="0" fontId="20" fillId="2" borderId="17" xfId="0" applyFont="1" applyFill="1" applyBorder="1"/>
    <xf numFmtId="0" fontId="22" fillId="2" borderId="15" xfId="0" applyFont="1" applyFill="1" applyBorder="1" applyAlignment="1">
      <alignment horizontal="center"/>
    </xf>
    <xf numFmtId="0" fontId="22" fillId="2" borderId="17" xfId="0" applyFont="1" applyFill="1" applyBorder="1" applyAlignment="1">
      <alignment horizontal="center"/>
    </xf>
    <xf numFmtId="0" fontId="21" fillId="5" borderId="18" xfId="0" applyFont="1" applyFill="1" applyBorder="1" applyAlignment="1">
      <alignment horizontal="center"/>
    </xf>
    <xf numFmtId="0" fontId="21" fillId="0" borderId="20" xfId="0" applyFont="1" applyBorder="1" applyAlignment="1">
      <alignment horizontal="center" vertical="center"/>
    </xf>
    <xf numFmtId="0" fontId="22" fillId="2" borderId="15" xfId="0" applyFont="1" applyFill="1" applyBorder="1" applyAlignment="1">
      <alignment horizontal="center" vertical="center"/>
    </xf>
    <xf numFmtId="0" fontId="22" fillId="2" borderId="17" xfId="0" applyFont="1" applyFill="1" applyBorder="1"/>
    <xf numFmtId="0" fontId="21" fillId="5" borderId="18" xfId="0" applyFont="1" applyFill="1" applyBorder="1" applyAlignment="1">
      <alignment horizontal="center" vertical="center"/>
    </xf>
    <xf numFmtId="0" fontId="0" fillId="0" borderId="0" xfId="0" applyAlignment="1">
      <alignment vertical="top"/>
    </xf>
    <xf numFmtId="0" fontId="14" fillId="0" borderId="0" xfId="0" applyFont="1" applyAlignment="1">
      <alignment vertical="top" wrapText="1"/>
    </xf>
    <xf numFmtId="0" fontId="21" fillId="0" borderId="2" xfId="0" applyFont="1" applyBorder="1" applyAlignment="1">
      <alignment horizontal="center" vertical="center"/>
    </xf>
    <xf numFmtId="0" fontId="21" fillId="5" borderId="3" xfId="0" applyFont="1" applyFill="1" applyBorder="1" applyAlignment="1">
      <alignment horizontal="center" vertical="center"/>
    </xf>
    <xf numFmtId="0" fontId="22" fillId="0" borderId="0" xfId="0" applyFont="1"/>
    <xf numFmtId="0" fontId="0" fillId="0" borderId="0" xfId="0" applyAlignment="1" applyProtection="1">
      <alignment horizontal="left"/>
      <protection locked="0"/>
    </xf>
    <xf numFmtId="0" fontId="0" fillId="0" borderId="0" xfId="0" applyProtection="1">
      <protection locked="0"/>
    </xf>
    <xf numFmtId="2" fontId="0" fillId="0" borderId="0" xfId="0" applyNumberFormat="1"/>
    <xf numFmtId="0" fontId="6" fillId="0" borderId="15" xfId="0" applyFont="1" applyBorder="1" applyAlignment="1">
      <alignment horizontal="right" vertical="center"/>
    </xf>
    <xf numFmtId="0" fontId="26" fillId="0" borderId="33" xfId="0" applyFont="1" applyBorder="1" applyAlignment="1" applyProtection="1">
      <alignment horizontal="center" vertical="center"/>
      <protection locked="0"/>
    </xf>
    <xf numFmtId="14" fontId="6" fillId="0" borderId="17" xfId="0" applyNumberFormat="1" applyFont="1" applyBorder="1" applyAlignment="1">
      <alignment horizontal="center"/>
    </xf>
    <xf numFmtId="0" fontId="0" fillId="0" borderId="0" xfId="0" applyAlignment="1" applyProtection="1">
      <alignment horizontal="left" vertical="center"/>
      <protection locked="0"/>
    </xf>
    <xf numFmtId="0" fontId="6" fillId="0" borderId="2" xfId="0" applyFont="1" applyBorder="1" applyAlignment="1">
      <alignment horizontal="right" vertical="center"/>
    </xf>
    <xf numFmtId="0" fontId="26" fillId="0" borderId="31" xfId="0" applyFont="1" applyBorder="1" applyAlignment="1" applyProtection="1">
      <alignment horizontal="center" vertical="center"/>
      <protection locked="0"/>
    </xf>
    <xf numFmtId="164" fontId="6" fillId="5" borderId="3" xfId="0" applyNumberFormat="1" applyFont="1" applyFill="1" applyBorder="1" applyAlignment="1" applyProtection="1">
      <alignment horizontal="center"/>
      <protection locked="0"/>
    </xf>
    <xf numFmtId="165" fontId="0" fillId="0" borderId="0" xfId="0" applyNumberFormat="1" applyAlignment="1" applyProtection="1">
      <alignment horizontal="left" vertical="center"/>
      <protection locked="0"/>
    </xf>
    <xf numFmtId="0" fontId="6" fillId="5" borderId="3" xfId="0" applyFont="1" applyFill="1" applyBorder="1" applyAlignment="1" applyProtection="1">
      <alignment horizontal="center"/>
      <protection locked="0"/>
    </xf>
    <xf numFmtId="0" fontId="6" fillId="0" borderId="3" xfId="0" applyFont="1" applyBorder="1" applyAlignment="1" applyProtection="1">
      <alignment wrapText="1"/>
      <protection locked="0"/>
    </xf>
    <xf numFmtId="0" fontId="26" fillId="0" borderId="0" xfId="0" applyFont="1" applyAlignment="1" applyProtection="1">
      <alignment horizontal="left" vertical="center" wrapText="1"/>
      <protection locked="0"/>
    </xf>
    <xf numFmtId="0" fontId="6" fillId="0" borderId="35" xfId="0" applyFont="1" applyBorder="1" applyAlignment="1" applyProtection="1">
      <alignment wrapText="1"/>
      <protection locked="0"/>
    </xf>
    <xf numFmtId="0" fontId="27" fillId="0" borderId="2" xfId="1" applyFont="1" applyFill="1" applyBorder="1" applyAlignment="1" applyProtection="1">
      <alignment horizontal="right" vertical="center" wrapText="1"/>
    </xf>
    <xf numFmtId="0" fontId="26" fillId="0" borderId="31" xfId="0"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26" fillId="0" borderId="32" xfId="0" applyFont="1" applyBorder="1" applyAlignment="1" applyProtection="1">
      <alignment horizontal="center" vertical="center" wrapText="1"/>
      <protection locked="0"/>
    </xf>
    <xf numFmtId="0" fontId="26" fillId="0" borderId="0" xfId="0" applyFont="1" applyAlignment="1">
      <alignment horizontal="left"/>
    </xf>
    <xf numFmtId="0" fontId="26" fillId="0" borderId="0" xfId="0" applyFont="1"/>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2" fontId="6" fillId="0" borderId="1" xfId="0" applyNumberFormat="1" applyFont="1" applyBorder="1" applyAlignment="1">
      <alignment horizontal="center" vertical="center" wrapText="1"/>
    </xf>
    <xf numFmtId="0" fontId="30" fillId="0" borderId="0" xfId="0" applyFont="1" applyAlignment="1">
      <alignment vertical="center" wrapText="1"/>
    </xf>
    <xf numFmtId="0" fontId="28" fillId="2" borderId="25" xfId="0" applyFont="1" applyFill="1" applyBorder="1" applyAlignment="1">
      <alignment horizontal="center" vertical="center"/>
    </xf>
    <xf numFmtId="0" fontId="30" fillId="0" borderId="0" xfId="0" applyFont="1" applyAlignment="1">
      <alignment horizontal="right" vertical="center" wrapText="1"/>
    </xf>
    <xf numFmtId="1" fontId="31" fillId="0" borderId="0" xfId="0" applyNumberFormat="1" applyFont="1" applyAlignment="1">
      <alignment horizontal="center" vertical="center" wrapText="1"/>
    </xf>
    <xf numFmtId="0" fontId="31"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2" fillId="2" borderId="56" xfId="0" applyFont="1" applyFill="1" applyBorder="1" applyAlignment="1">
      <alignment horizontal="center" vertical="center"/>
    </xf>
    <xf numFmtId="0" fontId="22" fillId="2" borderId="17" xfId="0" applyFont="1" applyFill="1" applyBorder="1" applyAlignment="1">
      <alignment horizontal="center" vertical="center"/>
    </xf>
    <xf numFmtId="2" fontId="6" fillId="0" borderId="53"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5" borderId="20" xfId="0" applyFont="1" applyFill="1" applyBorder="1" applyAlignment="1">
      <alignment horizontal="center" vertical="center"/>
    </xf>
    <xf numFmtId="0" fontId="0" fillId="0" borderId="0" xfId="0" applyAlignment="1">
      <alignment horizontal="right"/>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5" xfId="0" applyFont="1" applyBorder="1" applyAlignment="1">
      <alignment horizontal="center" vertical="center" wrapText="1"/>
    </xf>
    <xf numFmtId="1" fontId="31" fillId="0" borderId="34" xfId="0" applyNumberFormat="1" applyFont="1" applyBorder="1" applyAlignment="1">
      <alignment horizontal="center" vertical="center" wrapText="1"/>
    </xf>
    <xf numFmtId="0" fontId="6" fillId="0" borderId="25" xfId="0" applyFont="1" applyBorder="1" applyAlignment="1">
      <alignment horizontal="center" vertical="center" wrapText="1"/>
    </xf>
    <xf numFmtId="1" fontId="31" fillId="0" borderId="6" xfId="0" applyNumberFormat="1" applyFont="1" applyBorder="1" applyAlignment="1">
      <alignment horizontal="center" vertical="center" wrapText="1"/>
    </xf>
    <xf numFmtId="0" fontId="6" fillId="0" borderId="18" xfId="0" applyFont="1" applyBorder="1" applyAlignment="1">
      <alignment horizontal="right" vertical="center" wrapText="1"/>
    </xf>
    <xf numFmtId="0" fontId="16" fillId="0" borderId="2" xfId="0" applyFont="1" applyBorder="1" applyAlignment="1">
      <alignment horizontal="right"/>
    </xf>
    <xf numFmtId="0" fontId="0" fillId="7" borderId="10" xfId="0" applyFill="1" applyBorder="1"/>
    <xf numFmtId="0" fontId="31" fillId="0" borderId="14" xfId="0" applyFont="1" applyBorder="1" applyAlignment="1">
      <alignment horizontal="center" vertical="center" wrapText="1"/>
    </xf>
    <xf numFmtId="2" fontId="6" fillId="0" borderId="38" xfId="0" applyNumberFormat="1" applyFont="1" applyBorder="1" applyAlignment="1">
      <alignment horizontal="center" vertical="center" wrapText="1"/>
    </xf>
    <xf numFmtId="0" fontId="6" fillId="0" borderId="37" xfId="0" applyFont="1" applyBorder="1" applyAlignment="1">
      <alignment horizontal="center" vertical="center" wrapText="1"/>
    </xf>
    <xf numFmtId="2" fontId="34" fillId="0" borderId="53" xfId="0" applyNumberFormat="1" applyFont="1" applyBorder="1" applyAlignment="1">
      <alignment horizontal="center" vertical="center"/>
    </xf>
    <xf numFmtId="2" fontId="9" fillId="0" borderId="7" xfId="2" applyNumberFormat="1" applyFont="1" applyBorder="1" applyAlignment="1">
      <alignment horizontal="centerContinuous" vertical="center"/>
    </xf>
    <xf numFmtId="2" fontId="9" fillId="0" borderId="0" xfId="2" applyNumberFormat="1" applyFont="1" applyAlignment="1">
      <alignment horizontal="centerContinuous" vertical="center"/>
    </xf>
    <xf numFmtId="2" fontId="9" fillId="0" borderId="11" xfId="2" applyNumberFormat="1" applyFont="1" applyBorder="1" applyAlignment="1">
      <alignment horizontal="centerContinuous" vertical="center"/>
    </xf>
    <xf numFmtId="2" fontId="34" fillId="0" borderId="38" xfId="0" applyNumberFormat="1" applyFont="1" applyBorder="1" applyAlignment="1">
      <alignment horizontal="center" vertical="center"/>
    </xf>
    <xf numFmtId="2" fontId="34" fillId="0" borderId="1" xfId="0" applyNumberFormat="1" applyFont="1" applyBorder="1" applyAlignment="1">
      <alignment horizontal="center" vertical="center"/>
    </xf>
    <xf numFmtId="0" fontId="9" fillId="5" borderId="37" xfId="0" applyFont="1" applyFill="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wrapText="1"/>
      <protection locked="0"/>
    </xf>
    <xf numFmtId="165" fontId="9" fillId="0" borderId="37" xfId="2" applyNumberFormat="1" applyFont="1" applyBorder="1" applyAlignment="1">
      <alignment horizontal="center" vertical="center"/>
    </xf>
    <xf numFmtId="0" fontId="0" fillId="5" borderId="20" xfId="0" applyFill="1" applyBorder="1" applyAlignment="1">
      <alignment horizontal="center" vertical="center"/>
    </xf>
    <xf numFmtId="0" fontId="3" fillId="0" borderId="0" xfId="2" applyAlignment="1">
      <alignment horizontal="center" vertical="center"/>
    </xf>
    <xf numFmtId="0" fontId="9" fillId="0" borderId="3" xfId="2" applyFont="1" applyBorder="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13" fillId="0" borderId="0" xfId="2" applyFont="1" applyAlignment="1">
      <alignment vertical="top" wrapText="1"/>
    </xf>
    <xf numFmtId="0" fontId="12" fillId="0" borderId="0" xfId="0" applyFont="1" applyAlignment="1" applyProtection="1">
      <alignment horizontal="left" vertical="center"/>
      <protection locked="0"/>
    </xf>
    <xf numFmtId="0" fontId="12" fillId="0" borderId="0" xfId="2" applyFont="1" applyAlignment="1" applyProtection="1">
      <alignment horizontal="center" vertical="center"/>
      <protection locked="0"/>
    </xf>
    <xf numFmtId="0" fontId="12" fillId="0" borderId="0" xfId="0" applyFont="1" applyProtection="1">
      <protection locked="0"/>
    </xf>
    <xf numFmtId="0" fontId="4" fillId="0" borderId="0" xfId="0" applyFont="1" applyProtection="1">
      <protection locked="0"/>
    </xf>
    <xf numFmtId="0" fontId="0" fillId="0" borderId="0" xfId="0" applyAlignment="1" applyProtection="1">
      <alignment horizontal="center" vertical="center"/>
      <protection locked="0"/>
    </xf>
    <xf numFmtId="0" fontId="0" fillId="0" borderId="0" xfId="0" quotePrefix="1" applyAlignment="1" applyProtection="1">
      <alignment horizontal="center" vertical="center"/>
      <protection locked="0"/>
    </xf>
    <xf numFmtId="0" fontId="3" fillId="0" borderId="0" xfId="2" applyProtection="1">
      <protection locked="0"/>
    </xf>
    <xf numFmtId="0" fontId="13" fillId="0" borderId="0" xfId="2"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164" fontId="0" fillId="0" borderId="0" xfId="0" applyNumberFormat="1" applyProtection="1">
      <protection locked="0"/>
    </xf>
    <xf numFmtId="164" fontId="0" fillId="0" borderId="0" xfId="0" applyNumberFormat="1" applyAlignment="1" applyProtection="1">
      <alignment horizontal="left"/>
      <protection locked="0"/>
    </xf>
    <xf numFmtId="9" fontId="0" fillId="0" borderId="0" xfId="0" applyNumberFormat="1" applyProtection="1">
      <protection locked="0"/>
    </xf>
    <xf numFmtId="0" fontId="12" fillId="0" borderId="0" xfId="2" applyFont="1" applyAlignment="1">
      <alignment horizontal="center" vertical="center"/>
    </xf>
    <xf numFmtId="0" fontId="12" fillId="0" borderId="0" xfId="0" applyFont="1" applyAlignment="1">
      <alignment horizontal="left" vertical="center"/>
    </xf>
    <xf numFmtId="0" fontId="0" fillId="4" borderId="0" xfId="0" applyFill="1"/>
    <xf numFmtId="0" fontId="0" fillId="4" borderId="0" xfId="0" quotePrefix="1" applyFill="1"/>
    <xf numFmtId="165" fontId="21" fillId="0" borderId="3" xfId="3" applyNumberFormat="1" applyFont="1" applyBorder="1" applyAlignment="1">
      <alignment horizontal="center" vertical="center"/>
    </xf>
    <xf numFmtId="165" fontId="0" fillId="0" borderId="0" xfId="3" applyNumberFormat="1" applyFont="1"/>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167" fontId="36" fillId="0" borderId="1" xfId="0" applyNumberFormat="1" applyFont="1" applyBorder="1" applyAlignment="1">
      <alignment horizontal="center" vertical="center"/>
    </xf>
    <xf numFmtId="0" fontId="37" fillId="0" borderId="1" xfId="1" applyFont="1" applyFill="1" applyBorder="1" applyAlignment="1">
      <alignment horizontal="center" vertical="center" wrapText="1"/>
    </xf>
    <xf numFmtId="0" fontId="37" fillId="0" borderId="1" xfId="1" applyFont="1" applyBorder="1" applyAlignment="1">
      <alignment horizontal="center" vertical="center" wrapText="1"/>
    </xf>
    <xf numFmtId="0" fontId="37" fillId="0" borderId="1" xfId="1" applyFont="1" applyBorder="1" applyAlignment="1">
      <alignment horizontal="center" vertical="center"/>
    </xf>
    <xf numFmtId="0" fontId="1" fillId="0" borderId="1" xfId="1" applyBorder="1" applyAlignment="1">
      <alignment horizontal="center" vertical="center" wrapText="1"/>
    </xf>
    <xf numFmtId="0" fontId="38" fillId="0" borderId="1" xfId="0" applyFont="1" applyBorder="1" applyAlignment="1">
      <alignment horizontal="center" vertical="center" wrapText="1"/>
    </xf>
    <xf numFmtId="0" fontId="1" fillId="0" borderId="1" xfId="1" applyBorder="1" applyAlignment="1">
      <alignment horizontal="center" vertical="center"/>
    </xf>
    <xf numFmtId="0" fontId="39" fillId="0" borderId="1" xfId="0" applyFont="1" applyBorder="1" applyAlignment="1">
      <alignment horizontal="center" vertical="center" wrapText="1"/>
    </xf>
    <xf numFmtId="0" fontId="37" fillId="0" borderId="1" xfId="1" applyFont="1" applyFill="1" applyBorder="1" applyAlignment="1">
      <alignment horizontal="center" vertical="center"/>
    </xf>
    <xf numFmtId="167" fontId="35" fillId="0" borderId="53" xfId="0" applyNumberFormat="1" applyFont="1" applyBorder="1" applyAlignment="1">
      <alignment horizontal="center" vertical="center"/>
    </xf>
    <xf numFmtId="168" fontId="35" fillId="0" borderId="53" xfId="0" applyNumberFormat="1" applyFont="1" applyBorder="1" applyAlignment="1">
      <alignment horizontal="center" vertical="center"/>
    </xf>
    <xf numFmtId="0" fontId="28" fillId="2" borderId="29" xfId="0" applyFont="1" applyFill="1" applyBorder="1" applyAlignment="1">
      <alignment horizontal="center" vertical="center"/>
    </xf>
    <xf numFmtId="0" fontId="31" fillId="0" borderId="34" xfId="0" applyFont="1" applyBorder="1" applyAlignment="1">
      <alignment horizontal="center" vertical="center" wrapText="1"/>
    </xf>
    <xf numFmtId="2" fontId="31" fillId="0" borderId="34" xfId="0"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9" fillId="0" borderId="0" xfId="2" applyFont="1" applyAlignment="1">
      <alignment horizontal="center" vertical="center"/>
    </xf>
    <xf numFmtId="164" fontId="9" fillId="0" borderId="0" xfId="2" applyNumberFormat="1" applyFont="1" applyAlignment="1">
      <alignment horizontal="center" vertical="center"/>
    </xf>
    <xf numFmtId="164" fontId="9" fillId="0" borderId="11" xfId="2" applyNumberFormat="1" applyFont="1" applyBorder="1" applyAlignment="1">
      <alignment horizontal="center" vertical="center"/>
    </xf>
    <xf numFmtId="0" fontId="0" fillId="0" borderId="0" xfId="0" applyAlignment="1">
      <alignment horizontal="center" vertical="top"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7" fillId="0" borderId="53" xfId="1" applyFont="1" applyFill="1" applyBorder="1" applyAlignment="1">
      <alignment horizontal="center" vertical="center" wrapText="1"/>
    </xf>
    <xf numFmtId="167" fontId="35" fillId="0" borderId="1" xfId="0" applyNumberFormat="1" applyFont="1" applyBorder="1" applyAlignment="1">
      <alignment horizontal="center" vertical="center"/>
    </xf>
    <xf numFmtId="0" fontId="35" fillId="0" borderId="53" xfId="0" applyFont="1" applyBorder="1" applyAlignment="1">
      <alignment horizontal="center" vertical="center"/>
    </xf>
    <xf numFmtId="2" fontId="31" fillId="0" borderId="21" xfId="0" applyNumberFormat="1" applyFont="1" applyBorder="1" applyAlignment="1">
      <alignment horizontal="center" vertical="center" wrapText="1"/>
    </xf>
    <xf numFmtId="2" fontId="31" fillId="0" borderId="34" xfId="0" applyNumberFormat="1"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34" xfId="0" applyFont="1" applyBorder="1" applyAlignment="1">
      <alignment horizontal="center" vertical="center" wrapText="1"/>
    </xf>
    <xf numFmtId="0" fontId="28" fillId="2" borderId="63" xfId="0" applyFont="1" applyFill="1" applyBorder="1" applyAlignment="1">
      <alignment horizontal="center" vertical="center"/>
    </xf>
    <xf numFmtId="0" fontId="28" fillId="2" borderId="29" xfId="0" applyFont="1" applyFill="1" applyBorder="1" applyAlignment="1">
      <alignment horizontal="center" vertical="center"/>
    </xf>
    <xf numFmtId="0" fontId="6" fillId="0" borderId="63" xfId="0" applyFont="1" applyBorder="1" applyAlignment="1">
      <alignment horizontal="center" vertical="center" wrapText="1"/>
    </xf>
    <xf numFmtId="0" fontId="6" fillId="0" borderId="29" xfId="0" applyFont="1" applyBorder="1" applyAlignment="1">
      <alignment horizontal="center" vertical="center" wrapText="1"/>
    </xf>
    <xf numFmtId="2" fontId="6" fillId="0" borderId="62" xfId="0" applyNumberFormat="1" applyFont="1" applyBorder="1" applyAlignment="1">
      <alignment horizontal="center" vertical="center" wrapText="1"/>
    </xf>
    <xf numFmtId="2" fontId="6" fillId="0" borderId="28" xfId="0" applyNumberFormat="1" applyFont="1" applyBorder="1" applyAlignment="1">
      <alignment horizontal="center" vertical="center" wrapText="1"/>
    </xf>
    <xf numFmtId="2" fontId="6" fillId="0" borderId="55" xfId="0" applyNumberFormat="1" applyFont="1" applyBorder="1" applyAlignment="1">
      <alignment horizontal="center" vertical="center" wrapText="1"/>
    </xf>
    <xf numFmtId="2" fontId="6" fillId="0" borderId="27" xfId="0" applyNumberFormat="1" applyFont="1" applyBorder="1" applyAlignment="1">
      <alignment horizontal="center" vertical="center" wrapText="1"/>
    </xf>
    <xf numFmtId="2" fontId="6" fillId="0" borderId="61" xfId="0" applyNumberFormat="1" applyFont="1" applyBorder="1" applyAlignment="1">
      <alignment horizontal="center" vertical="center" wrapText="1"/>
    </xf>
    <xf numFmtId="2" fontId="6" fillId="0" borderId="26" xfId="0" applyNumberFormat="1" applyFont="1" applyBorder="1" applyAlignment="1">
      <alignment horizontal="center" vertical="center" wrapText="1"/>
    </xf>
    <xf numFmtId="2" fontId="31" fillId="0" borderId="29" xfId="0" applyNumberFormat="1" applyFont="1" applyBorder="1" applyAlignment="1">
      <alignment horizontal="center" vertical="center" wrapText="1"/>
    </xf>
    <xf numFmtId="0" fontId="6" fillId="0" borderId="55" xfId="0" applyFont="1" applyBorder="1" applyAlignment="1">
      <alignment horizontal="center" vertical="center"/>
    </xf>
    <xf numFmtId="0" fontId="6" fillId="0" borderId="60" xfId="0" applyFont="1" applyBorder="1" applyAlignment="1">
      <alignment horizontal="center" vertical="center"/>
    </xf>
    <xf numFmtId="0" fontId="6" fillId="0" borderId="27" xfId="0" applyFont="1" applyBorder="1" applyAlignment="1">
      <alignment horizontal="center" vertical="center"/>
    </xf>
    <xf numFmtId="0" fontId="6" fillId="0" borderId="61" xfId="0" applyFont="1" applyBorder="1" applyAlignment="1">
      <alignment horizontal="center" vertical="center"/>
    </xf>
    <xf numFmtId="0" fontId="6" fillId="0" borderId="26" xfId="0" applyFont="1" applyBorder="1" applyAlignment="1">
      <alignment horizontal="center" vertical="center"/>
    </xf>
    <xf numFmtId="0" fontId="6" fillId="5" borderId="2" xfId="0" applyFont="1" applyFill="1" applyBorder="1" applyAlignment="1" applyProtection="1">
      <alignment horizontal="center" wrapText="1"/>
      <protection locked="0"/>
    </xf>
    <xf numFmtId="0" fontId="6" fillId="5" borderId="1" xfId="0" applyFont="1" applyFill="1" applyBorder="1" applyAlignment="1" applyProtection="1">
      <alignment horizontal="center" wrapText="1"/>
      <protection locked="0"/>
    </xf>
    <xf numFmtId="166" fontId="6" fillId="0" borderId="15" xfId="0" applyNumberFormat="1" applyFont="1" applyBorder="1" applyAlignment="1" applyProtection="1">
      <alignment horizontal="center"/>
      <protection locked="0"/>
    </xf>
    <xf numFmtId="166" fontId="6" fillId="0" borderId="16" xfId="0" applyNumberFormat="1" applyFont="1" applyBorder="1" applyAlignment="1" applyProtection="1">
      <alignment horizontal="center"/>
      <protection locked="0"/>
    </xf>
    <xf numFmtId="0" fontId="6" fillId="5" borderId="2" xfId="0" applyFont="1" applyFill="1" applyBorder="1" applyAlignment="1" applyProtection="1">
      <alignment horizontal="center"/>
      <protection locked="0"/>
    </xf>
    <xf numFmtId="0" fontId="6" fillId="5" borderId="1" xfId="0" applyFont="1" applyFill="1" applyBorder="1" applyAlignment="1" applyProtection="1">
      <alignment horizontal="center"/>
      <protection locked="0"/>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9" xfId="0" applyFont="1" applyFill="1" applyBorder="1" applyAlignment="1">
      <alignment horizontal="center" vertical="center" wrapText="1"/>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25" fillId="0" borderId="36" xfId="1" applyFont="1" applyBorder="1" applyAlignment="1">
      <alignment horizontal="center" vertical="center" wrapText="1"/>
    </xf>
    <xf numFmtId="0" fontId="25" fillId="0" borderId="64" xfId="1" applyFont="1" applyBorder="1" applyAlignment="1">
      <alignment horizontal="center" vertical="center" wrapText="1"/>
    </xf>
    <xf numFmtId="0" fontId="25" fillId="0" borderId="38"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27" xfId="1" applyFont="1" applyBorder="1" applyAlignment="1">
      <alignment horizontal="center" vertical="center" wrapText="1"/>
    </xf>
    <xf numFmtId="0" fontId="25" fillId="0" borderId="1" xfId="1" applyFont="1" applyBorder="1" applyAlignment="1">
      <alignment horizontal="center" vertical="center" wrapText="1"/>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6" fillId="0" borderId="39" xfId="0" applyFont="1" applyBorder="1" applyAlignment="1" applyProtection="1">
      <alignment horizontal="center" vertical="top" wrapText="1"/>
      <protection locked="0"/>
    </xf>
    <xf numFmtId="0" fontId="6" fillId="0" borderId="32" xfId="0" applyFont="1" applyBorder="1" applyAlignment="1" applyProtection="1">
      <alignment horizontal="center" vertical="top" wrapText="1"/>
      <protection locked="0"/>
    </xf>
    <xf numFmtId="0" fontId="25" fillId="0" borderId="23" xfId="1" applyFont="1" applyBorder="1" applyAlignment="1">
      <alignment horizontal="center" vertical="center" wrapText="1"/>
    </xf>
    <xf numFmtId="0" fontId="25" fillId="0" borderId="24"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6" xfId="1" applyFont="1" applyBorder="1" applyAlignment="1">
      <alignment horizontal="center" vertical="center" wrapText="1"/>
    </xf>
    <xf numFmtId="0" fontId="25" fillId="0" borderId="18" xfId="1" applyFont="1" applyBorder="1" applyAlignment="1">
      <alignment horizontal="center" vertical="center" wrapText="1"/>
    </xf>
    <xf numFmtId="0" fontId="25" fillId="0" borderId="28" xfId="1" applyFont="1" applyBorder="1" applyAlignment="1">
      <alignment horizontal="center" vertical="center" wrapText="1"/>
    </xf>
    <xf numFmtId="0" fontId="25" fillId="0" borderId="19" xfId="1" applyFont="1" applyBorder="1" applyAlignment="1">
      <alignment horizontal="center" vertical="center" wrapText="1"/>
    </xf>
    <xf numFmtId="0" fontId="28" fillId="2" borderId="23" xfId="0" applyFont="1" applyFill="1" applyBorder="1" applyAlignment="1">
      <alignment horizontal="center" vertical="center"/>
    </xf>
    <xf numFmtId="0" fontId="28" fillId="2" borderId="30" xfId="0" applyFont="1" applyFill="1" applyBorder="1" applyAlignment="1">
      <alignment horizontal="center" vertical="center"/>
    </xf>
    <xf numFmtId="0" fontId="5" fillId="2" borderId="24" xfId="0" applyFont="1" applyFill="1" applyBorder="1" applyAlignment="1">
      <alignment horizontal="center" vertical="center"/>
    </xf>
    <xf numFmtId="0" fontId="28"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1" fillId="0" borderId="63" xfId="0" applyFont="1" applyBorder="1" applyAlignment="1">
      <alignment horizontal="center" vertical="center" wrapText="1"/>
    </xf>
    <xf numFmtId="0" fontId="31" fillId="0" borderId="29" xfId="0" applyFont="1" applyBorder="1" applyAlignment="1">
      <alignment horizontal="center" vertical="center" wrapText="1"/>
    </xf>
    <xf numFmtId="0" fontId="2" fillId="0" borderId="0" xfId="0" applyFont="1" applyAlignment="1">
      <alignment horizontal="left"/>
    </xf>
    <xf numFmtId="0" fontId="6" fillId="0" borderId="8" xfId="0" applyFont="1" applyBorder="1" applyAlignment="1" applyProtection="1">
      <alignment horizontal="center" vertical="top"/>
      <protection locked="0"/>
    </xf>
    <xf numFmtId="0" fontId="6" fillId="0" borderId="9" xfId="0" applyFont="1" applyBorder="1" applyAlignment="1" applyProtection="1">
      <alignment horizontal="center" vertical="top"/>
      <protection locked="0"/>
    </xf>
    <xf numFmtId="0" fontId="6" fillId="0" borderId="10" xfId="0" applyFont="1" applyBorder="1" applyAlignment="1" applyProtection="1">
      <alignment horizontal="center" vertical="top"/>
      <protection locked="0"/>
    </xf>
    <xf numFmtId="0" fontId="6" fillId="0" borderId="12" xfId="0" applyFont="1" applyBorder="1" applyAlignment="1" applyProtection="1">
      <alignment horizontal="center" vertical="top"/>
      <protection locked="0"/>
    </xf>
    <xf numFmtId="0" fontId="6" fillId="0" borderId="13" xfId="0" applyFont="1" applyBorder="1" applyAlignment="1" applyProtection="1">
      <alignment horizontal="center" vertical="top"/>
      <protection locked="0"/>
    </xf>
    <xf numFmtId="0" fontId="6" fillId="0" borderId="14" xfId="0" applyFont="1" applyBorder="1" applyAlignment="1" applyProtection="1">
      <alignment horizontal="center" vertical="top"/>
      <protection locked="0"/>
    </xf>
    <xf numFmtId="0" fontId="33" fillId="0" borderId="57" xfId="0" applyFont="1" applyBorder="1" applyAlignment="1">
      <alignment horizontal="left" vertical="top"/>
    </xf>
    <xf numFmtId="0" fontId="33" fillId="0" borderId="59" xfId="0" applyFont="1" applyBorder="1" applyAlignment="1">
      <alignment horizontal="left" vertical="top"/>
    </xf>
    <xf numFmtId="0" fontId="0" fillId="0" borderId="0" xfId="0" applyAlignment="1">
      <alignment horizont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7"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9" fillId="0" borderId="0" xfId="2" applyFont="1" applyAlignment="1">
      <alignment horizontal="center" vertical="center" wrapText="1"/>
    </xf>
    <xf numFmtId="0" fontId="0" fillId="0" borderId="0" xfId="0" applyAlignment="1">
      <alignment horizontal="center" vertical="top" wrapText="1"/>
    </xf>
    <xf numFmtId="0" fontId="11" fillId="2" borderId="23"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34" xfId="0" applyFont="1" applyFill="1" applyBorder="1" applyAlignment="1">
      <alignment horizontal="center" vertical="center"/>
    </xf>
    <xf numFmtId="0" fontId="19" fillId="6" borderId="0" xfId="0" applyFont="1" applyFill="1" applyAlignment="1">
      <alignment horizontal="center" vertical="center"/>
    </xf>
    <xf numFmtId="0" fontId="19" fillId="6" borderId="0" xfId="0" applyFont="1" applyFill="1" applyAlignment="1">
      <alignment horizontal="center" vertical="center" wrapText="1"/>
    </xf>
    <xf numFmtId="0" fontId="9" fillId="0" borderId="0" xfId="2" applyFont="1" applyAlignment="1">
      <alignment horizontal="center" vertical="center"/>
    </xf>
    <xf numFmtId="0" fontId="11" fillId="2" borderId="39"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51" xfId="0" applyFont="1" applyFill="1" applyBorder="1" applyAlignment="1">
      <alignment horizontal="center" vertical="center"/>
    </xf>
    <xf numFmtId="0" fontId="9" fillId="0" borderId="44" xfId="2" applyFont="1" applyBorder="1" applyAlignment="1">
      <alignment horizontal="center" vertical="center" wrapText="1"/>
    </xf>
    <xf numFmtId="0" fontId="9" fillId="0" borderId="45" xfId="2" applyFont="1" applyBorder="1" applyAlignment="1">
      <alignment horizontal="center" vertical="center" wrapText="1"/>
    </xf>
    <xf numFmtId="0" fontId="9" fillId="0" borderId="46" xfId="2" applyFont="1" applyBorder="1" applyAlignment="1">
      <alignment horizontal="center" vertical="center" wrapText="1"/>
    </xf>
    <xf numFmtId="0" fontId="9" fillId="0" borderId="7"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8" xfId="2" applyFont="1" applyBorder="1" applyAlignment="1" applyProtection="1">
      <alignment horizontal="center" vertical="center"/>
      <protection locked="0"/>
    </xf>
    <xf numFmtId="0" fontId="9" fillId="0" borderId="9" xfId="2" applyFont="1" applyBorder="1" applyAlignment="1" applyProtection="1">
      <alignment horizontal="center" vertical="center"/>
      <protection locked="0"/>
    </xf>
    <xf numFmtId="0" fontId="9" fillId="0" borderId="10" xfId="2" applyFont="1" applyBorder="1" applyAlignment="1" applyProtection="1">
      <alignment horizontal="center" vertical="center"/>
      <protection locked="0"/>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7" xfId="2" applyFont="1" applyBorder="1" applyAlignment="1">
      <alignment horizontal="center" vertical="center"/>
    </xf>
    <xf numFmtId="0" fontId="9" fillId="0" borderId="11" xfId="2" applyFont="1" applyBorder="1" applyAlignment="1">
      <alignment horizontal="center" vertical="center"/>
    </xf>
    <xf numFmtId="164" fontId="9" fillId="0" borderId="7" xfId="2" applyNumberFormat="1" applyFont="1" applyBorder="1" applyAlignment="1">
      <alignment horizontal="center" vertical="center"/>
    </xf>
    <xf numFmtId="164" fontId="9" fillId="0" borderId="0" xfId="2" applyNumberFormat="1" applyFont="1" applyAlignment="1">
      <alignment horizontal="center" vertical="center"/>
    </xf>
    <xf numFmtId="164" fontId="9" fillId="0" borderId="11" xfId="2" applyNumberFormat="1" applyFont="1" applyBorder="1" applyAlignment="1">
      <alignment horizontal="center" vertical="center"/>
    </xf>
    <xf numFmtId="0" fontId="0" fillId="0" borderId="50" xfId="0" applyBorder="1" applyAlignment="1">
      <alignment horizontal="center"/>
    </xf>
    <xf numFmtId="0" fontId="0" fillId="0" borderId="33" xfId="0" applyBorder="1" applyAlignment="1">
      <alignment horizontal="center"/>
    </xf>
    <xf numFmtId="0" fontId="0" fillId="0" borderId="51" xfId="0" applyBorder="1" applyAlignment="1">
      <alignment horizontal="center"/>
    </xf>
    <xf numFmtId="0" fontId="35" fillId="0" borderId="53"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65" xfId="0" applyFont="1" applyBorder="1" applyAlignment="1">
      <alignment horizontal="center" vertical="center" wrapText="1"/>
    </xf>
    <xf numFmtId="0" fontId="37" fillId="0" borderId="53" xfId="1" applyFont="1" applyFill="1" applyBorder="1" applyAlignment="1">
      <alignment horizontal="center" vertical="center" wrapText="1"/>
    </xf>
    <xf numFmtId="0" fontId="37" fillId="0" borderId="65" xfId="1" applyFont="1" applyFill="1" applyBorder="1" applyAlignment="1">
      <alignment horizontal="center" vertical="center" wrapText="1"/>
    </xf>
    <xf numFmtId="0" fontId="37" fillId="0" borderId="38" xfId="1"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53" xfId="0" applyFont="1" applyBorder="1" applyAlignment="1">
      <alignment horizontal="center" vertical="center"/>
    </xf>
    <xf numFmtId="0" fontId="35" fillId="0" borderId="38" xfId="0" applyFont="1" applyBorder="1" applyAlignment="1">
      <alignment horizontal="center" vertical="center"/>
    </xf>
    <xf numFmtId="0" fontId="35" fillId="0" borderId="1" xfId="0" applyFont="1" applyBorder="1" applyAlignment="1">
      <alignment horizontal="center" vertical="center"/>
    </xf>
    <xf numFmtId="167" fontId="35" fillId="0" borderId="1" xfId="0" applyNumberFormat="1" applyFont="1" applyBorder="1" applyAlignment="1">
      <alignment horizontal="center" vertical="center"/>
    </xf>
    <xf numFmtId="0" fontId="22" fillId="2" borderId="1" xfId="0" applyFont="1" applyFill="1" applyBorder="1" applyAlignment="1">
      <alignment horizontal="center" vertic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16" fillId="0" borderId="0" xfId="0" applyFont="1" applyAlignment="1">
      <alignment horizontal="center" vertical="center"/>
    </xf>
    <xf numFmtId="0" fontId="22" fillId="2" borderId="55"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8" xfId="0" applyFont="1" applyFill="1" applyBorder="1" applyAlignment="1">
      <alignment horizontal="center"/>
    </xf>
    <xf numFmtId="0" fontId="22" fillId="2" borderId="10" xfId="0" applyFont="1" applyFill="1" applyBorder="1" applyAlignment="1">
      <alignment horizontal="center"/>
    </xf>
    <xf numFmtId="0" fontId="24" fillId="0" borderId="2" xfId="1" applyFont="1" applyBorder="1" applyAlignment="1">
      <alignment horizontal="center" vertical="center"/>
    </xf>
    <xf numFmtId="0" fontId="24" fillId="0" borderId="3" xfId="1" applyFont="1" applyBorder="1" applyAlignment="1">
      <alignment horizontal="center" vertical="center"/>
    </xf>
    <xf numFmtId="2" fontId="21" fillId="0" borderId="57" xfId="0" applyNumberFormat="1" applyFont="1" applyBorder="1" applyAlignment="1">
      <alignment horizontal="center" vertical="center"/>
    </xf>
    <xf numFmtId="2" fontId="21" fillId="0" borderId="58" xfId="0" applyNumberFormat="1" applyFont="1" applyBorder="1" applyAlignment="1">
      <alignment horizontal="center" vertical="center"/>
    </xf>
    <xf numFmtId="2" fontId="21" fillId="0" borderId="59" xfId="0" applyNumberFormat="1" applyFont="1" applyBorder="1" applyAlignment="1">
      <alignment horizontal="center" vertical="center"/>
    </xf>
  </cellXfs>
  <cellStyles count="5">
    <cellStyle name="Currency" xfId="3" builtinId="4"/>
    <cellStyle name="Hyperlink" xfId="1" builtinId="8"/>
    <cellStyle name="Normal" xfId="0" builtinId="0"/>
    <cellStyle name="Normal 2 2" xfId="2" xr:uid="{00000000-0005-0000-0000-000002000000}"/>
    <cellStyle name="Percent" xfId="4" builtinId="5"/>
  </cellStyles>
  <dxfs count="19">
    <dxf>
      <fill>
        <patternFill>
          <bgColor rgb="FFFFFF00"/>
        </patternFill>
      </fill>
    </dxf>
    <dxf>
      <border>
        <left style="thin">
          <color auto="1"/>
        </left>
        <right style="thin">
          <color auto="1"/>
        </right>
        <top style="thin">
          <color auto="1"/>
        </top>
        <bottom style="thin">
          <color auto="1"/>
        </bottom>
        <vertical/>
        <horizontal/>
      </border>
    </dxf>
    <dxf>
      <fill>
        <patternFill>
          <bgColor rgb="FFFFFF00"/>
        </patternFill>
      </fill>
    </dxf>
    <dxf>
      <border>
        <left style="thin">
          <color auto="1"/>
        </left>
        <right style="thin">
          <color auto="1"/>
        </right>
        <top style="thin">
          <color auto="1"/>
        </top>
        <bottom style="thin">
          <color auto="1"/>
        </bottom>
        <vertical/>
        <horizontal/>
      </border>
    </dxf>
    <dxf>
      <fill>
        <patternFill>
          <bgColor rgb="FFFFFF00"/>
        </patternFill>
      </fill>
    </dxf>
    <dxf>
      <fill>
        <patternFill patternType="solid">
          <bgColor theme="0"/>
        </patternFill>
      </fill>
    </dxf>
    <dxf>
      <fill>
        <patternFill>
          <bgColor rgb="FFFFFF00"/>
        </patternFill>
      </fill>
    </dxf>
    <dxf>
      <fill>
        <patternFill patternType="none">
          <bgColor auto="1"/>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theme="9" tint="0.79998168889431442"/>
        </patternFill>
      </fill>
    </dxf>
    <dxf>
      <fill>
        <patternFill>
          <bgColor theme="9"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9" tint="0.79998168889431442"/>
        </patternFill>
      </fill>
    </dxf>
    <dxf>
      <font>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Factor 1 Point Distribution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Line</c:v>
          </c:tx>
          <c:spPr>
            <a:ln w="19050" cap="rnd">
              <a:solidFill>
                <a:schemeClr val="accent1"/>
              </a:solidFill>
              <a:round/>
            </a:ln>
            <a:effectLst/>
          </c:spPr>
          <c:marker>
            <c:symbol val="none"/>
          </c:marker>
          <c:xVal>
            <c:numRef>
              <c:f>'Factor 1 Calculations'!$A$3:$A$60</c:f>
              <c:numCache>
                <c:formatCode>General</c:formatCode>
                <c:ptCount val="58"/>
                <c:pt idx="0">
                  <c:v>0</c:v>
                </c:pt>
                <c:pt idx="1">
                  <c:v>0.2</c:v>
                </c:pt>
                <c:pt idx="2">
                  <c:v>0.25</c:v>
                </c:pt>
                <c:pt idx="3">
                  <c:v>0.3</c:v>
                </c:pt>
                <c:pt idx="4">
                  <c:v>0.35</c:v>
                </c:pt>
                <c:pt idx="5">
                  <c:v>0.4</c:v>
                </c:pt>
                <c:pt idx="6">
                  <c:v>0.45</c:v>
                </c:pt>
                <c:pt idx="7">
                  <c:v>0.5</c:v>
                </c:pt>
                <c:pt idx="8">
                  <c:v>0.55000000000000004</c:v>
                </c:pt>
                <c:pt idx="9">
                  <c:v>0.6</c:v>
                </c:pt>
                <c:pt idx="10">
                  <c:v>0.65</c:v>
                </c:pt>
                <c:pt idx="11">
                  <c:v>0.7</c:v>
                </c:pt>
                <c:pt idx="12">
                  <c:v>0.75</c:v>
                </c:pt>
                <c:pt idx="13">
                  <c:v>0.8</c:v>
                </c:pt>
                <c:pt idx="14">
                  <c:v>0.85</c:v>
                </c:pt>
                <c:pt idx="15">
                  <c:v>0.9</c:v>
                </c:pt>
                <c:pt idx="16">
                  <c:v>0.95</c:v>
                </c:pt>
                <c:pt idx="17">
                  <c:v>1</c:v>
                </c:pt>
                <c:pt idx="18">
                  <c:v>1.05</c:v>
                </c:pt>
                <c:pt idx="19">
                  <c:v>1.1000000000000001</c:v>
                </c:pt>
                <c:pt idx="20">
                  <c:v>1.1499999999999999</c:v>
                </c:pt>
                <c:pt idx="21">
                  <c:v>1.2</c:v>
                </c:pt>
                <c:pt idx="22">
                  <c:v>1.25</c:v>
                </c:pt>
                <c:pt idx="23">
                  <c:v>1.3</c:v>
                </c:pt>
                <c:pt idx="24">
                  <c:v>1.35</c:v>
                </c:pt>
                <c:pt idx="25">
                  <c:v>1.4</c:v>
                </c:pt>
                <c:pt idx="26">
                  <c:v>1.45</c:v>
                </c:pt>
                <c:pt idx="27">
                  <c:v>1.5</c:v>
                </c:pt>
                <c:pt idx="28">
                  <c:v>1.55</c:v>
                </c:pt>
                <c:pt idx="29">
                  <c:v>1.6</c:v>
                </c:pt>
                <c:pt idx="30">
                  <c:v>1.65</c:v>
                </c:pt>
                <c:pt idx="31">
                  <c:v>1.7</c:v>
                </c:pt>
                <c:pt idx="32">
                  <c:v>1.75</c:v>
                </c:pt>
                <c:pt idx="33">
                  <c:v>1.8</c:v>
                </c:pt>
                <c:pt idx="34">
                  <c:v>1.85</c:v>
                </c:pt>
                <c:pt idx="35">
                  <c:v>1.9</c:v>
                </c:pt>
                <c:pt idx="36">
                  <c:v>1.95</c:v>
                </c:pt>
                <c:pt idx="37">
                  <c:v>2</c:v>
                </c:pt>
                <c:pt idx="38">
                  <c:v>2.0499999999999998</c:v>
                </c:pt>
                <c:pt idx="39">
                  <c:v>2.1</c:v>
                </c:pt>
                <c:pt idx="40">
                  <c:v>2.15</c:v>
                </c:pt>
                <c:pt idx="41">
                  <c:v>2.2000000000000002</c:v>
                </c:pt>
                <c:pt idx="42">
                  <c:v>2.25</c:v>
                </c:pt>
                <c:pt idx="43">
                  <c:v>2.2999999999999998</c:v>
                </c:pt>
                <c:pt idx="44">
                  <c:v>2.35</c:v>
                </c:pt>
                <c:pt idx="45">
                  <c:v>2.4</c:v>
                </c:pt>
                <c:pt idx="46">
                  <c:v>2.4500000000000002</c:v>
                </c:pt>
                <c:pt idx="47">
                  <c:v>2.5</c:v>
                </c:pt>
                <c:pt idx="48">
                  <c:v>2.5499999999999998</c:v>
                </c:pt>
                <c:pt idx="49">
                  <c:v>2.6</c:v>
                </c:pt>
                <c:pt idx="50">
                  <c:v>2.65</c:v>
                </c:pt>
                <c:pt idx="51">
                  <c:v>2.7</c:v>
                </c:pt>
                <c:pt idx="52">
                  <c:v>2.75</c:v>
                </c:pt>
                <c:pt idx="53">
                  <c:v>2.8</c:v>
                </c:pt>
                <c:pt idx="54">
                  <c:v>2.85</c:v>
                </c:pt>
                <c:pt idx="55">
                  <c:v>2.9</c:v>
                </c:pt>
                <c:pt idx="56">
                  <c:v>2.95</c:v>
                </c:pt>
                <c:pt idx="57">
                  <c:v>3</c:v>
                </c:pt>
              </c:numCache>
            </c:numRef>
          </c:xVal>
          <c:yVal>
            <c:numRef>
              <c:f>'Factor 1 Calculations'!$B$3:$B$60</c:f>
              <c:numCache>
                <c:formatCode>General</c:formatCode>
                <c:ptCount val="58"/>
                <c:pt idx="0">
                  <c:v>1.7006366338561165</c:v>
                </c:pt>
                <c:pt idx="1">
                  <c:v>2.9989314572010177</c:v>
                </c:pt>
                <c:pt idx="2">
                  <c:v>3.4444589119152798</c:v>
                </c:pt>
                <c:pt idx="3">
                  <c:v>3.9494722204010948</c:v>
                </c:pt>
                <c:pt idx="4">
                  <c:v>4.5198485965387434</c:v>
                </c:pt>
                <c:pt idx="5">
                  <c:v>5.1614242109163433</c:v>
                </c:pt>
                <c:pt idx="6">
                  <c:v>5.8797823922675141</c:v>
                </c:pt>
                <c:pt idx="7">
                  <c:v>6.6799909455468223</c:v>
                </c:pt>
                <c:pt idx="8">
                  <c:v>7.5662910642607963</c:v>
                </c:pt>
                <c:pt idx="9">
                  <c:v>8.541746516708054</c:v>
                </c:pt>
                <c:pt idx="10">
                  <c:v>9.6078695388294175</c:v>
                </c:pt>
                <c:pt idx="11">
                  <c:v>10.764248511153289</c:v>
                </c:pt>
                <c:pt idx="12">
                  <c:v>12.008210814813514</c:v>
                </c:pt>
                <c:pt idx="13">
                  <c:v>13.334560498352117</c:v>
                </c:pt>
                <c:pt idx="14">
                  <c:v>14.735432478785766</c:v>
                </c:pt>
                <c:pt idx="15">
                  <c:v>16.200301028662384</c:v>
                </c:pt>
                <c:pt idx="16">
                  <c:v>17.716169128187413</c:v>
                </c:pt>
                <c:pt idx="17">
                  <c:v>19.267947175801773</c:v>
                </c:pt>
                <c:pt idx="18">
                  <c:v>20.839006654127541</c:v>
                </c:pt>
                <c:pt idx="19">
                  <c:v>22.41187043181765</c:v>
                </c:pt>
                <c:pt idx="20">
                  <c:v>23.968981169421472</c:v>
                </c:pt>
                <c:pt idx="21">
                  <c:v>25.493477206364844</c:v>
                </c:pt>
                <c:pt idx="22">
                  <c:v>26.969904128704751</c:v>
                </c:pt>
                <c:pt idx="23">
                  <c:v>28.38480023073279</c:v>
                </c:pt>
                <c:pt idx="24">
                  <c:v>29.727112959819401</c:v>
                </c:pt>
                <c:pt idx="25">
                  <c:v>30.988426987369738</c:v>
                </c:pt>
                <c:pt idx="26">
                  <c:v>32.16300800752564</c:v>
                </c:pt>
                <c:pt idx="27">
                  <c:v>33.247685666428005</c:v>
                </c:pt>
                <c:pt idx="28">
                  <c:v>34.24161169039575</c:v>
                </c:pt>
                <c:pt idx="29">
                  <c:v>35.145934670653354</c:v>
                </c:pt>
                <c:pt idx="30">
                  <c:v>35.963431969535094</c:v>
                </c:pt>
                <c:pt idx="31">
                  <c:v>36.698133652484316</c:v>
                </c:pt>
                <c:pt idx="32">
                  <c:v>37.35496530055368</c:v>
                </c:pt>
                <c:pt idx="33">
                  <c:v>37.93942786220375</c:v>
                </c:pt>
                <c:pt idx="34">
                  <c:v>38.457324696842775</c:v>
                </c:pt>
                <c:pt idx="35">
                  <c:v>38.914539414304834</c:v>
                </c:pt>
                <c:pt idx="36">
                  <c:v>39.316863305348441</c:v>
                </c:pt>
                <c:pt idx="37">
                  <c:v>39.669868024790929</c:v>
                </c:pt>
                <c:pt idx="38">
                  <c:v>39.978817470812466</c:v>
                </c:pt>
                <c:pt idx="39">
                  <c:v>40</c:v>
                </c:pt>
                <c:pt idx="40">
                  <c:v>40</c:v>
                </c:pt>
                <c:pt idx="41">
                  <c:v>40</c:v>
                </c:pt>
                <c:pt idx="42">
                  <c:v>40</c:v>
                </c:pt>
                <c:pt idx="43">
                  <c:v>40</c:v>
                </c:pt>
                <c:pt idx="44">
                  <c:v>40</c:v>
                </c:pt>
                <c:pt idx="45">
                  <c:v>40</c:v>
                </c:pt>
                <c:pt idx="46">
                  <c:v>40</c:v>
                </c:pt>
                <c:pt idx="47">
                  <c:v>40</c:v>
                </c:pt>
                <c:pt idx="48">
                  <c:v>40</c:v>
                </c:pt>
                <c:pt idx="49">
                  <c:v>40</c:v>
                </c:pt>
                <c:pt idx="50">
                  <c:v>40</c:v>
                </c:pt>
                <c:pt idx="51">
                  <c:v>40</c:v>
                </c:pt>
                <c:pt idx="52">
                  <c:v>40</c:v>
                </c:pt>
                <c:pt idx="53">
                  <c:v>40</c:v>
                </c:pt>
                <c:pt idx="54">
                  <c:v>40</c:v>
                </c:pt>
                <c:pt idx="55">
                  <c:v>40</c:v>
                </c:pt>
                <c:pt idx="56">
                  <c:v>40</c:v>
                </c:pt>
                <c:pt idx="57">
                  <c:v>40</c:v>
                </c:pt>
              </c:numCache>
            </c:numRef>
          </c:yVal>
          <c:smooth val="1"/>
          <c:extLst>
            <c:ext xmlns:c16="http://schemas.microsoft.com/office/drawing/2014/chart" uri="{C3380CC4-5D6E-409C-BE32-E72D297353CC}">
              <c16:uniqueId val="{00000000-D22D-4902-BAC7-609676F52C9D}"/>
            </c:ext>
          </c:extLst>
        </c:ser>
        <c:ser>
          <c:idx val="1"/>
          <c:order val="1"/>
          <c:tx>
            <c:v>Score</c:v>
          </c:tx>
          <c:spPr>
            <a:ln w="19050" cap="rnd">
              <a:solidFill>
                <a:schemeClr val="accent2"/>
              </a:solidFill>
              <a:round/>
            </a:ln>
            <a:effectLst/>
          </c:spPr>
          <c:marker>
            <c:symbol val="circle"/>
            <c:size val="7"/>
            <c:spPr>
              <a:solidFill>
                <a:schemeClr val="accent2"/>
              </a:solidFill>
              <a:ln w="9525">
                <a:noFill/>
              </a:ln>
              <a:effectLst/>
            </c:spPr>
          </c:marker>
          <c:xVal>
            <c:numRef>
              <c:f>'F1 Crash Severity'!$B$9</c:f>
              <c:numCache>
                <c:formatCode>General</c:formatCode>
                <c:ptCount val="1"/>
              </c:numCache>
            </c:numRef>
          </c:xVal>
          <c:yVal>
            <c:numRef>
              <c:f>'F1 Crash Severity'!$C$9</c:f>
              <c:numCache>
                <c:formatCode>0.00</c:formatCode>
                <c:ptCount val="1"/>
                <c:pt idx="0">
                  <c:v>0</c:v>
                </c:pt>
              </c:numCache>
            </c:numRef>
          </c:yVal>
          <c:smooth val="1"/>
          <c:extLst>
            <c:ext xmlns:c16="http://schemas.microsoft.com/office/drawing/2014/chart" uri="{C3380CC4-5D6E-409C-BE32-E72D297353CC}">
              <c16:uniqueId val="{00000001-D22D-4902-BAC7-609676F52C9D}"/>
            </c:ext>
          </c:extLst>
        </c:ser>
        <c:dLbls>
          <c:showLegendKey val="0"/>
          <c:showVal val="0"/>
          <c:showCatName val="0"/>
          <c:showSerName val="0"/>
          <c:showPercent val="0"/>
          <c:showBubbleSize val="0"/>
        </c:dLbls>
        <c:axId val="2105743792"/>
        <c:axId val="2105744272"/>
      </c:scatterChart>
      <c:valAx>
        <c:axId val="2105743792"/>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 of Crash Cost (ICC)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744272"/>
        <c:crosses val="autoZero"/>
        <c:crossBetween val="midCat"/>
      </c:valAx>
      <c:valAx>
        <c:axId val="2105744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Points Awarded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74379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Factor 2 Point</a:t>
            </a:r>
            <a:r>
              <a:rPr lang="en-US" baseline="0"/>
              <a:t> Distribution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3558564694984"/>
          <c:y val="0.1688421052631579"/>
          <c:w val="0.85953918389959039"/>
          <c:h val="0.61874476216788687"/>
        </c:manualLayout>
      </c:layout>
      <c:scatterChart>
        <c:scatterStyle val="smoothMarker"/>
        <c:varyColors val="0"/>
        <c:ser>
          <c:idx val="0"/>
          <c:order val="0"/>
          <c:tx>
            <c:v>Line</c:v>
          </c:tx>
          <c:spPr>
            <a:ln w="19050" cap="rnd">
              <a:solidFill>
                <a:schemeClr val="accent1"/>
              </a:solidFill>
              <a:round/>
            </a:ln>
            <a:effectLst/>
          </c:spPr>
          <c:marker>
            <c:symbol val="none"/>
          </c:marker>
          <c:xVal>
            <c:numRef>
              <c:f>'Factor 2 Calculations'!$A$13:$A$113</c:f>
              <c:numCache>
                <c:formatCode>General</c:formatCode>
                <c:ptCount val="101"/>
                <c:pt idx="0">
                  <c:v>0</c:v>
                </c:pt>
                <c:pt idx="1">
                  <c:v>5.0000000000000898E-2</c:v>
                </c:pt>
                <c:pt idx="2">
                  <c:v>0.100000000000001</c:v>
                </c:pt>
                <c:pt idx="3">
                  <c:v>0.15000000000000099</c:v>
                </c:pt>
                <c:pt idx="4">
                  <c:v>0.20000000000000101</c:v>
                </c:pt>
                <c:pt idx="5">
                  <c:v>0.250000000000001</c:v>
                </c:pt>
                <c:pt idx="6">
                  <c:v>0.30000000000000099</c:v>
                </c:pt>
                <c:pt idx="7">
                  <c:v>0.35000000000000098</c:v>
                </c:pt>
                <c:pt idx="8">
                  <c:v>0.40000000000000102</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4.3999999999999897</c:v>
                </c:pt>
                <c:pt idx="89">
                  <c:v>4.4499999999999904</c:v>
                </c:pt>
                <c:pt idx="90">
                  <c:v>4.4999999999999902</c:v>
                </c:pt>
                <c:pt idx="91">
                  <c:v>4.5499999999999901</c:v>
                </c:pt>
                <c:pt idx="92">
                  <c:v>4.5999999999999899</c:v>
                </c:pt>
                <c:pt idx="93">
                  <c:v>4.6499999999999897</c:v>
                </c:pt>
                <c:pt idx="94">
                  <c:v>4.6999999999999904</c:v>
                </c:pt>
                <c:pt idx="95">
                  <c:v>4.7499999999999902</c:v>
                </c:pt>
                <c:pt idx="96">
                  <c:v>4.7999999999999901</c:v>
                </c:pt>
                <c:pt idx="97">
                  <c:v>4.8499999999999899</c:v>
                </c:pt>
                <c:pt idx="98">
                  <c:v>4.8999999999999897</c:v>
                </c:pt>
                <c:pt idx="99">
                  <c:v>4.9499999999999904</c:v>
                </c:pt>
                <c:pt idx="100">
                  <c:v>4.9999999999999902</c:v>
                </c:pt>
              </c:numCache>
            </c:numRef>
          </c:xVal>
          <c:yVal>
            <c:numRef>
              <c:f>'Factor 2 Calculations'!$B$13:$B$113</c:f>
              <c:numCache>
                <c:formatCode>General</c:formatCode>
                <c:ptCount val="101"/>
                <c:pt idx="0">
                  <c:v>1.1221108790560397</c:v>
                </c:pt>
                <c:pt idx="1">
                  <c:v>1.226469604124103</c:v>
                </c:pt>
                <c:pt idx="2">
                  <c:v>1.3391625804524443</c:v>
                </c:pt>
                <c:pt idx="3">
                  <c:v>1.4605967604673606</c:v>
                </c:pt>
                <c:pt idx="4">
                  <c:v>1.5911505439994185</c:v>
                </c:pt>
                <c:pt idx="5">
                  <c:v>1.7311633398317163</c:v>
                </c:pt>
                <c:pt idx="6">
                  <c:v>1.8809241911386014</c:v>
                </c:pt>
                <c:pt idx="7">
                  <c:v>2.0406596695066139</c:v>
                </c:pt>
                <c:pt idx="8">
                  <c:v>2.2105213262251886</c:v>
                </c:pt>
                <c:pt idx="9">
                  <c:v>2.3905730776326992</c:v>
                </c:pt>
                <c:pt idx="10">
                  <c:v>2.5807789875967302</c:v>
                </c:pt>
                <c:pt idx="11">
                  <c:v>2.7809919870885791</c:v>
                </c:pt>
                <c:pt idx="12">
                  <c:v>2.9909441293260719</c:v>
                </c:pt>
                <c:pt idx="13">
                  <c:v>3.210239009482029</c:v>
                </c:pt>
                <c:pt idx="14">
                  <c:v>3.4383469712121877</c:v>
                </c:pt>
                <c:pt idx="15">
                  <c:v>3.6746036706086374</c:v>
                </c:pt>
                <c:pt idx="16">
                  <c:v>3.9182124670667529</c:v>
                </c:pt>
                <c:pt idx="17">
                  <c:v>4.1682509598271187</c:v>
                </c:pt>
                <c:pt idx="18">
                  <c:v>4.4236817939213369</c:v>
                </c:pt>
                <c:pt idx="19">
                  <c:v>4.6833676310464165</c:v>
                </c:pt>
                <c:pt idx="20">
                  <c:v>4.9460899360356221</c:v>
                </c:pt>
                <c:pt idx="21">
                  <c:v>5.2105709886082918</c:v>
                </c:pt>
                <c:pt idx="22">
                  <c:v>5.4754983152721683</c:v>
                </c:pt>
                <c:pt idx="23">
                  <c:v>5.7395505689179203</c:v>
                </c:pt>
                <c:pt idx="24">
                  <c:v>6.0014237811690876</c:v>
                </c:pt>
                <c:pt idx="25">
                  <c:v>6.2598568858855179</c:v>
                </c:pt>
                <c:pt idx="26">
                  <c:v>6.5136554642507418</c:v>
                </c:pt>
                <c:pt idx="27">
                  <c:v>6.7617127869849076</c:v>
                </c:pt>
                <c:pt idx="28">
                  <c:v>7.0030274141415711</c:v>
                </c:pt>
                <c:pt idx="29">
                  <c:v>7.2367168387078262</c:v>
                </c:pt>
                <c:pt idx="30">
                  <c:v>7.4620269048839418</c:v>
                </c:pt>
                <c:pt idx="31">
                  <c:v>7.6783369734586433</c:v>
                </c:pt>
                <c:pt idx="32">
                  <c:v>7.885161025689734</c:v>
                </c:pt>
                <c:pt idx="33">
                  <c:v>8.0821450786721982</c:v>
                </c:pt>
                <c:pt idx="34">
                  <c:v>8.269061420082755</c:v>
                </c:pt>
                <c:pt idx="35">
                  <c:v>8.4458002549753921</c:v>
                </c:pt>
                <c:pt idx="36">
                  <c:v>8.6123593936774459</c:v>
                </c:pt>
                <c:pt idx="37">
                  <c:v>8.7688326035218953</c:v>
                </c:pt>
                <c:pt idx="38">
                  <c:v>8.9153972064730294</c:v>
                </c:pt>
                <c:pt idx="39">
                  <c:v>9.0523014391785157</c:v>
                </c:pt>
                <c:pt idx="40">
                  <c:v>9.1798520111133559</c:v>
                </c:pt>
                <c:pt idx="41">
                  <c:v>9.2984022088449301</c:v>
                </c:pt>
                <c:pt idx="42">
                  <c:v>9.4083408071224888</c:v>
                </c:pt>
                <c:pt idx="43">
                  <c:v>9.5100819658052025</c:v>
                </c:pt>
                <c:pt idx="44">
                  <c:v>9.6040562191638834</c:v>
                </c:pt>
                <c:pt idx="45">
                  <c:v>9.6907026028174563</c:v>
                </c:pt>
                <c:pt idx="46">
                  <c:v>9.770461914191781</c:v>
                </c:pt>
                <c:pt idx="47">
                  <c:v>9.8437710646273633</c:v>
                </c:pt>
                <c:pt idx="48">
                  <c:v>9.9110584541527533</c:v>
                </c:pt>
                <c:pt idx="49">
                  <c:v>9.9727402821195419</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numCache>
            </c:numRef>
          </c:yVal>
          <c:smooth val="1"/>
          <c:extLst>
            <c:ext xmlns:c16="http://schemas.microsoft.com/office/drawing/2014/chart" uri="{C3380CC4-5D6E-409C-BE32-E72D297353CC}">
              <c16:uniqueId val="{00000000-E032-4330-A751-A81B0112F37C}"/>
            </c:ext>
          </c:extLst>
        </c:ser>
        <c:ser>
          <c:idx val="1"/>
          <c:order val="1"/>
          <c:tx>
            <c:v>Score</c:v>
          </c:tx>
          <c:spPr>
            <a:ln w="19050" cap="rnd">
              <a:solidFill>
                <a:schemeClr val="accent2"/>
              </a:solidFill>
              <a:round/>
            </a:ln>
            <a:effectLst/>
          </c:spPr>
          <c:marker>
            <c:symbol val="circle"/>
            <c:size val="7"/>
            <c:spPr>
              <a:solidFill>
                <a:schemeClr val="accent2"/>
              </a:solidFill>
              <a:ln w="19050">
                <a:noFill/>
              </a:ln>
              <a:effectLst/>
            </c:spPr>
          </c:marker>
          <c:xVal>
            <c:numRef>
              <c:f>'F2 Crash Frequency'!$B$9</c:f>
              <c:numCache>
                <c:formatCode>General</c:formatCode>
                <c:ptCount val="1"/>
              </c:numCache>
            </c:numRef>
          </c:xVal>
          <c:yVal>
            <c:numRef>
              <c:f>'F2 Crash Frequency'!$C$9</c:f>
              <c:numCache>
                <c:formatCode>0.00</c:formatCode>
                <c:ptCount val="1"/>
                <c:pt idx="0">
                  <c:v>0</c:v>
                </c:pt>
              </c:numCache>
            </c:numRef>
          </c:yVal>
          <c:smooth val="1"/>
          <c:extLst>
            <c:ext xmlns:c16="http://schemas.microsoft.com/office/drawing/2014/chart" uri="{C3380CC4-5D6E-409C-BE32-E72D297353CC}">
              <c16:uniqueId val="{00000001-E032-4330-A751-A81B0112F37C}"/>
            </c:ext>
          </c:extLst>
        </c:ser>
        <c:dLbls>
          <c:showLegendKey val="0"/>
          <c:showVal val="0"/>
          <c:showCatName val="0"/>
          <c:showSerName val="0"/>
          <c:showPercent val="0"/>
          <c:showBubbleSize val="0"/>
        </c:dLbls>
        <c:axId val="38948640"/>
        <c:axId val="38949600"/>
      </c:scatterChart>
      <c:valAx>
        <c:axId val="38948640"/>
        <c:scaling>
          <c:orientation val="minMax"/>
          <c:max val="3"/>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 of Crash Frequency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49600"/>
        <c:crosses val="autoZero"/>
        <c:crossBetween val="midCat"/>
      </c:valAx>
      <c:valAx>
        <c:axId val="38949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Points Awarded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4864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US"/>
              <a:t>Factor 3 Point Distribution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'Factor 3 Calculations'!$A$84:$A$95</c:f>
              <c:numCache>
                <c:formatCode>General</c:formatCode>
                <c:ptCount val="12"/>
                <c:pt idx="0">
                  <c:v>0</c:v>
                </c:pt>
                <c:pt idx="1">
                  <c:v>0.5</c:v>
                </c:pt>
                <c:pt idx="2">
                  <c:v>1</c:v>
                </c:pt>
                <c:pt idx="3">
                  <c:v>2</c:v>
                </c:pt>
                <c:pt idx="4">
                  <c:v>3</c:v>
                </c:pt>
                <c:pt idx="5">
                  <c:v>4</c:v>
                </c:pt>
                <c:pt idx="6">
                  <c:v>5</c:v>
                </c:pt>
                <c:pt idx="7">
                  <c:v>6</c:v>
                </c:pt>
                <c:pt idx="8">
                  <c:v>7</c:v>
                </c:pt>
                <c:pt idx="9">
                  <c:v>8</c:v>
                </c:pt>
                <c:pt idx="10">
                  <c:v>9</c:v>
                </c:pt>
                <c:pt idx="11">
                  <c:v>10</c:v>
                </c:pt>
              </c:numCache>
            </c:numRef>
          </c:xVal>
          <c:yVal>
            <c:numRef>
              <c:f>'Factor 3 Calculations'!$B$84:$B$95</c:f>
              <c:numCache>
                <c:formatCode>General</c:formatCode>
                <c:ptCount val="12"/>
                <c:pt idx="0">
                  <c:v>0</c:v>
                </c:pt>
                <c:pt idx="1">
                  <c:v>0</c:v>
                </c:pt>
                <c:pt idx="2">
                  <c:v>0</c:v>
                </c:pt>
                <c:pt idx="3">
                  <c:v>7</c:v>
                </c:pt>
                <c:pt idx="4">
                  <c:v>14</c:v>
                </c:pt>
                <c:pt idx="5">
                  <c:v>21</c:v>
                </c:pt>
                <c:pt idx="6">
                  <c:v>28</c:v>
                </c:pt>
                <c:pt idx="7">
                  <c:v>35</c:v>
                </c:pt>
                <c:pt idx="8">
                  <c:v>35</c:v>
                </c:pt>
                <c:pt idx="9">
                  <c:v>35</c:v>
                </c:pt>
                <c:pt idx="10">
                  <c:v>35</c:v>
                </c:pt>
                <c:pt idx="11">
                  <c:v>35</c:v>
                </c:pt>
              </c:numCache>
            </c:numRef>
          </c:yVal>
          <c:smooth val="0"/>
          <c:extLst>
            <c:ext xmlns:c16="http://schemas.microsoft.com/office/drawing/2014/chart" uri="{C3380CC4-5D6E-409C-BE32-E72D297353CC}">
              <c16:uniqueId val="{00000000-1051-4890-811D-F5A69F3B82C7}"/>
            </c:ext>
          </c:extLst>
        </c:ser>
        <c:ser>
          <c:idx val="1"/>
          <c:order val="1"/>
          <c:tx>
            <c:v>Score</c:v>
          </c:tx>
          <c:spPr>
            <a:ln w="53975" cap="rnd">
              <a:solidFill>
                <a:schemeClr val="accent2"/>
              </a:solidFill>
              <a:round/>
            </a:ln>
            <a:effectLst/>
          </c:spPr>
          <c:marker>
            <c:symbol val="circle"/>
            <c:size val="7"/>
            <c:spPr>
              <a:solidFill>
                <a:schemeClr val="accent2"/>
              </a:solidFill>
              <a:ln w="76200" cap="sq" cmpd="sng">
                <a:noFill/>
                <a:round/>
              </a:ln>
              <a:effectLst/>
            </c:spPr>
          </c:marker>
          <c:dPt>
            <c:idx val="0"/>
            <c:marker>
              <c:symbol val="circle"/>
              <c:size val="7"/>
              <c:spPr>
                <a:solidFill>
                  <a:schemeClr val="accent2"/>
                </a:solidFill>
                <a:ln w="25400" cap="sq" cmpd="sng">
                  <a:noFill/>
                  <a:round/>
                </a:ln>
                <a:effectLst/>
              </c:spPr>
            </c:marker>
            <c:bubble3D val="0"/>
            <c:extLst>
              <c:ext xmlns:c16="http://schemas.microsoft.com/office/drawing/2014/chart" uri="{C3380CC4-5D6E-409C-BE32-E72D297353CC}">
                <c16:uniqueId val="{00000002-1051-4890-811D-F5A69F3B82C7}"/>
              </c:ext>
            </c:extLst>
          </c:dPt>
          <c:xVal>
            <c:numRef>
              <c:f>'F3 Cost Effectiveness'!$L$23:$N$23</c:f>
              <c:numCache>
                <c:formatCode>General</c:formatCode>
                <c:ptCount val="3"/>
                <c:pt idx="0" formatCode="0.00">
                  <c:v>0</c:v>
                </c:pt>
              </c:numCache>
            </c:numRef>
          </c:xVal>
          <c:yVal>
            <c:numRef>
              <c:f>'F3 Cost Effectiveness'!$L$26</c:f>
              <c:numCache>
                <c:formatCode>0.00</c:formatCode>
                <c:ptCount val="1"/>
                <c:pt idx="0">
                  <c:v>0</c:v>
                </c:pt>
              </c:numCache>
            </c:numRef>
          </c:yVal>
          <c:smooth val="0"/>
          <c:extLst>
            <c:ext xmlns:c16="http://schemas.microsoft.com/office/drawing/2014/chart" uri="{C3380CC4-5D6E-409C-BE32-E72D297353CC}">
              <c16:uniqueId val="{00000001-1051-4890-811D-F5A69F3B82C7}"/>
            </c:ext>
          </c:extLst>
        </c:ser>
        <c:dLbls>
          <c:showLegendKey val="0"/>
          <c:showVal val="0"/>
          <c:showCatName val="0"/>
          <c:showSerName val="0"/>
          <c:showPercent val="0"/>
          <c:showBubbleSize val="0"/>
        </c:dLbls>
        <c:axId val="1853589567"/>
        <c:axId val="1875590335"/>
      </c:scatterChart>
      <c:valAx>
        <c:axId val="1853589567"/>
        <c:scaling>
          <c:orientation val="minMax"/>
          <c:max val="10.1"/>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US"/>
                  <a:t>B/C Ratio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875590335"/>
        <c:crosses val="autoZero"/>
        <c:crossBetween val="midCat"/>
      </c:valAx>
      <c:valAx>
        <c:axId val="18755903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US"/>
                  <a:t>Points Awarded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85358956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Factor</a:t>
            </a:r>
            <a:r>
              <a:rPr lang="en-US" baseline="0"/>
              <a:t> 6 Point Distribution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'Factor 6 Calculations'!$K$4:$K$41</c:f>
              <c:numCache>
                <c:formatCode>"$"#,##0</c:formatCode>
                <c:ptCount val="38"/>
                <c:pt idx="0">
                  <c:v>5000</c:v>
                </c:pt>
                <c:pt idx="1">
                  <c:v>7000</c:v>
                </c:pt>
                <c:pt idx="2">
                  <c:v>9000</c:v>
                </c:pt>
                <c:pt idx="3">
                  <c:v>11000</c:v>
                </c:pt>
                <c:pt idx="4">
                  <c:v>13000</c:v>
                </c:pt>
                <c:pt idx="5">
                  <c:v>15000</c:v>
                </c:pt>
                <c:pt idx="6">
                  <c:v>17000</c:v>
                </c:pt>
                <c:pt idx="7">
                  <c:v>19000</c:v>
                </c:pt>
                <c:pt idx="8">
                  <c:v>21000</c:v>
                </c:pt>
                <c:pt idx="9">
                  <c:v>23000</c:v>
                </c:pt>
                <c:pt idx="10">
                  <c:v>25000</c:v>
                </c:pt>
                <c:pt idx="11">
                  <c:v>27000</c:v>
                </c:pt>
                <c:pt idx="12">
                  <c:v>29000</c:v>
                </c:pt>
                <c:pt idx="13">
                  <c:v>31000</c:v>
                </c:pt>
                <c:pt idx="14">
                  <c:v>33000</c:v>
                </c:pt>
                <c:pt idx="15">
                  <c:v>35000</c:v>
                </c:pt>
                <c:pt idx="16">
                  <c:v>37000</c:v>
                </c:pt>
                <c:pt idx="17">
                  <c:v>39000</c:v>
                </c:pt>
                <c:pt idx="18">
                  <c:v>41000</c:v>
                </c:pt>
                <c:pt idx="19">
                  <c:v>43000</c:v>
                </c:pt>
                <c:pt idx="20">
                  <c:v>45000</c:v>
                </c:pt>
                <c:pt idx="21">
                  <c:v>47000</c:v>
                </c:pt>
                <c:pt idx="22">
                  <c:v>49000</c:v>
                </c:pt>
                <c:pt idx="23">
                  <c:v>51000</c:v>
                </c:pt>
                <c:pt idx="24">
                  <c:v>53000</c:v>
                </c:pt>
                <c:pt idx="25">
                  <c:v>55000</c:v>
                </c:pt>
                <c:pt idx="26">
                  <c:v>57000</c:v>
                </c:pt>
                <c:pt idx="27">
                  <c:v>59000</c:v>
                </c:pt>
                <c:pt idx="28">
                  <c:v>61000</c:v>
                </c:pt>
                <c:pt idx="29">
                  <c:v>63000</c:v>
                </c:pt>
                <c:pt idx="30">
                  <c:v>65000</c:v>
                </c:pt>
                <c:pt idx="31">
                  <c:v>67000</c:v>
                </c:pt>
                <c:pt idx="32">
                  <c:v>69000</c:v>
                </c:pt>
                <c:pt idx="33">
                  <c:v>71000</c:v>
                </c:pt>
                <c:pt idx="34">
                  <c:v>73000</c:v>
                </c:pt>
                <c:pt idx="35">
                  <c:v>80000</c:v>
                </c:pt>
                <c:pt idx="36">
                  <c:v>100000</c:v>
                </c:pt>
                <c:pt idx="37">
                  <c:v>120000</c:v>
                </c:pt>
              </c:numCache>
            </c:numRef>
          </c:xVal>
          <c:yVal>
            <c:numRef>
              <c:f>'Factor 6 Calculations'!$L$4:$L$41</c:f>
              <c:numCache>
                <c:formatCode>General</c:formatCode>
                <c:ptCount val="38"/>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6.9999879999999992</c:v>
                </c:pt>
                <c:pt idx="15">
                  <c:v>6.5882239999999994</c:v>
                </c:pt>
                <c:pt idx="16">
                  <c:v>6.1764599999999996</c:v>
                </c:pt>
                <c:pt idx="17">
                  <c:v>5.7646959999999989</c:v>
                </c:pt>
                <c:pt idx="18">
                  <c:v>5.3529319999999991</c:v>
                </c:pt>
                <c:pt idx="19">
                  <c:v>4.9411679999999993</c:v>
                </c:pt>
                <c:pt idx="20">
                  <c:v>4.5294039999999995</c:v>
                </c:pt>
                <c:pt idx="21">
                  <c:v>4.1176399999999997</c:v>
                </c:pt>
                <c:pt idx="22">
                  <c:v>3.7058759999999999</c:v>
                </c:pt>
                <c:pt idx="23">
                  <c:v>3.2941119999999984</c:v>
                </c:pt>
                <c:pt idx="24">
                  <c:v>2.8823479999999986</c:v>
                </c:pt>
                <c:pt idx="25">
                  <c:v>2.4705839999999988</c:v>
                </c:pt>
                <c:pt idx="26">
                  <c:v>2.058819999999999</c:v>
                </c:pt>
                <c:pt idx="27">
                  <c:v>1.6470559999999992</c:v>
                </c:pt>
                <c:pt idx="28">
                  <c:v>1.2352919999999994</c:v>
                </c:pt>
                <c:pt idx="29">
                  <c:v>0.82352799999999959</c:v>
                </c:pt>
                <c:pt idx="30">
                  <c:v>0.4117639999999998</c:v>
                </c:pt>
                <c:pt idx="31">
                  <c:v>0</c:v>
                </c:pt>
                <c:pt idx="32">
                  <c:v>0</c:v>
                </c:pt>
                <c:pt idx="33">
                  <c:v>0</c:v>
                </c:pt>
                <c:pt idx="34">
                  <c:v>0</c:v>
                </c:pt>
                <c:pt idx="35">
                  <c:v>0</c:v>
                </c:pt>
                <c:pt idx="36">
                  <c:v>0</c:v>
                </c:pt>
                <c:pt idx="37">
                  <c:v>0</c:v>
                </c:pt>
              </c:numCache>
            </c:numRef>
          </c:yVal>
          <c:smooth val="0"/>
          <c:extLst>
            <c:ext xmlns:c16="http://schemas.microsoft.com/office/drawing/2014/chart" uri="{C3380CC4-5D6E-409C-BE32-E72D297353CC}">
              <c16:uniqueId val="{00000000-065F-43E1-96AD-1DD723EDFFE4}"/>
            </c:ext>
          </c:extLst>
        </c:ser>
        <c:ser>
          <c:idx val="1"/>
          <c:order val="1"/>
          <c:tx>
            <c:v>Point</c:v>
          </c:tx>
          <c:spPr>
            <a:ln w="19050" cap="rnd">
              <a:solidFill>
                <a:schemeClr val="accent2"/>
              </a:solidFill>
              <a:round/>
            </a:ln>
            <a:effectLst/>
          </c:spPr>
          <c:marker>
            <c:symbol val="circle"/>
            <c:size val="7"/>
            <c:spPr>
              <a:solidFill>
                <a:schemeClr val="accent2"/>
              </a:solidFill>
              <a:ln w="0">
                <a:solidFill>
                  <a:schemeClr val="accent2"/>
                </a:solidFill>
              </a:ln>
              <a:effectLst/>
            </c:spPr>
          </c:marker>
          <c:xVal>
            <c:numRef>
              <c:f>'Factor 6 Calculations'!$B$4</c:f>
              <c:numCache>
                <c:formatCode>"$"#,##0.00</c:formatCode>
                <c:ptCount val="1"/>
                <c:pt idx="0">
                  <c:v>#N/A</c:v>
                </c:pt>
              </c:numCache>
            </c:numRef>
          </c:xVal>
          <c:yVal>
            <c:numRef>
              <c:f>'F6 Economic Factors'!$D$9:$D$12</c:f>
              <c:numCache>
                <c:formatCode>0.00</c:formatCode>
                <c:ptCount val="4"/>
                <c:pt idx="0">
                  <c:v>0</c:v>
                </c:pt>
              </c:numCache>
            </c:numRef>
          </c:yVal>
          <c:smooth val="0"/>
          <c:extLst>
            <c:ext xmlns:c16="http://schemas.microsoft.com/office/drawing/2014/chart" uri="{C3380CC4-5D6E-409C-BE32-E72D297353CC}">
              <c16:uniqueId val="{00000001-065F-43E1-96AD-1DD723EDFFE4}"/>
            </c:ext>
          </c:extLst>
        </c:ser>
        <c:dLbls>
          <c:showLegendKey val="0"/>
          <c:showVal val="0"/>
          <c:showCatName val="0"/>
          <c:showSerName val="0"/>
          <c:showPercent val="0"/>
          <c:showBubbleSize val="0"/>
        </c:dLbls>
        <c:axId val="11772479"/>
        <c:axId val="11772959"/>
      </c:scatterChart>
      <c:valAx>
        <c:axId val="11772479"/>
        <c:scaling>
          <c:orientation val="minMax"/>
          <c:max val="8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Median</a:t>
                </a:r>
                <a:r>
                  <a:rPr lang="en-US" baseline="0"/>
                  <a:t> Household Income</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72959"/>
        <c:crosses val="autoZero"/>
        <c:crossBetween val="midCat"/>
      </c:valAx>
      <c:valAx>
        <c:axId val="11772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Points Awarded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7247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xVal>
            <c:numRef>
              <c:f>'Factor 6 Calculations'!$K$4:$K$38</c:f>
              <c:numCache>
                <c:formatCode>"$"#,##0</c:formatCode>
                <c:ptCount val="35"/>
                <c:pt idx="0">
                  <c:v>5000</c:v>
                </c:pt>
                <c:pt idx="1">
                  <c:v>7000</c:v>
                </c:pt>
                <c:pt idx="2">
                  <c:v>9000</c:v>
                </c:pt>
                <c:pt idx="3">
                  <c:v>11000</c:v>
                </c:pt>
                <c:pt idx="4">
                  <c:v>13000</c:v>
                </c:pt>
                <c:pt idx="5">
                  <c:v>15000</c:v>
                </c:pt>
                <c:pt idx="6">
                  <c:v>17000</c:v>
                </c:pt>
                <c:pt idx="7">
                  <c:v>19000</c:v>
                </c:pt>
                <c:pt idx="8">
                  <c:v>21000</c:v>
                </c:pt>
                <c:pt idx="9">
                  <c:v>23000</c:v>
                </c:pt>
                <c:pt idx="10">
                  <c:v>25000</c:v>
                </c:pt>
                <c:pt idx="11">
                  <c:v>27000</c:v>
                </c:pt>
                <c:pt idx="12">
                  <c:v>29000</c:v>
                </c:pt>
                <c:pt idx="13">
                  <c:v>31000</c:v>
                </c:pt>
                <c:pt idx="14">
                  <c:v>33000</c:v>
                </c:pt>
                <c:pt idx="15">
                  <c:v>35000</c:v>
                </c:pt>
                <c:pt idx="16">
                  <c:v>37000</c:v>
                </c:pt>
                <c:pt idx="17">
                  <c:v>39000</c:v>
                </c:pt>
                <c:pt idx="18">
                  <c:v>41000</c:v>
                </c:pt>
                <c:pt idx="19">
                  <c:v>43000</c:v>
                </c:pt>
                <c:pt idx="20">
                  <c:v>45000</c:v>
                </c:pt>
                <c:pt idx="21">
                  <c:v>47000</c:v>
                </c:pt>
                <c:pt idx="22">
                  <c:v>49000</c:v>
                </c:pt>
                <c:pt idx="23">
                  <c:v>51000</c:v>
                </c:pt>
                <c:pt idx="24">
                  <c:v>53000</c:v>
                </c:pt>
                <c:pt idx="25">
                  <c:v>55000</c:v>
                </c:pt>
                <c:pt idx="26">
                  <c:v>57000</c:v>
                </c:pt>
                <c:pt idx="27">
                  <c:v>59000</c:v>
                </c:pt>
                <c:pt idx="28">
                  <c:v>61000</c:v>
                </c:pt>
                <c:pt idx="29">
                  <c:v>63000</c:v>
                </c:pt>
                <c:pt idx="30">
                  <c:v>65000</c:v>
                </c:pt>
                <c:pt idx="31">
                  <c:v>67000</c:v>
                </c:pt>
                <c:pt idx="32">
                  <c:v>69000</c:v>
                </c:pt>
                <c:pt idx="33">
                  <c:v>71000</c:v>
                </c:pt>
                <c:pt idx="34">
                  <c:v>73000</c:v>
                </c:pt>
              </c:numCache>
            </c:numRef>
          </c:xVal>
          <c:yVal>
            <c:numRef>
              <c:f>'Factor 6 Calculations'!$L$4:$L$38</c:f>
              <c:numCache>
                <c:formatCode>General</c:formatCode>
                <c:ptCount val="35"/>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6.9999879999999992</c:v>
                </c:pt>
                <c:pt idx="15">
                  <c:v>6.5882239999999994</c:v>
                </c:pt>
                <c:pt idx="16">
                  <c:v>6.1764599999999996</c:v>
                </c:pt>
                <c:pt idx="17">
                  <c:v>5.7646959999999989</c:v>
                </c:pt>
                <c:pt idx="18">
                  <c:v>5.3529319999999991</c:v>
                </c:pt>
                <c:pt idx="19">
                  <c:v>4.9411679999999993</c:v>
                </c:pt>
                <c:pt idx="20">
                  <c:v>4.5294039999999995</c:v>
                </c:pt>
                <c:pt idx="21">
                  <c:v>4.1176399999999997</c:v>
                </c:pt>
                <c:pt idx="22">
                  <c:v>3.7058759999999999</c:v>
                </c:pt>
                <c:pt idx="23">
                  <c:v>3.2941119999999984</c:v>
                </c:pt>
                <c:pt idx="24">
                  <c:v>2.8823479999999986</c:v>
                </c:pt>
                <c:pt idx="25">
                  <c:v>2.4705839999999988</c:v>
                </c:pt>
                <c:pt idx="26">
                  <c:v>2.058819999999999</c:v>
                </c:pt>
                <c:pt idx="27">
                  <c:v>1.6470559999999992</c:v>
                </c:pt>
                <c:pt idx="28">
                  <c:v>1.2352919999999994</c:v>
                </c:pt>
                <c:pt idx="29">
                  <c:v>0.82352799999999959</c:v>
                </c:pt>
                <c:pt idx="30">
                  <c:v>0.4117639999999998</c:v>
                </c:pt>
                <c:pt idx="31">
                  <c:v>0</c:v>
                </c:pt>
                <c:pt idx="32">
                  <c:v>0</c:v>
                </c:pt>
                <c:pt idx="33">
                  <c:v>0</c:v>
                </c:pt>
                <c:pt idx="34">
                  <c:v>0</c:v>
                </c:pt>
              </c:numCache>
            </c:numRef>
          </c:yVal>
          <c:smooth val="0"/>
          <c:extLst>
            <c:ext xmlns:c16="http://schemas.microsoft.com/office/drawing/2014/chart" uri="{C3380CC4-5D6E-409C-BE32-E72D297353CC}">
              <c16:uniqueId val="{00000000-A353-4E63-8E71-A8C0383C62C1}"/>
            </c:ext>
          </c:extLst>
        </c:ser>
        <c:dLbls>
          <c:showLegendKey val="0"/>
          <c:showVal val="0"/>
          <c:showCatName val="0"/>
          <c:showSerName val="0"/>
          <c:showPercent val="0"/>
          <c:showBubbleSize val="0"/>
        </c:dLbls>
        <c:axId val="1291830608"/>
        <c:axId val="1291828208"/>
      </c:scatterChart>
      <c:valAx>
        <c:axId val="1291830608"/>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1828208"/>
        <c:crosses val="autoZero"/>
        <c:crossBetween val="midCat"/>
      </c:valAx>
      <c:valAx>
        <c:axId val="1291828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183060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309562</xdr:colOff>
      <xdr:row>6</xdr:row>
      <xdr:rowOff>185737</xdr:rowOff>
    </xdr:from>
    <xdr:to>
      <xdr:col>12</xdr:col>
      <xdr:colOff>309562</xdr:colOff>
      <xdr:row>20</xdr:row>
      <xdr:rowOff>138112</xdr:rowOff>
    </xdr:to>
    <xdr:graphicFrame macro="">
      <xdr:nvGraphicFramePr>
        <xdr:cNvPr id="2" name="Chart 1">
          <a:extLst>
            <a:ext uri="{FF2B5EF4-FFF2-40B4-BE49-F238E27FC236}">
              <a16:creationId xmlns:a16="http://schemas.microsoft.com/office/drawing/2014/main" id="{0A9F23B7-737E-13F0-6C56-38FE02D259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219075</xdr:colOff>
      <xdr:row>21</xdr:row>
      <xdr:rowOff>47625</xdr:rowOff>
    </xdr:from>
    <xdr:ext cx="3317831" cy="46993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243F462F-A6F6-4EBF-98B7-B5DA7840CB67}"/>
                </a:ext>
              </a:extLst>
            </xdr:cNvPr>
            <xdr:cNvSpPr txBox="1"/>
          </xdr:nvSpPr>
          <xdr:spPr>
            <a:xfrm>
              <a:off x="6238875" y="4943475"/>
              <a:ext cx="3317831" cy="46993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𝑃𝑜𝑖𝑛𝑡𝑠</m:t>
                    </m:r>
                    <m:r>
                      <a:rPr lang="en-US" sz="1600" b="0" i="1">
                        <a:latin typeface="Cambria Math" panose="02040503050406030204" pitchFamily="18" charset="0"/>
                      </a:rPr>
                      <m:t> </m:t>
                    </m:r>
                    <m:r>
                      <a:rPr lang="en-US" sz="1600" b="0" i="1">
                        <a:latin typeface="Cambria Math" panose="02040503050406030204" pitchFamily="18" charset="0"/>
                      </a:rPr>
                      <m:t>𝐴𝑤𝑎𝑟𝑑𝑒𝑑</m:t>
                    </m:r>
                    <m:r>
                      <a:rPr lang="en-US" sz="1600" b="0" i="1">
                        <a:latin typeface="Cambria Math" panose="02040503050406030204" pitchFamily="18" charset="0"/>
                      </a:rPr>
                      <m:t>=</m:t>
                    </m:r>
                    <m:f>
                      <m:fPr>
                        <m:ctrlPr>
                          <a:rPr lang="en-US" sz="1600" b="0" i="1">
                            <a:latin typeface="Cambria Math" panose="02040503050406030204" pitchFamily="18" charset="0"/>
                          </a:rPr>
                        </m:ctrlPr>
                      </m:fPr>
                      <m:num>
                        <m:r>
                          <a:rPr lang="en-US" sz="1600" b="0" i="1">
                            <a:latin typeface="Cambria Math" panose="02040503050406030204" pitchFamily="18" charset="0"/>
                          </a:rPr>
                          <m:t>42</m:t>
                        </m:r>
                      </m:num>
                      <m:den>
                        <m:r>
                          <a:rPr lang="en-US" sz="1600" b="0" i="1">
                            <a:latin typeface="Cambria Math" panose="02040503050406030204" pitchFamily="18" charset="0"/>
                          </a:rPr>
                          <m:t>1+</m:t>
                        </m:r>
                        <m:sSup>
                          <m:sSupPr>
                            <m:ctrlPr>
                              <a:rPr lang="en-US" sz="1600" b="0" i="1">
                                <a:latin typeface="Cambria Math" panose="02040503050406030204" pitchFamily="18" charset="0"/>
                              </a:rPr>
                            </m:ctrlPr>
                          </m:sSupPr>
                          <m:e>
                            <m:r>
                              <a:rPr lang="en-US" sz="1600" b="0" i="1">
                                <a:latin typeface="Cambria Math" panose="02040503050406030204" pitchFamily="18" charset="0"/>
                              </a:rPr>
                              <m:t>𝑒</m:t>
                            </m:r>
                          </m:e>
                          <m:sup>
                            <m:r>
                              <a:rPr lang="en-US" sz="1600" b="0" i="1">
                                <a:latin typeface="Cambria Math" panose="02040503050406030204" pitchFamily="18" charset="0"/>
                              </a:rPr>
                              <m:t>−3∗(</m:t>
                            </m:r>
                            <m:r>
                              <a:rPr lang="en-US" sz="1600" b="0" i="1">
                                <a:latin typeface="Cambria Math" panose="02040503050406030204" pitchFamily="18" charset="0"/>
                              </a:rPr>
                              <m:t>𝐼𝐶𝐶</m:t>
                            </m:r>
                            <m:r>
                              <a:rPr lang="en-US" sz="1600" b="0" i="1">
                                <a:latin typeface="Cambria Math" panose="02040503050406030204" pitchFamily="18" charset="0"/>
                              </a:rPr>
                              <m:t>−1.06)</m:t>
                            </m:r>
                          </m:sup>
                        </m:sSup>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243F462F-A6F6-4EBF-98B7-B5DA7840CB67}"/>
                </a:ext>
              </a:extLst>
            </xdr:cNvPr>
            <xdr:cNvSpPr txBox="1"/>
          </xdr:nvSpPr>
          <xdr:spPr>
            <a:xfrm>
              <a:off x="6238875" y="4943475"/>
              <a:ext cx="3317831" cy="46993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𝑃𝑜𝑖𝑛𝑡𝑠 𝐴𝑤𝑎𝑟𝑑𝑒𝑑=42/(1+𝑒^(−3∗(𝐼𝐶𝐶−1.06)) )</a:t>
              </a:r>
              <a:endParaRPr lang="en-US"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3</xdr:col>
      <xdr:colOff>228600</xdr:colOff>
      <xdr:row>7</xdr:row>
      <xdr:rowOff>4761</xdr:rowOff>
    </xdr:from>
    <xdr:to>
      <xdr:col>12</xdr:col>
      <xdr:colOff>228600</xdr:colOff>
      <xdr:row>20</xdr:row>
      <xdr:rowOff>119061</xdr:rowOff>
    </xdr:to>
    <xdr:graphicFrame macro="">
      <xdr:nvGraphicFramePr>
        <xdr:cNvPr id="4" name="Chart 1">
          <a:extLst>
            <a:ext uri="{FF2B5EF4-FFF2-40B4-BE49-F238E27FC236}">
              <a16:creationId xmlns:a16="http://schemas.microsoft.com/office/drawing/2014/main" id="{A5142E46-42FE-FD05-28C5-4E97373434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80962</xdr:colOff>
      <xdr:row>21</xdr:row>
      <xdr:rowOff>185737</xdr:rowOff>
    </xdr:from>
    <xdr:ext cx="3317831" cy="4708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A743ED1A-663F-9DFA-7296-140046B02BED}"/>
                </a:ext>
              </a:extLst>
            </xdr:cNvPr>
            <xdr:cNvSpPr txBox="1"/>
          </xdr:nvSpPr>
          <xdr:spPr>
            <a:xfrm>
              <a:off x="6234112" y="4348162"/>
              <a:ext cx="3317831" cy="47083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𝑃𝑜𝑖𝑛𝑡𝑠</m:t>
                    </m:r>
                    <m:r>
                      <a:rPr lang="en-US" sz="1600" b="0" i="1">
                        <a:latin typeface="Cambria Math" panose="02040503050406030204" pitchFamily="18" charset="0"/>
                      </a:rPr>
                      <m:t> </m:t>
                    </m:r>
                    <m:r>
                      <a:rPr lang="en-US" sz="1600" b="0" i="1">
                        <a:latin typeface="Cambria Math" panose="02040503050406030204" pitchFamily="18" charset="0"/>
                      </a:rPr>
                      <m:t>𝐴𝑤𝑎𝑟𝑑𝑒𝑑</m:t>
                    </m:r>
                    <m:r>
                      <a:rPr lang="en-US" sz="1600" b="0" i="1">
                        <a:latin typeface="Cambria Math" panose="02040503050406030204" pitchFamily="18" charset="0"/>
                      </a:rPr>
                      <m:t>=</m:t>
                    </m:r>
                    <m:f>
                      <m:fPr>
                        <m:ctrlPr>
                          <a:rPr lang="en-US" sz="1600" b="0" i="1">
                            <a:latin typeface="Cambria Math" panose="02040503050406030204" pitchFamily="18" charset="0"/>
                          </a:rPr>
                        </m:ctrlPr>
                      </m:fPr>
                      <m:num>
                        <m:r>
                          <a:rPr lang="en-US" sz="1600" b="0" i="1">
                            <a:latin typeface="Cambria Math" panose="02040503050406030204" pitchFamily="18" charset="0"/>
                          </a:rPr>
                          <m:t>10.6</m:t>
                        </m:r>
                      </m:num>
                      <m:den>
                        <m:r>
                          <a:rPr lang="en-US" sz="1600" b="0" i="1">
                            <a:latin typeface="Cambria Math" panose="02040503050406030204" pitchFamily="18" charset="0"/>
                          </a:rPr>
                          <m:t>1+</m:t>
                        </m:r>
                        <m:sSup>
                          <m:sSupPr>
                            <m:ctrlPr>
                              <a:rPr lang="en-US" sz="1600" b="0" i="1">
                                <a:latin typeface="Cambria Math" panose="02040503050406030204" pitchFamily="18" charset="0"/>
                              </a:rPr>
                            </m:ctrlPr>
                          </m:sSupPr>
                          <m:e>
                            <m:r>
                              <a:rPr lang="en-US" sz="1600" b="0" i="1">
                                <a:latin typeface="Cambria Math" panose="02040503050406030204" pitchFamily="18" charset="0"/>
                              </a:rPr>
                              <m:t>𝑒</m:t>
                            </m:r>
                          </m:e>
                          <m:sup>
                            <m:r>
                              <a:rPr lang="en-US" sz="1600" b="0" i="1">
                                <a:latin typeface="Cambria Math" panose="02040503050406030204" pitchFamily="18" charset="0"/>
                              </a:rPr>
                              <m:t>−2∗(</m:t>
                            </m:r>
                            <m:r>
                              <a:rPr lang="en-US" sz="1600" b="0" i="1">
                                <a:latin typeface="Cambria Math" panose="02040503050406030204" pitchFamily="18" charset="0"/>
                              </a:rPr>
                              <m:t>𝐼𝐶𝐹</m:t>
                            </m:r>
                            <m:r>
                              <a:rPr lang="en-US" sz="1600" b="0" i="1">
                                <a:latin typeface="Cambria Math" panose="02040503050406030204" pitchFamily="18" charset="0"/>
                              </a:rPr>
                              <m:t>−1.07)</m:t>
                            </m:r>
                          </m:sup>
                        </m:sSup>
                      </m:den>
                    </m:f>
                  </m:oMath>
                </m:oMathPara>
              </a14:m>
              <a:endParaRPr lang="en-US" sz="1100"/>
            </a:p>
          </xdr:txBody>
        </xdr:sp>
      </mc:Choice>
      <mc:Fallback xmlns="">
        <xdr:sp macro="" textlink="">
          <xdr:nvSpPr>
            <xdr:cNvPr id="5" name="TextBox 4">
              <a:extLst>
                <a:ext uri="{FF2B5EF4-FFF2-40B4-BE49-F238E27FC236}">
                  <a16:creationId xmlns:a16="http://schemas.microsoft.com/office/drawing/2014/main" id="{A743ED1A-663F-9DFA-7296-140046B02BED}"/>
                </a:ext>
              </a:extLst>
            </xdr:cNvPr>
            <xdr:cNvSpPr txBox="1"/>
          </xdr:nvSpPr>
          <xdr:spPr>
            <a:xfrm>
              <a:off x="6234112" y="4348162"/>
              <a:ext cx="3317831" cy="47083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𝑃𝑜𝑖𝑛𝑡𝑠 𝐴𝑤𝑎𝑟𝑑𝑒𝑑=10.6/(1+𝑒^(−2∗(𝐼𝐶𝐹−1.07)) )</a:t>
              </a:r>
              <a:endParaRPr lang="en-US"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4</xdr:col>
      <xdr:colOff>171450</xdr:colOff>
      <xdr:row>6</xdr:row>
      <xdr:rowOff>438150</xdr:rowOff>
    </xdr:from>
    <xdr:to>
      <xdr:col>10</xdr:col>
      <xdr:colOff>542925</xdr:colOff>
      <xdr:row>20</xdr:row>
      <xdr:rowOff>152400</xdr:rowOff>
    </xdr:to>
    <xdr:graphicFrame macro="">
      <xdr:nvGraphicFramePr>
        <xdr:cNvPr id="2" name="Chart 1">
          <a:extLst>
            <a:ext uri="{FF2B5EF4-FFF2-40B4-BE49-F238E27FC236}">
              <a16:creationId xmlns:a16="http://schemas.microsoft.com/office/drawing/2014/main" id="{4D2D6CA7-7E41-4335-A29D-190D7BDEE9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138607</xdr:colOff>
      <xdr:row>0</xdr:row>
      <xdr:rowOff>0</xdr:rowOff>
    </xdr:from>
    <xdr:to>
      <xdr:col>36</xdr:col>
      <xdr:colOff>604050</xdr:colOff>
      <xdr:row>27</xdr:row>
      <xdr:rowOff>159204</xdr:rowOff>
    </xdr:to>
    <xdr:pic>
      <xdr:nvPicPr>
        <xdr:cNvPr id="3" name="Picture 2">
          <a:extLst>
            <a:ext uri="{FF2B5EF4-FFF2-40B4-BE49-F238E27FC236}">
              <a16:creationId xmlns:a16="http://schemas.microsoft.com/office/drawing/2014/main" id="{0467707E-94EE-B08B-E326-402BBB5EF1B4}"/>
            </a:ext>
          </a:extLst>
        </xdr:cNvPr>
        <xdr:cNvPicPr>
          <a:picLocks noChangeAspect="1"/>
        </xdr:cNvPicPr>
      </xdr:nvPicPr>
      <xdr:blipFill>
        <a:blip xmlns:r="http://schemas.openxmlformats.org/officeDocument/2006/relationships" r:embed="rId1"/>
        <a:stretch>
          <a:fillRect/>
        </a:stretch>
      </xdr:blipFill>
      <xdr:spPr>
        <a:xfrm>
          <a:off x="36265571" y="0"/>
          <a:ext cx="5364015" cy="5334000"/>
        </a:xfrm>
        <a:prstGeom prst="rect">
          <a:avLst/>
        </a:prstGeom>
      </xdr:spPr>
    </xdr:pic>
    <xdr:clientData/>
  </xdr:twoCellAnchor>
  <xdr:twoCellAnchor editAs="oneCell">
    <xdr:from>
      <xdr:col>39</xdr:col>
      <xdr:colOff>326571</xdr:colOff>
      <xdr:row>0</xdr:row>
      <xdr:rowOff>4082</xdr:rowOff>
    </xdr:from>
    <xdr:to>
      <xdr:col>49</xdr:col>
      <xdr:colOff>211523</xdr:colOff>
      <xdr:row>39</xdr:row>
      <xdr:rowOff>16752</xdr:rowOff>
    </xdr:to>
    <xdr:pic>
      <xdr:nvPicPr>
        <xdr:cNvPr id="4" name="Picture 3">
          <a:extLst>
            <a:ext uri="{FF2B5EF4-FFF2-40B4-BE49-F238E27FC236}">
              <a16:creationId xmlns:a16="http://schemas.microsoft.com/office/drawing/2014/main" id="{464D6B41-DFFF-15D9-DCA3-FEC2887A2AF1}"/>
            </a:ext>
          </a:extLst>
        </xdr:cNvPr>
        <xdr:cNvPicPr>
          <a:picLocks noChangeAspect="1"/>
        </xdr:cNvPicPr>
      </xdr:nvPicPr>
      <xdr:blipFill>
        <a:blip xmlns:r="http://schemas.openxmlformats.org/officeDocument/2006/relationships" r:embed="rId2"/>
        <a:stretch>
          <a:fillRect/>
        </a:stretch>
      </xdr:blipFill>
      <xdr:spPr>
        <a:xfrm>
          <a:off x="42018857" y="4082"/>
          <a:ext cx="6008167" cy="7523813"/>
        </a:xfrm>
        <a:prstGeom prst="rect">
          <a:avLst/>
        </a:prstGeom>
      </xdr:spPr>
    </xdr:pic>
    <xdr:clientData/>
  </xdr:twoCellAnchor>
  <xdr:twoCellAnchor editAs="oneCell">
    <xdr:from>
      <xdr:col>41</xdr:col>
      <xdr:colOff>390525</xdr:colOff>
      <xdr:row>39</xdr:row>
      <xdr:rowOff>47625</xdr:rowOff>
    </xdr:from>
    <xdr:to>
      <xdr:col>46</xdr:col>
      <xdr:colOff>494906</xdr:colOff>
      <xdr:row>53</xdr:row>
      <xdr:rowOff>37765</xdr:rowOff>
    </xdr:to>
    <xdr:pic>
      <xdr:nvPicPr>
        <xdr:cNvPr id="6" name="Picture 5">
          <a:extLst>
            <a:ext uri="{FF2B5EF4-FFF2-40B4-BE49-F238E27FC236}">
              <a16:creationId xmlns:a16="http://schemas.microsoft.com/office/drawing/2014/main" id="{101848CC-C64C-5622-1B67-CA13255CC108}"/>
            </a:ext>
          </a:extLst>
        </xdr:cNvPr>
        <xdr:cNvPicPr>
          <a:picLocks noChangeAspect="1"/>
        </xdr:cNvPicPr>
      </xdr:nvPicPr>
      <xdr:blipFill>
        <a:blip xmlns:r="http://schemas.openxmlformats.org/officeDocument/2006/relationships" r:embed="rId3"/>
        <a:stretch>
          <a:fillRect/>
        </a:stretch>
      </xdr:blipFill>
      <xdr:spPr>
        <a:xfrm>
          <a:off x="46062900" y="7534275"/>
          <a:ext cx="3152381" cy="26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361950</xdr:colOff>
      <xdr:row>6</xdr:row>
      <xdr:rowOff>128587</xdr:rowOff>
    </xdr:from>
    <xdr:to>
      <xdr:col>5</xdr:col>
      <xdr:colOff>2400300</xdr:colOff>
      <xdr:row>19</xdr:row>
      <xdr:rowOff>128587</xdr:rowOff>
    </xdr:to>
    <xdr:graphicFrame macro="">
      <xdr:nvGraphicFramePr>
        <xdr:cNvPr id="2" name="Chart 3">
          <a:extLst>
            <a:ext uri="{FF2B5EF4-FFF2-40B4-BE49-F238E27FC236}">
              <a16:creationId xmlns:a16="http://schemas.microsoft.com/office/drawing/2014/main" id="{B694CD92-7F59-DCFB-D5DD-84412D0B01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352425</xdr:colOff>
      <xdr:row>5</xdr:row>
      <xdr:rowOff>119062</xdr:rowOff>
    </xdr:from>
    <xdr:to>
      <xdr:col>20</xdr:col>
      <xdr:colOff>47625</xdr:colOff>
      <xdr:row>20</xdr:row>
      <xdr:rowOff>4762</xdr:rowOff>
    </xdr:to>
    <xdr:graphicFrame macro="">
      <xdr:nvGraphicFramePr>
        <xdr:cNvPr id="2" name="Chart 1">
          <a:extLst>
            <a:ext uri="{FF2B5EF4-FFF2-40B4-BE49-F238E27FC236}">
              <a16:creationId xmlns:a16="http://schemas.microsoft.com/office/drawing/2014/main" id="{6452B6A8-6FFF-374D-E31B-C2F95CE1F6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Equation</v>
  </rv>
  <rv s="0">
    <v>1</v>
    <v>5</v>
    <v>Equation</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B44E81-9F6D-464B-B124-1A15813B7A64}" name="Table1" displayName="Table1" ref="A1:A7" totalsRowShown="0">
  <autoFilter ref="A1:A7" xr:uid="{15B44E81-9F6D-464B-B124-1A15813B7A64}"/>
  <tableColumns count="1">
    <tableColumn id="1" xr3:uid="{40BF3C90-3BA3-43B3-8AC9-55D33797CDF9}" name="Distric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5BE03A-9A9A-4C56-A714-E7B4C45F3764}" name="Table2" displayName="Table2" ref="B1:B18" totalsRowShown="0">
  <autoFilter ref="B1:B18" xr:uid="{795BE03A-9A9A-4C56-A714-E7B4C45F3764}"/>
  <sortState xmlns:xlrd2="http://schemas.microsoft.com/office/spreadsheetml/2017/richdata2" ref="B2:B18">
    <sortCondition ref="B1:B18"/>
  </sortState>
  <tableColumns count="1">
    <tableColumn id="1" xr3:uid="{065E75E0-6924-467C-8275-428CD3F7A6D4}" name="Crawfordsville"/>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924705-B29D-4999-B670-020181829132}" name="Table3" displayName="Table3" ref="C1:C19" totalsRowShown="0">
  <autoFilter ref="C1:C19" xr:uid="{E7924705-B29D-4999-B670-020181829132}"/>
  <sortState xmlns:xlrd2="http://schemas.microsoft.com/office/spreadsheetml/2017/richdata2" ref="C2:C19">
    <sortCondition ref="C1:C19"/>
  </sortState>
  <tableColumns count="1">
    <tableColumn id="1" xr3:uid="{8401A618-1EEA-4C90-BF65-A9EEFA714AE1}" name="Fort Wayne"/>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4ECF68-10FE-4644-996C-4A7F54CFFA49}" name="Table4" displayName="Table4" ref="D1:D24" totalsRowShown="0">
  <autoFilter ref="D1:D24" xr:uid="{134ECF68-10FE-4644-996C-4A7F54CFFA49}"/>
  <sortState xmlns:xlrd2="http://schemas.microsoft.com/office/spreadsheetml/2017/richdata2" ref="D2:D24">
    <sortCondition ref="D1:D24"/>
  </sortState>
  <tableColumns count="1">
    <tableColumn id="1" xr3:uid="{B723E5D2-4ED7-4F1A-98B9-E893820AE3B3}" name="Greenfield"/>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8A1CB7E-2769-47D4-AE5F-541C4E996F7A}" name="Table5" displayName="Table5" ref="E1:E18" totalsRowShown="0">
  <autoFilter ref="E1:E18" xr:uid="{A8A1CB7E-2769-47D4-AE5F-541C4E996F7A}"/>
  <sortState xmlns:xlrd2="http://schemas.microsoft.com/office/spreadsheetml/2017/richdata2" ref="E2:E18">
    <sortCondition ref="E1:E18"/>
  </sortState>
  <tableColumns count="1">
    <tableColumn id="1" xr3:uid="{52423370-BCC9-4472-8087-D58BCA78F63B}" name="La Porte"/>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0352DBB-CE69-443C-8F54-BA56906A276B}" name="Table6" displayName="Table6" ref="F1:F25" totalsRowShown="0">
  <autoFilter ref="F1:F25" xr:uid="{90352DBB-CE69-443C-8F54-BA56906A276B}"/>
  <sortState xmlns:xlrd2="http://schemas.microsoft.com/office/spreadsheetml/2017/richdata2" ref="F2:F25">
    <sortCondition ref="F1:F25"/>
  </sortState>
  <tableColumns count="1">
    <tableColumn id="1" xr3:uid="{96B5BCEB-6ACE-4C5E-BF34-789321E8AC3D}" name="Seymour"/>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CA961B-3506-4F91-A4C9-EA47DA3CA16E}" name="Table7" displayName="Table7" ref="G1:G22" totalsRowShown="0">
  <autoFilter ref="G1:G22" xr:uid="{3BCA961B-3506-4F91-A4C9-EA47DA3CA16E}"/>
  <sortState xmlns:xlrd2="http://schemas.microsoft.com/office/spreadsheetml/2017/richdata2" ref="G2:G22">
    <sortCondition ref="G1:G22"/>
  </sortState>
  <tableColumns count="1">
    <tableColumn id="1" xr3:uid="{E1639BA9-C027-45D0-AD58-E08A8F46503B}" name="Vincennes"/>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tats.indiana.edu/maptools/c2020/tracts.asp" TargetMode="External"/><Relationship Id="rId1" Type="http://schemas.openxmlformats.org/officeDocument/2006/relationships/hyperlink" Target="https://experience.arcgis.com/experience/0920984aa80a4362b8778d779b090723/page/ETC-Explorer---State-Results/" TargetMode="External"/><Relationship Id="rId4"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6" Type="http://schemas.openxmlformats.org/officeDocument/2006/relationships/hyperlink" Target="https://cmfclearinghouse.fhwa.dot.gov/detail.php?facid=11625" TargetMode="External"/><Relationship Id="rId21" Type="http://schemas.openxmlformats.org/officeDocument/2006/relationships/hyperlink" Target="https://cmfclearinghouse.fhwa.dot.gov/study_detail.php?stid=444" TargetMode="External"/><Relationship Id="rId34" Type="http://schemas.openxmlformats.org/officeDocument/2006/relationships/hyperlink" Target="https://cmfclearinghouse.fhwa.dot.gov/detail.php?facid=11279" TargetMode="External"/><Relationship Id="rId42" Type="http://schemas.openxmlformats.org/officeDocument/2006/relationships/hyperlink" Target="https://cmfclearinghouse.fhwa.dot.gov/studydocs/FDOT-BDK78-977-14-rpt.pdf" TargetMode="External"/><Relationship Id="rId47" Type="http://schemas.openxmlformats.org/officeDocument/2006/relationships/hyperlink" Target="https://cmfclearinghouse.fhwa.dot.gov/detail.php?facid=270" TargetMode="External"/><Relationship Id="rId50" Type="http://schemas.openxmlformats.org/officeDocument/2006/relationships/hyperlink" Target="https://cmfclearinghouse.fhwa.dot.gov/detail.php?facid=262" TargetMode="External"/><Relationship Id="rId55" Type="http://schemas.openxmlformats.org/officeDocument/2006/relationships/hyperlink" Target="https://cmfclearinghouse.fhwa.dot.gov/detail.php?facid=4647" TargetMode="External"/><Relationship Id="rId63" Type="http://schemas.openxmlformats.org/officeDocument/2006/relationships/hyperlink" Target="https://cmfclearinghouse.fhwa.dot.gov/detail.php?facid=3131" TargetMode="External"/><Relationship Id="rId7" Type="http://schemas.openxmlformats.org/officeDocument/2006/relationships/hyperlink" Target="https://cmfclearinghouse.fhwa.dot.gov/detail.php?facid=241" TargetMode="External"/><Relationship Id="rId2" Type="http://schemas.openxmlformats.org/officeDocument/2006/relationships/hyperlink" Target="https://cmfclearinghouse.fhwa.dot.gov/detail.php?facid=4878" TargetMode="External"/><Relationship Id="rId16" Type="http://schemas.openxmlformats.org/officeDocument/2006/relationships/hyperlink" Target="https://cmfclearinghouse.fhwa.dot.gov/detail.php?facid=11132" TargetMode="External"/><Relationship Id="rId29" Type="http://schemas.openxmlformats.org/officeDocument/2006/relationships/hyperlink" Target="https://cmfclearinghouse.fhwa.dot.gov/detail.php?facid=11595" TargetMode="External"/><Relationship Id="rId11" Type="http://schemas.openxmlformats.org/officeDocument/2006/relationships/hyperlink" Target="https://cmfclearinghouse.fhwa.dot.gov/detail.php?facid=4257" TargetMode="External"/><Relationship Id="rId24" Type="http://schemas.openxmlformats.org/officeDocument/2006/relationships/hyperlink" Target="https://cmfclearinghouse.fhwa.dot.gov/detail.php?facid=11619" TargetMode="External"/><Relationship Id="rId32" Type="http://schemas.openxmlformats.org/officeDocument/2006/relationships/hyperlink" Target="https://cmfclearinghouse.fhwa.dot.gov/detail.php?facid=11277" TargetMode="External"/><Relationship Id="rId37" Type="http://schemas.openxmlformats.org/officeDocument/2006/relationships/hyperlink" Target="https://cmfclearinghouse.fhwa.dot.gov/detail.php?facid=10375" TargetMode="External"/><Relationship Id="rId40" Type="http://schemas.openxmlformats.org/officeDocument/2006/relationships/hyperlink" Target="https://cmfclearinghouse.fhwa.dot.gov/detail.php?facid=7828" TargetMode="External"/><Relationship Id="rId45" Type="http://schemas.openxmlformats.org/officeDocument/2006/relationships/hyperlink" Target="http://www.ltrc.lsu.edu/pdf/2019/FR_597.pdf" TargetMode="External"/><Relationship Id="rId53" Type="http://schemas.openxmlformats.org/officeDocument/2006/relationships/hyperlink" Target="https://cmfclearinghouse.fhwa.dot.gov/detail.php?facid=4648" TargetMode="External"/><Relationship Id="rId58" Type="http://schemas.openxmlformats.org/officeDocument/2006/relationships/hyperlink" Target="https://cmfclearinghouse.fhwa.dot.gov/detail.php?facid=260" TargetMode="External"/><Relationship Id="rId5" Type="http://schemas.openxmlformats.org/officeDocument/2006/relationships/hyperlink" Target="https://cmfclearinghouse.fhwa.dot.gov/detail.php?facid=238" TargetMode="External"/><Relationship Id="rId61" Type="http://schemas.openxmlformats.org/officeDocument/2006/relationships/hyperlink" Target="https://cmfclearinghouse.fhwa.dot.gov/detail.php?facid=289" TargetMode="External"/><Relationship Id="rId19" Type="http://schemas.openxmlformats.org/officeDocument/2006/relationships/hyperlink" Target="https://cmfclearinghouse.fhwa.dot.gov/study_detail.php?stid=444" TargetMode="External"/><Relationship Id="rId14" Type="http://schemas.openxmlformats.org/officeDocument/2006/relationships/hyperlink" Target="https://cmfclearinghouse.fhwa.dot.gov/detail.php?facid=4254" TargetMode="External"/><Relationship Id="rId22" Type="http://schemas.openxmlformats.org/officeDocument/2006/relationships/hyperlink" Target="https://cmfclearinghouse.fhwa.dot.gov/detail.php?facid=10761" TargetMode="External"/><Relationship Id="rId27" Type="http://schemas.openxmlformats.org/officeDocument/2006/relationships/hyperlink" Target="https://cmfclearinghouse.fhwa.dot.gov/detail.php?facid=11624" TargetMode="External"/><Relationship Id="rId30" Type="http://schemas.openxmlformats.org/officeDocument/2006/relationships/hyperlink" Target="https://cmfclearinghouse.fhwa.dot.gov/detail.php?facid=11273" TargetMode="External"/><Relationship Id="rId35" Type="http://schemas.openxmlformats.org/officeDocument/2006/relationships/hyperlink" Target="https://cmfclearinghouse.fhwa.dot.gov/detail.php?facid=2519" TargetMode="External"/><Relationship Id="rId43" Type="http://schemas.openxmlformats.org/officeDocument/2006/relationships/hyperlink" Target="https://www.fhwa.dot.gov/publications/research/safety/08042/08042.pdf" TargetMode="External"/><Relationship Id="rId48" Type="http://schemas.openxmlformats.org/officeDocument/2006/relationships/hyperlink" Target="https://cmfclearinghouse.fhwa.dot.gov/detail.php?facid=269" TargetMode="External"/><Relationship Id="rId56" Type="http://schemas.openxmlformats.org/officeDocument/2006/relationships/hyperlink" Target="https://cmfclearinghouse.fhwa.dot.gov/detail.php?facid=268" TargetMode="External"/><Relationship Id="rId64" Type="http://schemas.openxmlformats.org/officeDocument/2006/relationships/hyperlink" Target="https://cmfclearinghouse.fhwa.dot.gov/detail.php?facid=3130" TargetMode="External"/><Relationship Id="rId8" Type="http://schemas.openxmlformats.org/officeDocument/2006/relationships/hyperlink" Target="https://cmfclearinghouse.fhwa.dot.gov/detail.php?facid=240" TargetMode="External"/><Relationship Id="rId51" Type="http://schemas.openxmlformats.org/officeDocument/2006/relationships/hyperlink" Target="https://cmfclearinghouse.fhwa.dot.gov/detail.php?facid=254" TargetMode="External"/><Relationship Id="rId3" Type="http://schemas.openxmlformats.org/officeDocument/2006/relationships/hyperlink" Target="https://cmfclearinghouse.fhwa.dot.gov/detail.php?facid=230" TargetMode="External"/><Relationship Id="rId12" Type="http://schemas.openxmlformats.org/officeDocument/2006/relationships/hyperlink" Target="https://cmfclearinghouse.fhwa.dot.gov/detail.php?facid=4256" TargetMode="External"/><Relationship Id="rId17" Type="http://schemas.openxmlformats.org/officeDocument/2006/relationships/hyperlink" Target="https://cmfclearinghouse.fhwa.dot.gov/detail.php?facid=11146" TargetMode="External"/><Relationship Id="rId25" Type="http://schemas.openxmlformats.org/officeDocument/2006/relationships/hyperlink" Target="https://cmfclearinghouse.fhwa.dot.gov/detail.php?facid=11620" TargetMode="External"/><Relationship Id="rId33" Type="http://schemas.openxmlformats.org/officeDocument/2006/relationships/hyperlink" Target="https://cmfclearinghouse.fhwa.dot.gov/detail.php?facid=11278" TargetMode="External"/><Relationship Id="rId38" Type="http://schemas.openxmlformats.org/officeDocument/2006/relationships/hyperlink" Target="https://cmfclearinghouse.fhwa.dot.gov/detail.php?facid=2341" TargetMode="External"/><Relationship Id="rId46" Type="http://schemas.openxmlformats.org/officeDocument/2006/relationships/hyperlink" Target="https://cmfclearinghouse.fhwa.dot.gov/study_detail.php?stid=669" TargetMode="External"/><Relationship Id="rId59" Type="http://schemas.openxmlformats.org/officeDocument/2006/relationships/hyperlink" Target="https://cmfclearinghouse.fhwa.dot.gov/detail.php?facid=290" TargetMode="External"/><Relationship Id="rId20" Type="http://schemas.openxmlformats.org/officeDocument/2006/relationships/hyperlink" Target="https://cmfclearinghouse.fhwa.dot.gov/study_detail.php?stid=444" TargetMode="External"/><Relationship Id="rId41" Type="http://schemas.openxmlformats.org/officeDocument/2006/relationships/hyperlink" Target="https://cmfclearinghouse.fhwa.dot.gov/detail.php?facid=7829" TargetMode="External"/><Relationship Id="rId54" Type="http://schemas.openxmlformats.org/officeDocument/2006/relationships/hyperlink" Target="https://cmfclearinghouse.fhwa.dot.gov/detail.php?facid=4643" TargetMode="External"/><Relationship Id="rId62" Type="http://schemas.openxmlformats.org/officeDocument/2006/relationships/hyperlink" Target="https://cmfclearinghouse.fhwa.dot.gov/detail.php?facid=285" TargetMode="External"/><Relationship Id="rId1" Type="http://schemas.openxmlformats.org/officeDocument/2006/relationships/hyperlink" Target="https://cmfclearinghouse.fhwa.dot.gov/detail.php?facid=4877" TargetMode="External"/><Relationship Id="rId6" Type="http://schemas.openxmlformats.org/officeDocument/2006/relationships/hyperlink" Target="https://cmfclearinghouse.fhwa.dot.gov/detail.php?facid=239" TargetMode="External"/><Relationship Id="rId15" Type="http://schemas.openxmlformats.org/officeDocument/2006/relationships/hyperlink" Target="https://cmfclearinghouse.fhwa.dot.gov/detail.php?facid=11130" TargetMode="External"/><Relationship Id="rId23" Type="http://schemas.openxmlformats.org/officeDocument/2006/relationships/hyperlink" Target="https://cmfclearinghouse.fhwa.dot.gov/detail.php?facid=10762" TargetMode="External"/><Relationship Id="rId28" Type="http://schemas.openxmlformats.org/officeDocument/2006/relationships/hyperlink" Target="https://cmfclearinghouse.fhwa.dot.gov/detail.php?facid=11594" TargetMode="External"/><Relationship Id="rId36" Type="http://schemas.openxmlformats.org/officeDocument/2006/relationships/hyperlink" Target="https://cmfclearinghouse.fhwa.dot.gov/detail.php?facid=2514" TargetMode="External"/><Relationship Id="rId49" Type="http://schemas.openxmlformats.org/officeDocument/2006/relationships/hyperlink" Target="https://cmfclearinghouse.fhwa.dot.gov/detail.php?facid=4644" TargetMode="External"/><Relationship Id="rId57" Type="http://schemas.openxmlformats.org/officeDocument/2006/relationships/hyperlink" Target="https://cmfclearinghouse.fhwa.dot.gov/detail.php?facid=253" TargetMode="External"/><Relationship Id="rId10" Type="http://schemas.openxmlformats.org/officeDocument/2006/relationships/hyperlink" Target="https://cmfclearinghouse.fhwa.dot.gov/detail.php?facid=233" TargetMode="External"/><Relationship Id="rId31" Type="http://schemas.openxmlformats.org/officeDocument/2006/relationships/hyperlink" Target="https://cmfclearinghouse.fhwa.dot.gov/detail.php?facid=11275" TargetMode="External"/><Relationship Id="rId44" Type="http://schemas.openxmlformats.org/officeDocument/2006/relationships/hyperlink" Target="http://www.ltrc.lsu.edu/pdf/2019/FR_597.pdf" TargetMode="External"/><Relationship Id="rId52" Type="http://schemas.openxmlformats.org/officeDocument/2006/relationships/hyperlink" Target="https://cmfclearinghouse.fhwa.dot.gov/detail.php?facid=261" TargetMode="External"/><Relationship Id="rId60" Type="http://schemas.openxmlformats.org/officeDocument/2006/relationships/hyperlink" Target="https://cmfclearinghouse.fhwa.dot.gov/detail.php?facid=286" TargetMode="External"/><Relationship Id="rId65" Type="http://schemas.openxmlformats.org/officeDocument/2006/relationships/printerSettings" Target="../printerSettings/printerSettings5.bin"/><Relationship Id="rId4" Type="http://schemas.openxmlformats.org/officeDocument/2006/relationships/hyperlink" Target="https://cmfclearinghouse.fhwa.dot.gov/detail.php?facid=229" TargetMode="External"/><Relationship Id="rId9" Type="http://schemas.openxmlformats.org/officeDocument/2006/relationships/hyperlink" Target="https://cmfclearinghouse.fhwa.dot.gov/detail.php?facid=234" TargetMode="External"/><Relationship Id="rId13" Type="http://schemas.openxmlformats.org/officeDocument/2006/relationships/hyperlink" Target="https://cmfclearinghouse.fhwa.dot.gov/detail.php?facid=4255" TargetMode="External"/><Relationship Id="rId18" Type="http://schemas.openxmlformats.org/officeDocument/2006/relationships/hyperlink" Target="https://cmfclearinghouse.fhwa.dot.gov/detail.php?facid=11166" TargetMode="External"/><Relationship Id="rId39" Type="http://schemas.openxmlformats.org/officeDocument/2006/relationships/hyperlink" Target="https://cmfclearinghouse.fhwa.dot.gov/detail.php?facid=23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3"/>
  <sheetViews>
    <sheetView showGridLines="0" tabSelected="1" showRuler="0" view="pageLayout" zoomScale="70" zoomScaleNormal="70" zoomScalePageLayoutView="70" workbookViewId="0">
      <selection activeCell="I9" sqref="I9"/>
    </sheetView>
  </sheetViews>
  <sheetFormatPr defaultRowHeight="15"/>
  <cols>
    <col min="1" max="1" width="2.140625" customWidth="1"/>
    <col min="2" max="2" width="16.5703125" customWidth="1"/>
    <col min="3" max="3" width="0.140625" customWidth="1"/>
    <col min="4" max="4" width="24" customWidth="1"/>
    <col min="5" max="5" width="25.140625" customWidth="1"/>
    <col min="6" max="6" width="10.28515625" bestFit="1" customWidth="1"/>
    <col min="7" max="7" width="54.85546875" customWidth="1"/>
    <col min="8" max="8" width="29.28515625" customWidth="1"/>
    <col min="9" max="9" width="32.42578125" customWidth="1"/>
    <col min="12" max="12" width="9.140625" style="135"/>
  </cols>
  <sheetData>
    <row r="1" spans="1:12" ht="15.75" thickBot="1">
      <c r="B1" s="133"/>
      <c r="C1" s="133"/>
      <c r="D1" s="133"/>
      <c r="E1" s="134"/>
      <c r="F1" s="134"/>
      <c r="G1" s="134"/>
      <c r="H1" s="134"/>
      <c r="I1" s="134"/>
    </row>
    <row r="2" spans="1:12" ht="18.75" customHeight="1">
      <c r="B2" s="136" t="s">
        <v>0</v>
      </c>
      <c r="C2" s="137"/>
      <c r="D2" s="271"/>
      <c r="E2" s="272"/>
      <c r="F2" s="267" t="s">
        <v>1</v>
      </c>
      <c r="G2" s="268"/>
      <c r="H2" s="138">
        <f ca="1">TODAY()</f>
        <v>46121</v>
      </c>
      <c r="I2" s="139"/>
    </row>
    <row r="3" spans="1:12" ht="18.75" customHeight="1">
      <c r="B3" s="140" t="s">
        <v>2</v>
      </c>
      <c r="C3" s="141"/>
      <c r="D3" s="273"/>
      <c r="E3" s="274"/>
      <c r="F3" s="264" t="s">
        <v>3</v>
      </c>
      <c r="G3" s="266"/>
      <c r="H3" s="142">
        <v>100000000</v>
      </c>
      <c r="I3" s="143"/>
    </row>
    <row r="4" spans="1:12" ht="18.75" customHeight="1">
      <c r="B4" s="140" t="s">
        <v>4</v>
      </c>
      <c r="C4" s="141"/>
      <c r="D4" s="273"/>
      <c r="E4" s="274"/>
      <c r="F4" s="264" t="s">
        <v>5</v>
      </c>
      <c r="G4" s="266"/>
      <c r="H4" s="144"/>
      <c r="I4" s="139"/>
    </row>
    <row r="5" spans="1:12" ht="18.75" customHeight="1">
      <c r="B5" s="140" t="s">
        <v>6</v>
      </c>
      <c r="C5" s="141"/>
      <c r="D5" s="273"/>
      <c r="E5" s="274"/>
      <c r="F5" s="264" t="s">
        <v>7</v>
      </c>
      <c r="G5" s="266"/>
      <c r="H5" s="144"/>
      <c r="I5" s="139"/>
    </row>
    <row r="6" spans="1:12" ht="18.75" customHeight="1">
      <c r="B6" s="140" t="s">
        <v>8</v>
      </c>
      <c r="C6" s="141"/>
      <c r="D6" s="269"/>
      <c r="E6" s="270"/>
      <c r="F6" s="270"/>
      <c r="G6" s="270"/>
      <c r="H6" s="145"/>
      <c r="I6" s="146"/>
    </row>
    <row r="7" spans="1:12" ht="18.75" customHeight="1" thickBot="1">
      <c r="B7" s="140" t="s">
        <v>9</v>
      </c>
      <c r="C7" s="141"/>
      <c r="D7" s="269"/>
      <c r="E7" s="270"/>
      <c r="F7" s="270"/>
      <c r="G7" s="270"/>
      <c r="H7" s="147"/>
      <c r="I7" s="139"/>
    </row>
    <row r="8" spans="1:12" ht="23.25" customHeight="1" thickTop="1">
      <c r="B8" s="148" t="str">
        <f>HYPERLINK("https://www.google.com/maps?q="&amp;D8&amp;","&amp;E8, "LAT,LONG:")</f>
        <v>LAT,LONG:</v>
      </c>
      <c r="C8" s="149"/>
      <c r="D8" s="192"/>
      <c r="E8" s="193"/>
      <c r="F8" s="264" t="s">
        <v>10</v>
      </c>
      <c r="G8" s="265"/>
      <c r="H8" s="286">
        <f ca="1">F27</f>
        <v>0</v>
      </c>
      <c r="I8" s="150"/>
    </row>
    <row r="9" spans="1:12" ht="82.5" customHeight="1" thickBot="1">
      <c r="B9" s="179" t="s">
        <v>11</v>
      </c>
      <c r="C9" s="151"/>
      <c r="D9" s="288"/>
      <c r="E9" s="289"/>
      <c r="F9" s="289"/>
      <c r="G9" s="289"/>
      <c r="H9" s="287"/>
      <c r="I9" s="150"/>
    </row>
    <row r="10" spans="1:12" ht="12" customHeight="1" thickBot="1">
      <c r="B10" s="152"/>
      <c r="C10" s="152"/>
      <c r="D10" s="152"/>
      <c r="E10" s="153"/>
      <c r="F10" s="153"/>
      <c r="G10" s="153"/>
      <c r="H10" s="153"/>
      <c r="I10" s="153"/>
    </row>
    <row r="11" spans="1:12" ht="24" thickBot="1">
      <c r="B11" s="278" t="s">
        <v>12</v>
      </c>
      <c r="C11" s="279"/>
      <c r="D11" s="279"/>
      <c r="E11" s="254"/>
      <c r="F11" s="154" t="s">
        <v>13</v>
      </c>
      <c r="G11" s="234" t="s">
        <v>14</v>
      </c>
      <c r="H11" s="155" t="s">
        <v>15</v>
      </c>
      <c r="K11" s="135"/>
      <c r="L11"/>
    </row>
    <row r="12" spans="1:12" ht="30" customHeight="1">
      <c r="B12" s="280" t="s">
        <v>16</v>
      </c>
      <c r="C12" s="281"/>
      <c r="D12" s="281"/>
      <c r="E12" s="282"/>
      <c r="F12" s="189">
        <f>'F1 Crash Severity'!B9</f>
        <v>0</v>
      </c>
      <c r="G12" s="183">
        <f>'F1 Crash Severity'!C9</f>
        <v>0</v>
      </c>
      <c r="H12" s="184">
        <v>40</v>
      </c>
      <c r="K12" s="135"/>
      <c r="L12"/>
    </row>
    <row r="13" spans="1:12" ht="30" customHeight="1">
      <c r="B13" s="283" t="s">
        <v>17</v>
      </c>
      <c r="C13" s="284"/>
      <c r="D13" s="284"/>
      <c r="E13" s="285"/>
      <c r="F13" s="190">
        <f>'F2 Crash Frequency'!B9</f>
        <v>0</v>
      </c>
      <c r="G13" s="156">
        <f>'F2 Crash Frequency'!C9</f>
        <v>0</v>
      </c>
      <c r="H13" s="173">
        <v>10</v>
      </c>
      <c r="J13" s="135"/>
      <c r="K13" s="135"/>
      <c r="L13"/>
    </row>
    <row r="14" spans="1:12" ht="41.25" customHeight="1" thickBot="1">
      <c r="B14" s="294" t="s">
        <v>18</v>
      </c>
      <c r="C14" s="295"/>
      <c r="D14" s="295"/>
      <c r="E14" s="296"/>
      <c r="F14" s="185">
        <f ca="1">'F3 Cost Effectiveness'!L23</f>
        <v>0</v>
      </c>
      <c r="G14" s="166">
        <f ca="1">'F3 Cost Effectiveness'!L26</f>
        <v>0</v>
      </c>
      <c r="H14" s="174">
        <v>35</v>
      </c>
      <c r="J14" s="135"/>
      <c r="K14" s="135"/>
      <c r="L14"/>
    </row>
    <row r="15" spans="1:12" ht="24" customHeight="1" thickBot="1">
      <c r="A15" s="157"/>
      <c r="B15" s="250" t="s">
        <v>19</v>
      </c>
      <c r="C15" s="251"/>
      <c r="D15" s="251"/>
      <c r="E15" s="251"/>
      <c r="F15" s="252"/>
      <c r="G15" s="236">
        <f ca="1">SUM(G12:G14)</f>
        <v>0</v>
      </c>
      <c r="H15" s="182">
        <f>SUM(H12:H14)</f>
        <v>85</v>
      </c>
      <c r="K15" s="135"/>
    </row>
    <row r="16" spans="1:12" ht="12" customHeight="1" thickBot="1">
      <c r="I16" s="153"/>
    </row>
    <row r="17" spans="2:12" ht="24" thickBot="1">
      <c r="B17" s="297" t="s">
        <v>20</v>
      </c>
      <c r="C17" s="298"/>
      <c r="D17" s="298"/>
      <c r="E17" s="299"/>
      <c r="F17" s="253" t="s">
        <v>14</v>
      </c>
      <c r="G17" s="254"/>
      <c r="H17" s="158" t="s">
        <v>15</v>
      </c>
      <c r="K17" s="135"/>
      <c r="L17"/>
    </row>
    <row r="18" spans="2:12" ht="79.5" customHeight="1">
      <c r="B18" s="292" t="s">
        <v>21</v>
      </c>
      <c r="C18" s="293"/>
      <c r="D18" s="293"/>
      <c r="E18" s="293"/>
      <c r="F18" s="261">
        <f>'F4 Mobility Improvement'!C9</f>
        <v>0</v>
      </c>
      <c r="G18" s="262"/>
      <c r="H18" s="172">
        <v>3</v>
      </c>
      <c r="J18" s="135"/>
      <c r="K18" s="135"/>
      <c r="L18"/>
    </row>
    <row r="19" spans="2:12" ht="76.5" customHeight="1">
      <c r="B19" s="283" t="s">
        <v>22</v>
      </c>
      <c r="C19" s="285"/>
      <c r="D19" s="285"/>
      <c r="E19" s="285"/>
      <c r="F19" s="259">
        <f>'F5 Public and Other Interest'!C9</f>
        <v>0</v>
      </c>
      <c r="G19" s="260"/>
      <c r="H19" s="173">
        <v>5</v>
      </c>
      <c r="J19" s="135"/>
      <c r="K19" s="135"/>
      <c r="L19"/>
    </row>
    <row r="20" spans="2:12" ht="76.5" customHeight="1" thickBot="1">
      <c r="B20" s="283" t="s">
        <v>23</v>
      </c>
      <c r="C20" s="285"/>
      <c r="D20" s="285"/>
      <c r="E20" s="285"/>
      <c r="F20" s="257">
        <f>'F6 Economic Factors'!D9</f>
        <v>0</v>
      </c>
      <c r="G20" s="258"/>
      <c r="H20" s="175">
        <v>7</v>
      </c>
      <c r="J20" s="135"/>
      <c r="K20" s="135"/>
      <c r="L20"/>
    </row>
    <row r="21" spans="2:12" ht="24" customHeight="1" thickBot="1">
      <c r="B21" s="250" t="s">
        <v>24</v>
      </c>
      <c r="C21" s="251"/>
      <c r="D21" s="251"/>
      <c r="E21" s="252"/>
      <c r="F21" s="248">
        <f>SUM(F18:F20)</f>
        <v>0</v>
      </c>
      <c r="G21" s="263"/>
      <c r="H21" s="176">
        <f>SUM(H18:H20)</f>
        <v>15</v>
      </c>
      <c r="J21" s="135"/>
      <c r="K21" s="135"/>
      <c r="L21"/>
    </row>
    <row r="22" spans="2:12" ht="24" thickBot="1">
      <c r="B22" s="159"/>
      <c r="C22" s="159"/>
      <c r="D22" s="159"/>
      <c r="E22" s="159"/>
      <c r="F22" s="159"/>
      <c r="G22" s="159"/>
      <c r="H22" s="160"/>
      <c r="J22" s="135"/>
      <c r="K22" s="135"/>
      <c r="L22"/>
    </row>
    <row r="23" spans="2:12" ht="24" thickBot="1">
      <c r="B23" s="300" t="s">
        <v>25</v>
      </c>
      <c r="C23" s="254"/>
      <c r="D23" s="254"/>
      <c r="E23" s="301"/>
      <c r="F23" s="253" t="s">
        <v>14</v>
      </c>
      <c r="G23" s="254"/>
      <c r="H23" s="155" t="s">
        <v>15</v>
      </c>
      <c r="J23" s="135"/>
      <c r="K23" s="135"/>
      <c r="L23"/>
    </row>
    <row r="24" spans="2:12" ht="21.75" thickBot="1">
      <c r="B24" s="290" t="s">
        <v>26</v>
      </c>
      <c r="C24" s="291"/>
      <c r="D24" s="291"/>
      <c r="E24" s="291"/>
      <c r="F24" s="255">
        <f>'F7 Earmarks and External Cont.'!C9</f>
        <v>0</v>
      </c>
      <c r="G24" s="256"/>
      <c r="H24" s="177">
        <v>25</v>
      </c>
      <c r="I24" s="162"/>
      <c r="K24" s="135"/>
    </row>
    <row r="25" spans="2:12" ht="21.75" thickBot="1">
      <c r="B25" s="250" t="s">
        <v>27</v>
      </c>
      <c r="C25" s="251"/>
      <c r="D25" s="251"/>
      <c r="E25" s="251"/>
      <c r="F25" s="248">
        <f>SUM(F24:F24)</f>
        <v>0</v>
      </c>
      <c r="G25" s="249"/>
      <c r="H25" s="235">
        <f>SUM(H24:H24)</f>
        <v>25</v>
      </c>
      <c r="J25" s="135"/>
      <c r="K25" s="135"/>
      <c r="L25"/>
    </row>
    <row r="26" spans="2:12" ht="24" thickBot="1">
      <c r="B26" s="163"/>
      <c r="C26" s="163"/>
      <c r="D26" s="163"/>
      <c r="E26" s="163"/>
      <c r="F26" s="163"/>
      <c r="G26" s="160"/>
      <c r="H26" s="161"/>
      <c r="J26" s="135"/>
      <c r="K26" s="135"/>
      <c r="L26"/>
    </row>
    <row r="27" spans="2:12" ht="46.5" customHeight="1" thickBot="1">
      <c r="B27" s="275" t="s">
        <v>28</v>
      </c>
      <c r="C27" s="276"/>
      <c r="D27" s="276"/>
      <c r="E27" s="277"/>
      <c r="F27" s="302">
        <f ca="1">ROUND(IF(SUM(F25,G15,F21)&gt;100,100,SUM(F25,F21,G15)),0)</f>
        <v>0</v>
      </c>
      <c r="G27" s="303"/>
      <c r="H27" s="178">
        <f>SUM(H15,H21)</f>
        <v>100</v>
      </c>
      <c r="J27" s="135"/>
      <c r="K27" s="135"/>
      <c r="L27"/>
    </row>
    <row r="28" spans="2:12" ht="24" customHeight="1">
      <c r="I28" s="162"/>
      <c r="K28" s="135"/>
    </row>
    <row r="29" spans="2:12" ht="29.25" customHeight="1">
      <c r="B29" s="304" t="s">
        <v>29</v>
      </c>
      <c r="C29" s="304"/>
      <c r="D29" s="304"/>
      <c r="E29" s="304"/>
      <c r="F29" s="304"/>
      <c r="G29" s="304"/>
      <c r="K29" s="135"/>
    </row>
    <row r="30" spans="2:12" ht="15.75" thickBot="1">
      <c r="K30" s="135"/>
    </row>
    <row r="31" spans="2:12" ht="21">
      <c r="B31" s="311" t="s">
        <v>30</v>
      </c>
      <c r="C31" s="16" t="str">
        <f>IF(ISBLANK(D31),"Type justification for selection here with all necessary background information. If points were received in this category, justification is required.",D31)</f>
        <v>Type justification for selection here with all necessary background information. If points were received in this category, justification is required.</v>
      </c>
      <c r="D31" s="305"/>
      <c r="E31" s="306"/>
      <c r="F31" s="306"/>
      <c r="G31" s="306"/>
      <c r="H31" s="306"/>
      <c r="I31" s="307"/>
      <c r="K31" s="135"/>
    </row>
    <row r="32" spans="2:12" ht="21.75" thickBot="1">
      <c r="B32" s="312"/>
      <c r="C32" s="22"/>
      <c r="D32" s="308"/>
      <c r="E32" s="309"/>
      <c r="F32" s="309"/>
      <c r="G32" s="309"/>
      <c r="H32" s="309"/>
      <c r="I32" s="310"/>
      <c r="K32" s="135"/>
    </row>
    <row r="33" spans="2:11" ht="21">
      <c r="B33" s="311" t="s">
        <v>31</v>
      </c>
      <c r="C33" s="16" t="str">
        <f>IF(ISBLANK(D33),"Type justification for selection here with all necessary background information. If points were received in this category, justification is required.",D33)</f>
        <v>Type justification for selection here with all necessary background information. If points were received in this category, justification is required.</v>
      </c>
      <c r="D33" s="306"/>
      <c r="E33" s="306"/>
      <c r="F33" s="306"/>
      <c r="G33" s="306"/>
      <c r="H33" s="306"/>
      <c r="I33" s="307"/>
      <c r="K33" s="135"/>
    </row>
    <row r="34" spans="2:11" ht="21.75" thickBot="1">
      <c r="B34" s="312"/>
      <c r="C34" s="22"/>
      <c r="D34" s="309"/>
      <c r="E34" s="309"/>
      <c r="F34" s="309"/>
      <c r="G34" s="309"/>
      <c r="H34" s="309"/>
      <c r="I34" s="310"/>
      <c r="K34" s="135"/>
    </row>
    <row r="35" spans="2:11" ht="21">
      <c r="B35" s="311" t="s">
        <v>32</v>
      </c>
      <c r="C35" s="16" t="str">
        <f>IF(ISBLANK(D35),"Type justification for selection here with all necessary background information. If points were received in this category, justification is required.",D35)</f>
        <v>Type justification for selection here with all necessary background information. If points were received in this category, justification is required.</v>
      </c>
      <c r="D35" s="306"/>
      <c r="E35" s="306"/>
      <c r="F35" s="306"/>
      <c r="G35" s="306"/>
      <c r="H35" s="306"/>
      <c r="I35" s="307"/>
      <c r="K35" s="135"/>
    </row>
    <row r="36" spans="2:11" ht="21.75" thickBot="1">
      <c r="B36" s="312"/>
      <c r="C36" s="22"/>
      <c r="D36" s="309"/>
      <c r="E36" s="309"/>
      <c r="F36" s="309"/>
      <c r="G36" s="309"/>
      <c r="H36" s="309"/>
      <c r="I36" s="310"/>
      <c r="K36" s="135"/>
    </row>
    <row r="37" spans="2:11" ht="21">
      <c r="B37" s="311" t="s">
        <v>33</v>
      </c>
      <c r="C37" s="16" t="str">
        <f>IF(ISBLANK(D37),"Type justification for selection here with all necessary background information. If points were received in this category, justification is required.",D37)</f>
        <v>Type justification for selection here with all necessary background information. If points were received in this category, justification is required.</v>
      </c>
      <c r="D37" s="306"/>
      <c r="E37" s="306"/>
      <c r="F37" s="306"/>
      <c r="G37" s="306"/>
      <c r="H37" s="306"/>
      <c r="I37" s="307"/>
      <c r="K37" s="135"/>
    </row>
    <row r="38" spans="2:11" ht="21.75" thickBot="1">
      <c r="B38" s="312"/>
      <c r="C38" s="22"/>
      <c r="D38" s="309"/>
      <c r="E38" s="309"/>
      <c r="F38" s="309"/>
      <c r="G38" s="309"/>
      <c r="H38" s="309"/>
      <c r="I38" s="310"/>
      <c r="K38" s="135"/>
    </row>
    <row r="39" spans="2:11" ht="21">
      <c r="B39" s="311" t="s">
        <v>34</v>
      </c>
      <c r="C39" s="16" t="str">
        <f>IF(ISBLANK(D39),"Type justification for selection here with all necessary background information. If points were received in this category, justification is required.",D39)</f>
        <v>Type justification for selection here with all necessary background information. If points were received in this category, justification is required.</v>
      </c>
      <c r="D39" s="306"/>
      <c r="E39" s="306"/>
      <c r="F39" s="306"/>
      <c r="G39" s="306"/>
      <c r="H39" s="306"/>
      <c r="I39" s="307"/>
      <c r="K39" s="135"/>
    </row>
    <row r="40" spans="2:11" ht="21.75" thickBot="1">
      <c r="B40" s="312"/>
      <c r="C40" s="22"/>
      <c r="D40" s="309"/>
      <c r="E40" s="309"/>
      <c r="F40" s="309"/>
      <c r="G40" s="309"/>
      <c r="H40" s="309"/>
      <c r="I40" s="310"/>
      <c r="K40" s="135"/>
    </row>
    <row r="41" spans="2:11" ht="21">
      <c r="B41" s="311" t="s">
        <v>35</v>
      </c>
      <c r="C41" s="16" t="str">
        <f>IF(ISBLANK(D41),"Type justification for selection here with all necessary background information. If points were received in this category, justification is required.",D41)</f>
        <v>Type justification for selection here with all necessary background information. If points were received in this category, justification is required.</v>
      </c>
      <c r="D41" s="306"/>
      <c r="E41" s="306"/>
      <c r="F41" s="306"/>
      <c r="G41" s="306"/>
      <c r="H41" s="306"/>
      <c r="I41" s="307"/>
      <c r="K41" s="135"/>
    </row>
    <row r="42" spans="2:11" ht="21.75" thickBot="1">
      <c r="B42" s="312"/>
      <c r="C42" s="22"/>
      <c r="D42" s="309"/>
      <c r="E42" s="309"/>
      <c r="F42" s="309"/>
      <c r="G42" s="309"/>
      <c r="H42" s="309"/>
      <c r="I42" s="310"/>
      <c r="K42" s="135"/>
    </row>
    <row r="43" spans="2:11" ht="21">
      <c r="B43" s="311" t="s">
        <v>36</v>
      </c>
      <c r="C43" s="16" t="str">
        <f>IF(ISBLANK(D43),"Provide other information in this space as needed.",D43)</f>
        <v>Provide other information in this space as needed.</v>
      </c>
      <c r="D43" s="305"/>
      <c r="E43" s="306"/>
      <c r="F43" s="306"/>
      <c r="G43" s="306"/>
      <c r="H43" s="306"/>
      <c r="I43" s="307"/>
      <c r="K43" s="135"/>
    </row>
    <row r="44" spans="2:11" ht="21.75" thickBot="1">
      <c r="B44" s="312"/>
      <c r="C44" s="22"/>
      <c r="D44" s="308"/>
      <c r="E44" s="309"/>
      <c r="F44" s="309"/>
      <c r="G44" s="309"/>
      <c r="H44" s="309"/>
      <c r="I44" s="310"/>
      <c r="K44" s="135"/>
    </row>
    <row r="45" spans="2:11" ht="30.75" customHeight="1">
      <c r="I45" s="15"/>
      <c r="K45" s="135"/>
    </row>
    <row r="46" spans="2:11" ht="30.75" customHeight="1">
      <c r="I46" s="15"/>
      <c r="K46" s="135"/>
    </row>
    <row r="47" spans="2:11">
      <c r="K47" s="135"/>
    </row>
    <row r="48" spans="2:11">
      <c r="K48" s="135"/>
    </row>
    <row r="49" spans="11:11">
      <c r="K49" s="135"/>
    </row>
    <row r="50" spans="11:11">
      <c r="K50" s="135"/>
    </row>
    <row r="51" spans="11:11">
      <c r="K51" s="135"/>
    </row>
    <row r="52" spans="11:11">
      <c r="K52" s="135"/>
    </row>
    <row r="53" spans="11:11">
      <c r="K53" s="135"/>
    </row>
    <row r="54" spans="11:11">
      <c r="K54" s="135"/>
    </row>
    <row r="55" spans="11:11">
      <c r="K55" s="135"/>
    </row>
    <row r="56" spans="11:11">
      <c r="K56" s="135"/>
    </row>
    <row r="57" spans="11:11">
      <c r="K57" s="135"/>
    </row>
    <row r="58" spans="11:11">
      <c r="K58" s="135"/>
    </row>
    <row r="59" spans="11:11">
      <c r="K59" s="135"/>
    </row>
    <row r="60" spans="11:11">
      <c r="K60" s="135"/>
    </row>
    <row r="61" spans="11:11">
      <c r="K61" s="135"/>
    </row>
    <row r="62" spans="11:11">
      <c r="K62" s="135"/>
    </row>
    <row r="63" spans="11:11">
      <c r="K63" s="135"/>
    </row>
  </sheetData>
  <mergeCells count="51">
    <mergeCell ref="B29:G29"/>
    <mergeCell ref="D31:I32"/>
    <mergeCell ref="D43:I44"/>
    <mergeCell ref="D33:I34"/>
    <mergeCell ref="D41:I42"/>
    <mergeCell ref="D39:I40"/>
    <mergeCell ref="D37:I38"/>
    <mergeCell ref="D35:I36"/>
    <mergeCell ref="B43:B44"/>
    <mergeCell ref="B33:B34"/>
    <mergeCell ref="B35:B36"/>
    <mergeCell ref="B37:B38"/>
    <mergeCell ref="B31:B32"/>
    <mergeCell ref="B41:B42"/>
    <mergeCell ref="B39:B40"/>
    <mergeCell ref="B27:E27"/>
    <mergeCell ref="B11:E11"/>
    <mergeCell ref="B12:E12"/>
    <mergeCell ref="B13:E13"/>
    <mergeCell ref="H8:H9"/>
    <mergeCell ref="D9:G9"/>
    <mergeCell ref="B24:E24"/>
    <mergeCell ref="B18:E18"/>
    <mergeCell ref="B14:E14"/>
    <mergeCell ref="B19:E19"/>
    <mergeCell ref="B21:E21"/>
    <mergeCell ref="B17:E17"/>
    <mergeCell ref="B23:E23"/>
    <mergeCell ref="B25:E25"/>
    <mergeCell ref="B20:E20"/>
    <mergeCell ref="F27:G27"/>
    <mergeCell ref="F8:G8"/>
    <mergeCell ref="F5:G5"/>
    <mergeCell ref="F4:G4"/>
    <mergeCell ref="F3:G3"/>
    <mergeCell ref="F2:G2"/>
    <mergeCell ref="D7:G7"/>
    <mergeCell ref="D2:E2"/>
    <mergeCell ref="D3:E3"/>
    <mergeCell ref="D4:E4"/>
    <mergeCell ref="D5:E5"/>
    <mergeCell ref="D6:G6"/>
    <mergeCell ref="F25:G25"/>
    <mergeCell ref="B15:F15"/>
    <mergeCell ref="F23:G23"/>
    <mergeCell ref="F24:G24"/>
    <mergeCell ref="F20:G20"/>
    <mergeCell ref="F19:G19"/>
    <mergeCell ref="F18:G18"/>
    <mergeCell ref="F17:G17"/>
    <mergeCell ref="F21:G21"/>
  </mergeCells>
  <conditionalFormatting sqref="D31 D33 D35 D37 D39 D41 D43">
    <cfRule type="cellIs" dxfId="18" priority="1" operator="notEqual">
      <formula>"Type justification for selection here with necessary background information."</formula>
    </cfRule>
  </conditionalFormatting>
  <dataValidations disablePrompts="1" count="5">
    <dataValidation type="decimal" allowBlank="1" showInputMessage="1" showErrorMessage="1" sqref="D8" xr:uid="{00000000-0002-0000-0000-000000000000}">
      <formula1>37.768868</formula1>
      <formula2>41.787566</formula2>
    </dataValidation>
    <dataValidation type="decimal" allowBlank="1" showInputMessage="1" showErrorMessage="1" sqref="E8" xr:uid="{00000000-0002-0000-0000-000001000000}">
      <formula1>-88.214288</formula1>
      <formula2>-84.76035</formula2>
    </dataValidation>
    <dataValidation type="whole" allowBlank="1" showInputMessage="1" showErrorMessage="1" sqref="H3" xr:uid="{00000000-0002-0000-0000-000002000000}">
      <formula1>100</formula1>
      <formula2>100000000</formula2>
    </dataValidation>
    <dataValidation type="whole" allowBlank="1" showInputMessage="1" showErrorMessage="1" sqref="D2:E2" xr:uid="{00000000-0002-0000-0000-000003000000}">
      <formula1>0</formula1>
      <formula2>100000000</formula2>
    </dataValidation>
    <dataValidation type="list" allowBlank="1" showInputMessage="1" showErrorMessage="1" sqref="D4:E4" xr:uid="{00000000-0002-0000-0000-000007000000}">
      <formula1>District</formula1>
    </dataValidation>
  </dataValidations>
  <hyperlinks>
    <hyperlink ref="B12:E12" location="'F1 Crash Severity'!A1" display="Factor 1: Crash Severity (ICC)" xr:uid="{4BFC8029-C9D1-4213-9713-D025D897BA2B}"/>
    <hyperlink ref="B13:E13" location="'F2 Crash Frequency'!A1" display="Factor 2: Crash Frequency (ICF)    " xr:uid="{FC7D0CE8-D852-4473-9916-9AF491F9069F}"/>
    <hyperlink ref="B14:E14" location="'F3 Cost Effectiveness'!A1" display="Factor 3: Cost-Effectiveness  " xr:uid="{43996DFD-3AF8-4E0F-8C56-AE60C45BB465}"/>
    <hyperlink ref="B18:E18" location="'F4 Mobility Improvement'!A1" display="Factor 4: Mobility Improvement" xr:uid="{CB9DE9E6-D441-498A-B2FA-8253DD87CF6A}"/>
    <hyperlink ref="B19:E19" location="'F5 Public and Other Interest'!A1" display="Factor 5: Public and Other Interest" xr:uid="{AB647526-F93B-401C-B1BB-8199B0F90868}"/>
    <hyperlink ref="B24:E24" location="'F7 Earmarks and External Cont.'!A1" display="#8 Earmarks &amp; External Contributions" xr:uid="{E74BAC24-7457-4190-B0FF-54944E09071C}"/>
    <hyperlink ref="B20:E20" location="'F6 Economic Factors'!A1" display="Factor 6: Economic Factors" xr:uid="{FE9C8367-228E-418A-9B0C-2357208AD67D}"/>
  </hyperlinks>
  <pageMargins left="0.25" right="0.25" top="0.75" bottom="0.75" header="0.3" footer="0.3"/>
  <pageSetup scale="52" orientation="portrait" r:id="rId1"/>
  <headerFooter>
    <oddHeader>&amp;L&amp;G&amp;C&amp;"-,Bold"&amp;15TSAM Team 
Trafic Safety Project Scoring Sheet
Version 25.1</oddHeader>
    <oddFooter>&amp;LPrinted &amp;D
&amp;T&amp;C&amp;F&amp;RDesigned by:
 TSAM Subcommittee 
For issues, contact:
jgallagher1@indot.in.gov</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3D84FA7-9638-427C-BC7E-7641D58B82C1}">
          <x14:formula1>
            <xm:f>INDIRECT('Cover Calculations'!$J$2)</xm:f>
          </x14:formula1>
          <xm:sqref>H5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2"/>
  <sheetViews>
    <sheetView showGridLines="0" workbookViewId="0">
      <selection activeCell="C9" sqref="C9"/>
    </sheetView>
  </sheetViews>
  <sheetFormatPr defaultRowHeight="15"/>
  <cols>
    <col min="1" max="1" width="3.140625" customWidth="1"/>
    <col min="2" max="2" width="88.85546875" bestFit="1" customWidth="1"/>
    <col min="3" max="3" width="19.5703125" bestFit="1" customWidth="1"/>
    <col min="4" max="4" width="6.28515625" customWidth="1"/>
    <col min="5" max="5" width="70.5703125" bestFit="1" customWidth="1"/>
    <col min="6" max="6" width="19" customWidth="1"/>
    <col min="8" max="8" width="21" bestFit="1" customWidth="1"/>
  </cols>
  <sheetData>
    <row r="1" spans="1:16" ht="15" customHeight="1">
      <c r="A1" s="323" t="s">
        <v>399</v>
      </c>
      <c r="B1" s="389"/>
      <c r="C1" s="390"/>
      <c r="D1" s="314" t="s">
        <v>400</v>
      </c>
      <c r="E1" s="315"/>
      <c r="F1" s="316"/>
      <c r="G1" s="118"/>
      <c r="H1" s="29" t="s">
        <v>140</v>
      </c>
      <c r="I1" s="118"/>
      <c r="J1" s="118"/>
      <c r="K1" s="118"/>
      <c r="L1" s="118"/>
      <c r="M1" s="118"/>
      <c r="N1" s="118"/>
      <c r="O1" s="118"/>
      <c r="P1" s="118"/>
    </row>
    <row r="2" spans="1:16">
      <c r="A2" s="391"/>
      <c r="B2" s="392"/>
      <c r="C2" s="393"/>
      <c r="D2" s="317"/>
      <c r="E2" s="318"/>
      <c r="F2" s="319"/>
      <c r="G2" s="118"/>
      <c r="H2" s="118"/>
      <c r="I2" s="118"/>
      <c r="J2" s="118"/>
      <c r="K2" s="118"/>
      <c r="L2" s="118"/>
      <c r="M2" s="118"/>
      <c r="N2" s="118"/>
      <c r="O2" s="118"/>
      <c r="P2" s="118"/>
    </row>
    <row r="3" spans="1:16">
      <c r="A3" s="391"/>
      <c r="B3" s="392"/>
      <c r="C3" s="393"/>
      <c r="D3" s="317"/>
      <c r="E3" s="318"/>
      <c r="F3" s="319"/>
      <c r="G3" s="118"/>
      <c r="H3" s="118"/>
      <c r="I3" s="118"/>
      <c r="J3" s="118"/>
      <c r="K3" s="118"/>
      <c r="L3" s="118"/>
      <c r="M3" s="118"/>
      <c r="N3" s="118"/>
      <c r="O3" s="118"/>
      <c r="P3" s="118"/>
    </row>
    <row r="4" spans="1:16">
      <c r="A4" s="391"/>
      <c r="B4" s="392"/>
      <c r="C4" s="393"/>
      <c r="D4" s="317"/>
      <c r="E4" s="318"/>
      <c r="F4" s="319"/>
      <c r="G4" s="118"/>
      <c r="H4" s="118"/>
      <c r="I4" s="118"/>
      <c r="J4" s="118"/>
      <c r="K4" s="118"/>
      <c r="L4" s="118"/>
      <c r="M4" s="118"/>
      <c r="N4" s="118"/>
      <c r="O4" s="118"/>
      <c r="P4" s="118"/>
    </row>
    <row r="5" spans="1:16">
      <c r="A5" s="391"/>
      <c r="B5" s="392"/>
      <c r="C5" s="393"/>
      <c r="D5" s="317"/>
      <c r="E5" s="318"/>
      <c r="F5" s="319"/>
      <c r="G5" s="118"/>
      <c r="H5" s="118"/>
      <c r="I5" s="118"/>
      <c r="J5" s="118"/>
      <c r="K5" s="118"/>
      <c r="L5" s="118"/>
      <c r="M5" s="118"/>
      <c r="N5" s="118"/>
      <c r="O5" s="118"/>
      <c r="P5" s="118"/>
    </row>
    <row r="6" spans="1:16" ht="15.75" thickBot="1">
      <c r="A6" s="394"/>
      <c r="B6" s="395"/>
      <c r="C6" s="396"/>
      <c r="D6" s="320"/>
      <c r="E6" s="321"/>
      <c r="F6" s="322"/>
      <c r="G6" s="118"/>
      <c r="H6" s="118"/>
      <c r="I6" s="118"/>
      <c r="J6" s="118"/>
      <c r="K6" s="118"/>
      <c r="L6" s="118"/>
      <c r="M6" s="118"/>
      <c r="N6" s="118"/>
      <c r="O6" s="118"/>
      <c r="P6" s="118"/>
    </row>
    <row r="7" spans="1:16" ht="15.75" thickBot="1">
      <c r="A7" s="14"/>
      <c r="B7" s="14"/>
      <c r="C7" s="14"/>
      <c r="D7" s="14"/>
      <c r="E7" s="14"/>
      <c r="F7" s="14"/>
      <c r="G7" s="14"/>
      <c r="H7" s="14"/>
      <c r="I7" s="14"/>
      <c r="J7" s="14"/>
      <c r="K7" s="14"/>
      <c r="L7" s="14"/>
      <c r="M7" s="14"/>
    </row>
    <row r="8" spans="1:16" ht="18.75">
      <c r="A8" s="14"/>
      <c r="B8" s="121" t="s">
        <v>401</v>
      </c>
      <c r="C8" s="122" t="s">
        <v>14</v>
      </c>
      <c r="D8" s="14"/>
      <c r="E8" s="388" t="s">
        <v>402</v>
      </c>
      <c r="F8" s="388"/>
      <c r="G8" s="14"/>
      <c r="H8" s="14"/>
      <c r="I8" s="14"/>
      <c r="J8" s="14"/>
      <c r="K8" s="14"/>
      <c r="L8" s="14"/>
      <c r="M8" s="14"/>
    </row>
    <row r="9" spans="1:16" ht="19.5" thickBot="1">
      <c r="B9" s="123"/>
      <c r="C9" s="124">
        <f>IFERROR(VLOOKUP(B9,'Factor 4 Calculations'!A1:B4,2,FALSE),0)</f>
        <v>0</v>
      </c>
      <c r="E9" s="109" t="s">
        <v>403</v>
      </c>
      <c r="F9" s="109" t="s">
        <v>14</v>
      </c>
    </row>
    <row r="10" spans="1:16">
      <c r="E10" s="113" t="s">
        <v>404</v>
      </c>
      <c r="F10" s="113">
        <v>0</v>
      </c>
    </row>
    <row r="11" spans="1:16">
      <c r="E11" s="113" t="s">
        <v>405</v>
      </c>
      <c r="F11" s="113">
        <v>1</v>
      </c>
    </row>
    <row r="12" spans="1:16">
      <c r="E12" s="113" t="s">
        <v>406</v>
      </c>
      <c r="F12" s="113">
        <v>2</v>
      </c>
    </row>
    <row r="13" spans="1:16">
      <c r="E13" s="113" t="s">
        <v>407</v>
      </c>
      <c r="F13" s="113">
        <v>3</v>
      </c>
    </row>
    <row r="31" spans="4:5">
      <c r="D31" s="237"/>
      <c r="E31" s="237"/>
    </row>
    <row r="32" spans="4:5">
      <c r="D32" s="237"/>
      <c r="E32" s="237"/>
    </row>
  </sheetData>
  <sheetProtection sheet="1" objects="1" scenarios="1"/>
  <protectedRanges>
    <protectedRange sqref="B9" name="Input"/>
  </protectedRanges>
  <mergeCells count="3">
    <mergeCell ref="E8:F8"/>
    <mergeCell ref="A1:C6"/>
    <mergeCell ref="D1:F6"/>
  </mergeCells>
  <conditionalFormatting sqref="E10:F13">
    <cfRule type="expression" dxfId="4" priority="30">
      <formula>$E10=$B$9</formula>
    </cfRule>
  </conditionalFormatting>
  <hyperlinks>
    <hyperlink ref="H1" location="'Cover Sheet'!B18" display="BACK TO COVER SHEET" xr:uid="{CC1D7FAC-B18B-4234-B8B1-07D5FC46274C}"/>
  </hyperlinks>
  <pageMargins left="0.7" right="0.7" top="0.75" bottom="0.75" header="0.3" footer="0.3"/>
  <pageSetup scale="58"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5C74ADE-9ABF-4FBC-8095-1774FF52A67A}">
          <x14:formula1>
            <xm:f>'Factor 4 Calculations'!$A$1:$A$4</xm:f>
          </x14:formula1>
          <xm:sqref>B9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BBCC-9184-4F28-B50E-D50B7DC657E8}">
  <dimension ref="A1:B4"/>
  <sheetViews>
    <sheetView workbookViewId="0">
      <selection activeCell="P38" sqref="P38"/>
    </sheetView>
  </sheetViews>
  <sheetFormatPr defaultRowHeight="15"/>
  <cols>
    <col min="1" max="1" width="70.5703125" bestFit="1" customWidth="1"/>
  </cols>
  <sheetData>
    <row r="1" spans="1:2">
      <c r="A1" t="s">
        <v>404</v>
      </c>
      <c r="B1">
        <v>0</v>
      </c>
    </row>
    <row r="2" spans="1:2">
      <c r="A2" t="s">
        <v>405</v>
      </c>
      <c r="B2">
        <v>1</v>
      </c>
    </row>
    <row r="3" spans="1:2">
      <c r="A3" t="s">
        <v>406</v>
      </c>
      <c r="B3">
        <v>2</v>
      </c>
    </row>
    <row r="4" spans="1:2">
      <c r="A4" t="s">
        <v>407</v>
      </c>
      <c r="B4">
        <v>3</v>
      </c>
    </row>
  </sheetData>
  <sheetProtection algorithmName="SHA-512" hashValue="3T9KOaZCq9GQPPjVRCUM+CljW1AGbQrDNTnwhX3IDnH1MZ4nOcbJ2Hg5GFzzgO5MoV40pfSYN6JRitWyqLGzww==" saltValue="yQaVpY6ZgCuHBtb11SMTh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3"/>
  <sheetViews>
    <sheetView showGridLines="0" workbookViewId="0">
      <selection activeCell="C9" sqref="C9"/>
    </sheetView>
  </sheetViews>
  <sheetFormatPr defaultRowHeight="15"/>
  <cols>
    <col min="1" max="1" width="3.42578125" customWidth="1"/>
    <col min="2" max="2" width="96" bestFit="1" customWidth="1"/>
    <col min="3" max="3" width="19.5703125" bestFit="1" customWidth="1"/>
    <col min="4" max="4" width="11" customWidth="1"/>
    <col min="5" max="5" width="77.42578125" bestFit="1" customWidth="1"/>
    <col min="6" max="6" width="19" bestFit="1" customWidth="1"/>
    <col min="8" max="8" width="21" bestFit="1" customWidth="1"/>
  </cols>
  <sheetData>
    <row r="1" spans="1:8">
      <c r="A1" s="323" t="s">
        <v>408</v>
      </c>
      <c r="B1" s="389"/>
      <c r="C1" s="390"/>
      <c r="D1" s="314" t="s">
        <v>409</v>
      </c>
      <c r="E1" s="315"/>
      <c r="F1" s="316"/>
      <c r="H1" s="29" t="s">
        <v>140</v>
      </c>
    </row>
    <row r="2" spans="1:8">
      <c r="A2" s="391"/>
      <c r="B2" s="392"/>
      <c r="C2" s="393"/>
      <c r="D2" s="317"/>
      <c r="E2" s="318"/>
      <c r="F2" s="319"/>
    </row>
    <row r="3" spans="1:8">
      <c r="A3" s="391"/>
      <c r="B3" s="392"/>
      <c r="C3" s="393"/>
      <c r="D3" s="317"/>
      <c r="E3" s="318"/>
      <c r="F3" s="319"/>
    </row>
    <row r="4" spans="1:8">
      <c r="A4" s="391"/>
      <c r="B4" s="392"/>
      <c r="C4" s="393"/>
      <c r="D4" s="317"/>
      <c r="E4" s="318"/>
      <c r="F4" s="319"/>
    </row>
    <row r="5" spans="1:8">
      <c r="A5" s="391"/>
      <c r="B5" s="392"/>
      <c r="C5" s="393"/>
      <c r="D5" s="317"/>
      <c r="E5" s="318"/>
      <c r="F5" s="319"/>
    </row>
    <row r="6" spans="1:8" ht="15.75" thickBot="1">
      <c r="A6" s="394"/>
      <c r="B6" s="395"/>
      <c r="C6" s="396"/>
      <c r="D6" s="320"/>
      <c r="E6" s="321"/>
      <c r="F6" s="322"/>
    </row>
    <row r="7" spans="1:8" ht="15.75" thickBot="1"/>
    <row r="8" spans="1:8" ht="18.75">
      <c r="B8" s="125" t="s">
        <v>410</v>
      </c>
      <c r="C8" s="126" t="s">
        <v>14</v>
      </c>
      <c r="E8" s="398" t="s">
        <v>402</v>
      </c>
      <c r="F8" s="399"/>
    </row>
    <row r="9" spans="1:8" ht="19.5" thickBot="1">
      <c r="B9" s="127"/>
      <c r="C9" s="124">
        <f>IFERROR(VLOOKUP(B9,'Factor 5 Calculations'!A1:B6,2,FALSE),0)</f>
        <v>0</v>
      </c>
      <c r="E9" s="109" t="s">
        <v>403</v>
      </c>
      <c r="F9" s="109" t="s">
        <v>14</v>
      </c>
    </row>
    <row r="10" spans="1:8">
      <c r="B10" s="397" t="str">
        <f>IF(C9&gt;1,"NOTE: Documentation must be uploaded to PW4 as part of project submission","")</f>
        <v/>
      </c>
      <c r="C10" s="397"/>
      <c r="E10" s="112" t="s">
        <v>411</v>
      </c>
      <c r="F10" s="112">
        <v>0</v>
      </c>
    </row>
    <row r="11" spans="1:8">
      <c r="B11" s="397"/>
      <c r="C11" s="397"/>
      <c r="E11" s="112" t="s">
        <v>412</v>
      </c>
      <c r="F11" s="112">
        <v>1</v>
      </c>
    </row>
    <row r="12" spans="1:8">
      <c r="E12" s="112" t="s">
        <v>413</v>
      </c>
      <c r="F12" s="112">
        <v>2</v>
      </c>
    </row>
    <row r="13" spans="1:8">
      <c r="E13" s="112" t="s">
        <v>414</v>
      </c>
      <c r="F13" s="112">
        <v>3</v>
      </c>
    </row>
    <row r="14" spans="1:8">
      <c r="E14" s="112" t="s">
        <v>415</v>
      </c>
      <c r="F14" s="112">
        <v>4</v>
      </c>
    </row>
    <row r="15" spans="1:8">
      <c r="E15" s="112" t="s">
        <v>416</v>
      </c>
      <c r="F15" s="112">
        <v>5</v>
      </c>
    </row>
    <row r="27" spans="1:13">
      <c r="A27" s="14"/>
      <c r="B27" s="128"/>
      <c r="C27" s="128"/>
      <c r="D27" s="128"/>
      <c r="E27" s="128"/>
      <c r="F27" s="128"/>
      <c r="G27" s="128"/>
      <c r="H27" s="128"/>
      <c r="I27" s="128"/>
      <c r="J27" s="128"/>
      <c r="K27" s="128"/>
      <c r="L27" s="128"/>
      <c r="M27" s="128"/>
    </row>
    <row r="28" spans="1:13">
      <c r="A28" s="128"/>
      <c r="B28" s="128"/>
      <c r="C28" s="128"/>
      <c r="D28" s="128"/>
      <c r="E28" s="128"/>
      <c r="F28" s="128"/>
      <c r="G28" s="128"/>
      <c r="H28" s="128"/>
      <c r="I28" s="128"/>
      <c r="J28" s="128"/>
      <c r="K28" s="128"/>
      <c r="L28" s="128"/>
      <c r="M28" s="128"/>
    </row>
    <row r="29" spans="1:13">
      <c r="A29" s="128"/>
      <c r="B29" s="128"/>
      <c r="C29" s="128"/>
      <c r="D29" s="128"/>
      <c r="E29" s="128"/>
      <c r="F29" s="128"/>
      <c r="G29" s="128"/>
      <c r="H29" s="128"/>
      <c r="I29" s="128"/>
      <c r="J29" s="128"/>
      <c r="K29" s="128"/>
      <c r="L29" s="128"/>
      <c r="M29" s="128"/>
    </row>
    <row r="30" spans="1:13">
      <c r="A30" s="128"/>
      <c r="B30" s="128"/>
      <c r="C30" s="128"/>
      <c r="D30" s="128"/>
      <c r="E30" s="128"/>
      <c r="F30" s="128"/>
      <c r="G30" s="128"/>
      <c r="H30" s="128"/>
      <c r="I30" s="128"/>
      <c r="J30" s="128"/>
      <c r="K30" s="128"/>
      <c r="L30" s="128"/>
      <c r="M30" s="128"/>
    </row>
    <row r="31" spans="1:13">
      <c r="A31" s="128"/>
      <c r="B31" s="128"/>
      <c r="C31" s="128"/>
      <c r="D31" s="128"/>
      <c r="E31" s="128"/>
      <c r="F31" s="128"/>
      <c r="G31" s="128"/>
      <c r="H31" s="128"/>
      <c r="I31" s="128"/>
      <c r="J31" s="128"/>
      <c r="K31" s="128"/>
      <c r="L31" s="128"/>
      <c r="M31" s="128"/>
    </row>
    <row r="32" spans="1:13">
      <c r="A32" s="128"/>
      <c r="B32" s="128"/>
      <c r="C32" s="128"/>
      <c r="D32" s="128"/>
      <c r="E32" s="128"/>
      <c r="F32" s="128"/>
      <c r="G32" s="128"/>
      <c r="H32" s="128"/>
      <c r="I32" s="128"/>
      <c r="J32" s="128"/>
      <c r="K32" s="128"/>
      <c r="L32" s="128"/>
      <c r="M32" s="128"/>
    </row>
    <row r="33" spans="1:13">
      <c r="A33" s="128"/>
      <c r="B33" s="128"/>
      <c r="C33" s="128"/>
      <c r="D33" s="128"/>
      <c r="E33" s="128"/>
      <c r="F33" s="128"/>
      <c r="G33" s="128"/>
      <c r="H33" s="128"/>
      <c r="I33" s="128"/>
      <c r="J33" s="128"/>
      <c r="K33" s="128"/>
      <c r="L33" s="128"/>
      <c r="M33" s="128"/>
    </row>
  </sheetData>
  <sheetProtection sheet="1" objects="1" scenarios="1"/>
  <protectedRanges>
    <protectedRange sqref="B9" name="Input"/>
  </protectedRanges>
  <mergeCells count="4">
    <mergeCell ref="B10:C11"/>
    <mergeCell ref="A1:C6"/>
    <mergeCell ref="D1:F6"/>
    <mergeCell ref="E8:F8"/>
  </mergeCells>
  <conditionalFormatting sqref="B10:C11">
    <cfRule type="expression" dxfId="3" priority="31">
      <formula>$C$9&gt;1</formula>
    </cfRule>
  </conditionalFormatting>
  <conditionalFormatting sqref="E10:F15">
    <cfRule type="expression" dxfId="2" priority="33">
      <formula>$E10=$B$9</formula>
    </cfRule>
  </conditionalFormatting>
  <hyperlinks>
    <hyperlink ref="H1" location="'Cover Sheet'!B19" display="BACK TO COVER SHEET" xr:uid="{3D5B337A-7EC2-4D7C-AE01-D3A068963A4E}"/>
  </hyperlinks>
  <pageMargins left="0.7" right="0.7" top="0.75" bottom="0.75" header="0.3" footer="0.3"/>
  <pageSetup scale="5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2F72A54-C89C-4BA8-B9ED-957A07AD75EA}">
          <x14:formula1>
            <xm:f>'Factor 5 Calculations'!$A$1:$A$6</xm:f>
          </x14:formula1>
          <xm:sqref>B9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6314F-E57D-4AC2-BBCF-FEDD383B4437}">
  <dimension ref="A1:B6"/>
  <sheetViews>
    <sheetView workbookViewId="0">
      <selection activeCell="A15" sqref="A15"/>
    </sheetView>
  </sheetViews>
  <sheetFormatPr defaultRowHeight="15"/>
  <cols>
    <col min="1" max="1" width="76.28515625" bestFit="1" customWidth="1"/>
  </cols>
  <sheetData>
    <row r="1" spans="1:2">
      <c r="A1" t="s">
        <v>411</v>
      </c>
      <c r="B1">
        <v>0</v>
      </c>
    </row>
    <row r="2" spans="1:2">
      <c r="A2" t="s">
        <v>412</v>
      </c>
      <c r="B2">
        <v>1</v>
      </c>
    </row>
    <row r="3" spans="1:2">
      <c r="A3" t="s">
        <v>413</v>
      </c>
      <c r="B3">
        <v>2</v>
      </c>
    </row>
    <row r="4" spans="1:2">
      <c r="A4" t="s">
        <v>414</v>
      </c>
      <c r="B4">
        <v>3</v>
      </c>
    </row>
    <row r="5" spans="1:2">
      <c r="A5" t="s">
        <v>415</v>
      </c>
      <c r="B5">
        <v>4</v>
      </c>
    </row>
    <row r="6" spans="1:2">
      <c r="A6" t="s">
        <v>416</v>
      </c>
      <c r="B6">
        <v>5</v>
      </c>
    </row>
  </sheetData>
  <sheetProtection algorithmName="SHA-512" hashValue="p90UoO2Xfq/lINbsIdFtMHs78qXqPkv2eFGKDjIz7MRtuckG3/jattedPjsTEOtKHlZZLnOPwc2XwuLrZpBWvw==" saltValue="5aGE6zfXtWMNf3l+cSjVd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AF5A8-EA3C-4A8E-9CF0-1A13AB3136C4}">
  <sheetPr>
    <pageSetUpPr fitToPage="1"/>
  </sheetPr>
  <dimension ref="A1:AA29"/>
  <sheetViews>
    <sheetView showGridLines="0" workbookViewId="0">
      <selection activeCell="C10" sqref="C10"/>
    </sheetView>
  </sheetViews>
  <sheetFormatPr defaultRowHeight="15"/>
  <cols>
    <col min="1" max="1" width="4.140625" customWidth="1"/>
    <col min="2" max="2" width="85.85546875" bestFit="1" customWidth="1"/>
    <col min="3" max="3" width="26.85546875" bestFit="1" customWidth="1"/>
    <col min="4" max="5" width="38" customWidth="1"/>
    <col min="6" max="6" width="50.140625" customWidth="1"/>
    <col min="8" max="8" width="21" bestFit="1" customWidth="1"/>
  </cols>
  <sheetData>
    <row r="1" spans="1:8" ht="15.75" customHeight="1">
      <c r="A1" s="323" t="s">
        <v>417</v>
      </c>
      <c r="B1" s="389"/>
      <c r="C1" s="390"/>
      <c r="D1" s="314" t="s">
        <v>418</v>
      </c>
      <c r="E1" s="315"/>
      <c r="F1" s="316"/>
      <c r="H1" s="29" t="s">
        <v>140</v>
      </c>
    </row>
    <row r="2" spans="1:8" ht="15.75" customHeight="1">
      <c r="A2" s="391"/>
      <c r="B2" s="392"/>
      <c r="C2" s="393"/>
      <c r="D2" s="317"/>
      <c r="E2" s="318"/>
      <c r="F2" s="319"/>
    </row>
    <row r="3" spans="1:8" ht="15.75" customHeight="1">
      <c r="A3" s="391"/>
      <c r="B3" s="392"/>
      <c r="C3" s="393"/>
      <c r="D3" s="317"/>
      <c r="E3" s="318"/>
      <c r="F3" s="319"/>
    </row>
    <row r="4" spans="1:8" ht="15.75" customHeight="1">
      <c r="A4" s="391"/>
      <c r="B4" s="392"/>
      <c r="C4" s="393"/>
      <c r="D4" s="317"/>
      <c r="E4" s="318"/>
      <c r="F4" s="319"/>
    </row>
    <row r="5" spans="1:8">
      <c r="A5" s="391"/>
      <c r="B5" s="392"/>
      <c r="C5" s="393"/>
      <c r="D5" s="317"/>
      <c r="E5" s="318"/>
      <c r="F5" s="319"/>
    </row>
    <row r="6" spans="1:8" ht="15.75" customHeight="1" thickBot="1">
      <c r="A6" s="394"/>
      <c r="B6" s="395"/>
      <c r="C6" s="396"/>
      <c r="D6" s="320"/>
      <c r="E6" s="321"/>
      <c r="F6" s="322"/>
    </row>
    <row r="7" spans="1:8" ht="15.75" thickBot="1"/>
    <row r="8" spans="1:8" ht="19.5" thickBot="1">
      <c r="B8" s="400" t="s">
        <v>419</v>
      </c>
      <c r="C8" s="401"/>
      <c r="D8" s="164" t="s">
        <v>14</v>
      </c>
      <c r="E8" s="132"/>
    </row>
    <row r="9" spans="1:8" ht="18.75">
      <c r="B9" s="167" t="s">
        <v>420</v>
      </c>
      <c r="C9" s="168" t="str">
        <f>IF('Cover Sheet'!H5="","Enter on Cover Sheet",'Cover Sheet'!H5)</f>
        <v>Enter on Cover Sheet</v>
      </c>
      <c r="D9" s="404">
        <f>IF(OR(C13="Yes",C12="Incorrect Cencus Tract", C10=""),0,IF(C12&lt;33000,7,IF(C12&gt;67000,0,-0.000205882*C12+13.794094)))</f>
        <v>0</v>
      </c>
    </row>
    <row r="10" spans="1:8" ht="18.75">
      <c r="B10" s="130" t="s">
        <v>421</v>
      </c>
      <c r="C10" s="131"/>
      <c r="D10" s="405"/>
    </row>
    <row r="11" spans="1:8" ht="18.75">
      <c r="B11" s="402" t="s">
        <v>422</v>
      </c>
      <c r="C11" s="403"/>
      <c r="D11" s="405"/>
    </row>
    <row r="12" spans="1:8" ht="18.75">
      <c r="B12" s="130" t="s">
        <v>423</v>
      </c>
      <c r="C12" s="219" t="str">
        <f>IF(C10="","Enter Census Tract",IFERROR('Factor 6 Calculations'!B4,"Incorrect Cencus Tract"))</f>
        <v>Enter Census Tract</v>
      </c>
      <c r="D12" s="405"/>
    </row>
    <row r="13" spans="1:8" ht="19.5" thickBot="1">
      <c r="B13" s="169" t="s">
        <v>424</v>
      </c>
      <c r="C13" s="170"/>
      <c r="D13" s="406"/>
    </row>
    <row r="21" spans="5:27">
      <c r="E21" s="171"/>
      <c r="F21" s="29"/>
    </row>
    <row r="29" spans="5:27">
      <c r="AA29" s="29" t="s">
        <v>425</v>
      </c>
    </row>
  </sheetData>
  <sheetProtection sheet="1" objects="1" scenarios="1"/>
  <protectedRanges>
    <protectedRange sqref="C10" name="Range1"/>
    <protectedRange sqref="C13" name="Range2"/>
  </protectedRanges>
  <mergeCells count="5">
    <mergeCell ref="A1:C6"/>
    <mergeCell ref="D1:F6"/>
    <mergeCell ref="B8:C8"/>
    <mergeCell ref="B11:C11"/>
    <mergeCell ref="D9:D13"/>
  </mergeCells>
  <hyperlinks>
    <hyperlink ref="AA29" r:id="rId1" xr:uid="{38F0F760-AA4E-4290-B5A5-38B4EF885ADF}"/>
    <hyperlink ref="B11:C11" r:id="rId2" display="Census Tract Map" xr:uid="{AEACF21E-98E2-4A5F-824D-E310C34670BA}"/>
    <hyperlink ref="H1" location="'Cover Sheet'!B20" display="BACK TO COVER SHEET" xr:uid="{28F39AB9-739F-48B1-B412-CDBDE5915F67}"/>
  </hyperlinks>
  <pageMargins left="0.7" right="0.7" top="0.75" bottom="0.75" header="0.3" footer="0.3"/>
  <pageSetup scale="50"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02420B3-0334-4899-9F3B-29E96A70BF6D}">
          <x14:formula1>
            <xm:f>'Factor 6 Calculations'!$V$1:$V$2</xm:f>
          </x14:formula1>
          <xm:sqref>C13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931F-F12A-4CDB-BD5D-E955BA90EAC8}">
  <dimension ref="A1:V1702"/>
  <sheetViews>
    <sheetView workbookViewId="0">
      <selection activeCell="A16" sqref="A16"/>
    </sheetView>
  </sheetViews>
  <sheetFormatPr defaultRowHeight="15"/>
  <cols>
    <col min="1" max="1" width="46.5703125" bestFit="1" customWidth="1"/>
    <col min="2" max="2" width="25.140625" style="217" bestFit="1" customWidth="1"/>
    <col min="12" max="12" width="9.5703125" bestFit="1" customWidth="1"/>
  </cols>
  <sheetData>
    <row r="1" spans="1:22">
      <c r="A1" t="s">
        <v>426</v>
      </c>
      <c r="B1">
        <f>'F6 Economic Factors'!C10</f>
        <v>0</v>
      </c>
      <c r="V1" t="s">
        <v>265</v>
      </c>
    </row>
    <row r="2" spans="1:22">
      <c r="A2" t="s">
        <v>7</v>
      </c>
      <c r="B2" t="str">
        <f>'F6 Economic Factors'!C9</f>
        <v>Enter on Cover Sheet</v>
      </c>
      <c r="V2" t="s">
        <v>188</v>
      </c>
    </row>
    <row r="3" spans="1:22">
      <c r="A3" t="s">
        <v>427</v>
      </c>
      <c r="B3" t="str">
        <f>"Census Tract "&amp;B1&amp;", "&amp;B2&amp;" County, Indiana"</f>
        <v>Census Tract 0, Enter on Cover Sheet County, Indiana</v>
      </c>
      <c r="K3" t="s">
        <v>428</v>
      </c>
      <c r="L3" t="s">
        <v>147</v>
      </c>
    </row>
    <row r="4" spans="1:22">
      <c r="A4" t="s">
        <v>429</v>
      </c>
      <c r="B4" s="220" t="e">
        <f>VLOOKUP(B3,A8:B1702,2,FALSE)</f>
        <v>#N/A</v>
      </c>
      <c r="K4" s="4">
        <v>5000</v>
      </c>
      <c r="L4">
        <v>7</v>
      </c>
    </row>
    <row r="5" spans="1:22">
      <c r="B5"/>
      <c r="K5" s="4">
        <v>7000</v>
      </c>
      <c r="L5">
        <v>7</v>
      </c>
    </row>
    <row r="6" spans="1:22">
      <c r="B6"/>
      <c r="K6" s="4">
        <v>9000</v>
      </c>
      <c r="L6">
        <v>7</v>
      </c>
    </row>
    <row r="7" spans="1:22">
      <c r="B7"/>
      <c r="K7" s="4">
        <v>11000</v>
      </c>
      <c r="L7">
        <v>7</v>
      </c>
    </row>
    <row r="8" spans="1:22">
      <c r="A8" t="s">
        <v>421</v>
      </c>
      <c r="B8" s="217" t="s">
        <v>429</v>
      </c>
      <c r="K8" s="4">
        <v>13000</v>
      </c>
      <c r="L8">
        <v>7</v>
      </c>
    </row>
    <row r="9" spans="1:22">
      <c r="A9" t="s">
        <v>430</v>
      </c>
      <c r="B9" s="217" t="s">
        <v>431</v>
      </c>
      <c r="K9" s="4">
        <v>15000</v>
      </c>
      <c r="L9">
        <v>7</v>
      </c>
    </row>
    <row r="10" spans="1:22">
      <c r="A10" t="s">
        <v>432</v>
      </c>
      <c r="B10" s="218">
        <v>77426</v>
      </c>
      <c r="K10" s="4">
        <v>17000</v>
      </c>
      <c r="L10">
        <v>7</v>
      </c>
    </row>
    <row r="11" spans="1:22">
      <c r="A11" t="s">
        <v>433</v>
      </c>
      <c r="B11" s="218">
        <v>36225</v>
      </c>
      <c r="K11" s="4">
        <v>19000</v>
      </c>
      <c r="L11">
        <v>7</v>
      </c>
    </row>
    <row r="12" spans="1:22">
      <c r="A12" t="s">
        <v>434</v>
      </c>
      <c r="B12" s="218">
        <v>48977</v>
      </c>
      <c r="K12" s="4">
        <v>21000</v>
      </c>
      <c r="L12">
        <v>7</v>
      </c>
    </row>
    <row r="13" spans="1:22">
      <c r="A13" t="s">
        <v>435</v>
      </c>
      <c r="B13" s="218">
        <v>75107</v>
      </c>
      <c r="K13" s="4">
        <v>23000</v>
      </c>
      <c r="L13">
        <v>7</v>
      </c>
    </row>
    <row r="14" spans="1:22">
      <c r="A14" t="s">
        <v>436</v>
      </c>
      <c r="B14" s="218">
        <v>57961</v>
      </c>
      <c r="K14" s="4">
        <v>25000</v>
      </c>
      <c r="L14">
        <v>7</v>
      </c>
    </row>
    <row r="15" spans="1:22">
      <c r="A15" t="s">
        <v>437</v>
      </c>
      <c r="B15" s="218">
        <v>45000</v>
      </c>
      <c r="K15" s="4">
        <v>27000</v>
      </c>
      <c r="L15">
        <v>7</v>
      </c>
    </row>
    <row r="16" spans="1:22">
      <c r="A16" t="s">
        <v>438</v>
      </c>
      <c r="B16" s="218">
        <v>48764</v>
      </c>
      <c r="K16" s="4">
        <v>29000</v>
      </c>
      <c r="L16">
        <v>7</v>
      </c>
    </row>
    <row r="17" spans="1:12">
      <c r="A17" t="s">
        <v>439</v>
      </c>
      <c r="B17" s="218">
        <v>52292</v>
      </c>
      <c r="K17" s="4">
        <v>31000</v>
      </c>
      <c r="L17">
        <v>7</v>
      </c>
    </row>
    <row r="18" spans="1:12">
      <c r="A18" t="s">
        <v>440</v>
      </c>
      <c r="B18" s="218">
        <v>60521</v>
      </c>
      <c r="K18" s="4">
        <v>33000</v>
      </c>
      <c r="L18">
        <f t="shared" ref="L18:L35" si="0">-0.000205882*K18+13.794094</f>
        <v>6.9999879999999992</v>
      </c>
    </row>
    <row r="19" spans="1:12">
      <c r="A19" t="s">
        <v>441</v>
      </c>
      <c r="B19" s="218">
        <v>45962</v>
      </c>
      <c r="K19" s="4">
        <v>35000</v>
      </c>
      <c r="L19">
        <f t="shared" si="0"/>
        <v>6.5882239999999994</v>
      </c>
    </row>
    <row r="20" spans="1:12">
      <c r="A20" t="s">
        <v>442</v>
      </c>
      <c r="B20" s="218">
        <v>34432</v>
      </c>
      <c r="K20" s="4">
        <v>37000</v>
      </c>
      <c r="L20">
        <f t="shared" si="0"/>
        <v>6.1764599999999996</v>
      </c>
    </row>
    <row r="21" spans="1:12">
      <c r="A21" t="s">
        <v>443</v>
      </c>
      <c r="B21" s="218">
        <v>35507</v>
      </c>
      <c r="K21" s="4">
        <v>39000</v>
      </c>
      <c r="L21">
        <f t="shared" si="0"/>
        <v>5.7646959999999989</v>
      </c>
    </row>
    <row r="22" spans="1:12">
      <c r="A22" t="s">
        <v>444</v>
      </c>
      <c r="B22" s="218">
        <v>43026</v>
      </c>
      <c r="K22" s="4">
        <v>41000</v>
      </c>
      <c r="L22">
        <f t="shared" si="0"/>
        <v>5.3529319999999991</v>
      </c>
    </row>
    <row r="23" spans="1:12">
      <c r="A23" t="s">
        <v>445</v>
      </c>
      <c r="B23" s="218">
        <v>43286</v>
      </c>
      <c r="K23" s="4">
        <v>43000</v>
      </c>
      <c r="L23">
        <f t="shared" si="0"/>
        <v>4.9411679999999993</v>
      </c>
    </row>
    <row r="24" spans="1:12">
      <c r="A24" t="s">
        <v>446</v>
      </c>
      <c r="B24" s="218">
        <v>45634</v>
      </c>
      <c r="K24" s="4">
        <v>45000</v>
      </c>
      <c r="L24">
        <f t="shared" si="0"/>
        <v>4.5294039999999995</v>
      </c>
    </row>
    <row r="25" spans="1:12">
      <c r="A25" t="s">
        <v>447</v>
      </c>
      <c r="B25" s="218">
        <v>39444</v>
      </c>
      <c r="K25" s="4">
        <v>47000</v>
      </c>
      <c r="L25">
        <f t="shared" si="0"/>
        <v>4.1176399999999997</v>
      </c>
    </row>
    <row r="26" spans="1:12">
      <c r="A26" t="s">
        <v>448</v>
      </c>
      <c r="B26" s="218">
        <v>42891</v>
      </c>
      <c r="K26" s="4">
        <v>49000</v>
      </c>
      <c r="L26">
        <f t="shared" si="0"/>
        <v>3.7058759999999999</v>
      </c>
    </row>
    <row r="27" spans="1:12">
      <c r="A27" t="s">
        <v>449</v>
      </c>
      <c r="B27" s="218">
        <v>41645</v>
      </c>
      <c r="K27" s="4">
        <v>51000</v>
      </c>
      <c r="L27">
        <f t="shared" si="0"/>
        <v>3.2941119999999984</v>
      </c>
    </row>
    <row r="28" spans="1:12">
      <c r="A28" t="s">
        <v>450</v>
      </c>
      <c r="B28" s="218">
        <v>27716</v>
      </c>
      <c r="K28" s="4">
        <v>53000</v>
      </c>
      <c r="L28">
        <f t="shared" si="0"/>
        <v>2.8823479999999986</v>
      </c>
    </row>
    <row r="29" spans="1:12">
      <c r="A29" t="s">
        <v>451</v>
      </c>
      <c r="B29" s="218">
        <v>43980</v>
      </c>
      <c r="K29" s="4">
        <v>55000</v>
      </c>
      <c r="L29">
        <f t="shared" si="0"/>
        <v>2.4705839999999988</v>
      </c>
    </row>
    <row r="30" spans="1:12">
      <c r="A30" t="s">
        <v>452</v>
      </c>
      <c r="B30" s="218">
        <v>21080</v>
      </c>
      <c r="K30" s="4">
        <v>57000</v>
      </c>
      <c r="L30">
        <f t="shared" si="0"/>
        <v>2.058819999999999</v>
      </c>
    </row>
    <row r="31" spans="1:12">
      <c r="A31" t="s">
        <v>453</v>
      </c>
      <c r="B31" s="218">
        <v>21148</v>
      </c>
      <c r="K31" s="4">
        <v>59000</v>
      </c>
      <c r="L31">
        <f t="shared" si="0"/>
        <v>1.6470559999999992</v>
      </c>
    </row>
    <row r="32" spans="1:12">
      <c r="A32" t="s">
        <v>454</v>
      </c>
      <c r="B32" s="218">
        <v>31750</v>
      </c>
      <c r="K32" s="4">
        <v>61000</v>
      </c>
      <c r="L32">
        <f t="shared" si="0"/>
        <v>1.2352919999999994</v>
      </c>
    </row>
    <row r="33" spans="1:12">
      <c r="A33" t="s">
        <v>455</v>
      </c>
      <c r="B33" s="218">
        <v>42500</v>
      </c>
      <c r="K33" s="4">
        <v>63000</v>
      </c>
      <c r="L33">
        <f t="shared" si="0"/>
        <v>0.82352799999999959</v>
      </c>
    </row>
    <row r="34" spans="1:12">
      <c r="A34" t="s">
        <v>456</v>
      </c>
      <c r="B34" s="218">
        <v>39268</v>
      </c>
      <c r="K34" s="4">
        <v>65000</v>
      </c>
      <c r="L34">
        <f t="shared" si="0"/>
        <v>0.4117639999999998</v>
      </c>
    </row>
    <row r="35" spans="1:12">
      <c r="A35" t="s">
        <v>457</v>
      </c>
      <c r="B35" s="218">
        <v>23321</v>
      </c>
      <c r="K35" s="4">
        <v>67000</v>
      </c>
      <c r="L35">
        <f t="shared" si="0"/>
        <v>0</v>
      </c>
    </row>
    <row r="36" spans="1:12">
      <c r="A36" t="s">
        <v>458</v>
      </c>
      <c r="B36" s="218">
        <v>53841</v>
      </c>
      <c r="K36" s="4">
        <v>69000</v>
      </c>
      <c r="L36">
        <v>0</v>
      </c>
    </row>
    <row r="37" spans="1:12">
      <c r="A37" t="s">
        <v>459</v>
      </c>
      <c r="B37" s="218">
        <v>54196</v>
      </c>
      <c r="K37" s="4">
        <v>71000</v>
      </c>
      <c r="L37">
        <v>0</v>
      </c>
    </row>
    <row r="38" spans="1:12">
      <c r="A38" t="s">
        <v>460</v>
      </c>
      <c r="B38" s="218">
        <v>22589</v>
      </c>
      <c r="K38" s="4">
        <v>73000</v>
      </c>
      <c r="L38">
        <v>0</v>
      </c>
    </row>
    <row r="39" spans="1:12">
      <c r="A39" t="s">
        <v>461</v>
      </c>
      <c r="B39" s="218">
        <v>38412</v>
      </c>
      <c r="K39" s="4">
        <v>80000</v>
      </c>
      <c r="L39">
        <v>0</v>
      </c>
    </row>
    <row r="40" spans="1:12">
      <c r="A40" t="s">
        <v>462</v>
      </c>
      <c r="B40" s="218">
        <v>31492</v>
      </c>
      <c r="K40" s="4">
        <v>100000</v>
      </c>
      <c r="L40">
        <v>0</v>
      </c>
    </row>
    <row r="41" spans="1:12">
      <c r="A41" t="s">
        <v>463</v>
      </c>
      <c r="B41" s="218">
        <v>42807</v>
      </c>
      <c r="K41" s="4">
        <v>120000</v>
      </c>
      <c r="L41">
        <v>0</v>
      </c>
    </row>
    <row r="42" spans="1:12">
      <c r="A42" t="s">
        <v>464</v>
      </c>
      <c r="B42" s="218">
        <v>58646</v>
      </c>
    </row>
    <row r="43" spans="1:12">
      <c r="A43" t="s">
        <v>465</v>
      </c>
      <c r="B43" s="218">
        <v>56857</v>
      </c>
    </row>
    <row r="44" spans="1:12">
      <c r="A44" t="s">
        <v>466</v>
      </c>
      <c r="B44" s="218">
        <v>38204</v>
      </c>
    </row>
    <row r="45" spans="1:12">
      <c r="A45" t="s">
        <v>467</v>
      </c>
      <c r="B45" s="218">
        <v>55023</v>
      </c>
    </row>
    <row r="46" spans="1:12">
      <c r="A46" t="s">
        <v>468</v>
      </c>
      <c r="B46" s="218">
        <v>23910</v>
      </c>
    </row>
    <row r="47" spans="1:12">
      <c r="A47" t="s">
        <v>469</v>
      </c>
      <c r="B47" s="218">
        <v>43467</v>
      </c>
    </row>
    <row r="48" spans="1:12">
      <c r="A48" t="s">
        <v>470</v>
      </c>
      <c r="B48" s="218">
        <v>49516</v>
      </c>
    </row>
    <row r="49" spans="1:2">
      <c r="A49" t="s">
        <v>471</v>
      </c>
      <c r="B49" s="218">
        <v>31756</v>
      </c>
    </row>
    <row r="50" spans="1:2">
      <c r="A50" t="s">
        <v>472</v>
      </c>
      <c r="B50" s="218">
        <v>43724</v>
      </c>
    </row>
    <row r="51" spans="1:2">
      <c r="A51" t="s">
        <v>473</v>
      </c>
      <c r="B51" s="218">
        <v>55854</v>
      </c>
    </row>
    <row r="52" spans="1:2">
      <c r="A52" t="s">
        <v>474</v>
      </c>
      <c r="B52" s="218">
        <v>39762</v>
      </c>
    </row>
    <row r="53" spans="1:2">
      <c r="A53" t="s">
        <v>475</v>
      </c>
      <c r="B53" s="218">
        <v>44306</v>
      </c>
    </row>
    <row r="54" spans="1:2">
      <c r="A54" t="s">
        <v>476</v>
      </c>
      <c r="B54" s="218">
        <v>45294</v>
      </c>
    </row>
    <row r="55" spans="1:2">
      <c r="A55" t="s">
        <v>477</v>
      </c>
      <c r="B55" s="218">
        <v>22733</v>
      </c>
    </row>
    <row r="56" spans="1:2">
      <c r="A56" t="s">
        <v>478</v>
      </c>
      <c r="B56" s="218">
        <v>30806</v>
      </c>
    </row>
    <row r="57" spans="1:2">
      <c r="A57" t="s">
        <v>479</v>
      </c>
      <c r="B57" s="218">
        <v>73565</v>
      </c>
    </row>
    <row r="58" spans="1:2">
      <c r="A58" t="s">
        <v>480</v>
      </c>
      <c r="B58" s="218">
        <v>104028</v>
      </c>
    </row>
    <row r="59" spans="1:2">
      <c r="A59" t="s">
        <v>481</v>
      </c>
      <c r="B59" s="218">
        <v>77278</v>
      </c>
    </row>
    <row r="60" spans="1:2">
      <c r="A60" t="s">
        <v>482</v>
      </c>
      <c r="B60" s="218">
        <v>88879</v>
      </c>
    </row>
    <row r="61" spans="1:2">
      <c r="A61" t="s">
        <v>483</v>
      </c>
      <c r="B61" s="218">
        <v>118086</v>
      </c>
    </row>
    <row r="62" spans="1:2">
      <c r="A62" t="s">
        <v>484</v>
      </c>
      <c r="B62" s="218">
        <v>91331</v>
      </c>
    </row>
    <row r="63" spans="1:2">
      <c r="A63" t="s">
        <v>485</v>
      </c>
      <c r="B63" s="218">
        <v>93500</v>
      </c>
    </row>
    <row r="64" spans="1:2">
      <c r="A64" t="s">
        <v>486</v>
      </c>
      <c r="B64" s="218">
        <v>87692</v>
      </c>
    </row>
    <row r="65" spans="1:2">
      <c r="A65" t="s">
        <v>487</v>
      </c>
      <c r="B65" s="218">
        <v>88935</v>
      </c>
    </row>
    <row r="66" spans="1:2">
      <c r="A66" t="s">
        <v>488</v>
      </c>
      <c r="B66" s="218">
        <v>81250</v>
      </c>
    </row>
    <row r="67" spans="1:2">
      <c r="A67" t="s">
        <v>489</v>
      </c>
      <c r="B67" s="218">
        <v>68250</v>
      </c>
    </row>
    <row r="68" spans="1:2">
      <c r="A68" t="s">
        <v>490</v>
      </c>
      <c r="B68" s="218">
        <v>56446</v>
      </c>
    </row>
    <row r="69" spans="1:2">
      <c r="A69" t="s">
        <v>491</v>
      </c>
      <c r="B69" s="218">
        <v>64279</v>
      </c>
    </row>
    <row r="70" spans="1:2">
      <c r="A70" t="s">
        <v>492</v>
      </c>
      <c r="B70" s="218">
        <v>34596</v>
      </c>
    </row>
    <row r="71" spans="1:2">
      <c r="A71" t="s">
        <v>493</v>
      </c>
      <c r="B71" s="218">
        <v>68695</v>
      </c>
    </row>
    <row r="72" spans="1:2">
      <c r="A72" t="s">
        <v>494</v>
      </c>
      <c r="B72" s="218">
        <v>64623</v>
      </c>
    </row>
    <row r="73" spans="1:2">
      <c r="A73" t="s">
        <v>495</v>
      </c>
      <c r="B73" s="218">
        <v>66114</v>
      </c>
    </row>
    <row r="74" spans="1:2">
      <c r="A74" t="s">
        <v>496</v>
      </c>
      <c r="B74" s="218">
        <v>64157</v>
      </c>
    </row>
    <row r="75" spans="1:2">
      <c r="A75" t="s">
        <v>497</v>
      </c>
      <c r="B75" s="218">
        <v>55792</v>
      </c>
    </row>
    <row r="76" spans="1:2">
      <c r="A76" t="s">
        <v>498</v>
      </c>
      <c r="B76" s="218">
        <v>63308</v>
      </c>
    </row>
    <row r="77" spans="1:2">
      <c r="A77" t="s">
        <v>499</v>
      </c>
      <c r="B77" s="218">
        <v>83218</v>
      </c>
    </row>
    <row r="78" spans="1:2">
      <c r="A78" t="s">
        <v>500</v>
      </c>
      <c r="B78" s="218">
        <v>63667</v>
      </c>
    </row>
    <row r="79" spans="1:2">
      <c r="A79" t="s">
        <v>501</v>
      </c>
      <c r="B79" s="218">
        <v>45300</v>
      </c>
    </row>
    <row r="80" spans="1:2">
      <c r="A80" t="s">
        <v>502</v>
      </c>
      <c r="B80" s="218">
        <v>64605</v>
      </c>
    </row>
    <row r="81" spans="1:2">
      <c r="A81" t="s">
        <v>503</v>
      </c>
      <c r="B81" s="218">
        <v>56796</v>
      </c>
    </row>
    <row r="82" spans="1:2">
      <c r="A82" t="s">
        <v>504</v>
      </c>
      <c r="B82" s="218">
        <v>85843</v>
      </c>
    </row>
    <row r="83" spans="1:2">
      <c r="A83" t="s">
        <v>505</v>
      </c>
      <c r="B83" s="218">
        <v>78931</v>
      </c>
    </row>
    <row r="84" spans="1:2">
      <c r="A84" t="s">
        <v>506</v>
      </c>
      <c r="B84" s="218">
        <v>75727</v>
      </c>
    </row>
    <row r="85" spans="1:2">
      <c r="A85" t="s">
        <v>507</v>
      </c>
      <c r="B85" s="218">
        <v>41435</v>
      </c>
    </row>
    <row r="86" spans="1:2">
      <c r="A86" t="s">
        <v>508</v>
      </c>
      <c r="B86" s="218">
        <v>43750</v>
      </c>
    </row>
    <row r="87" spans="1:2">
      <c r="A87" t="s">
        <v>509</v>
      </c>
      <c r="B87" s="218">
        <v>76808</v>
      </c>
    </row>
    <row r="88" spans="1:2">
      <c r="A88" t="s">
        <v>510</v>
      </c>
      <c r="B88" s="218">
        <v>52674</v>
      </c>
    </row>
    <row r="89" spans="1:2">
      <c r="A89" t="s">
        <v>511</v>
      </c>
      <c r="B89" s="218">
        <v>49943</v>
      </c>
    </row>
    <row r="90" spans="1:2">
      <c r="A90" t="s">
        <v>512</v>
      </c>
      <c r="B90" s="218">
        <v>41250</v>
      </c>
    </row>
    <row r="91" spans="1:2">
      <c r="A91" t="s">
        <v>513</v>
      </c>
      <c r="B91" s="218">
        <v>46480</v>
      </c>
    </row>
    <row r="92" spans="1:2">
      <c r="A92" t="s">
        <v>514</v>
      </c>
      <c r="B92" s="218">
        <v>66530</v>
      </c>
    </row>
    <row r="93" spans="1:2">
      <c r="A93" t="s">
        <v>515</v>
      </c>
      <c r="B93" s="218">
        <v>52137</v>
      </c>
    </row>
    <row r="94" spans="1:2">
      <c r="A94" t="s">
        <v>516</v>
      </c>
      <c r="B94" s="218">
        <v>36012</v>
      </c>
    </row>
    <row r="95" spans="1:2">
      <c r="A95" t="s">
        <v>517</v>
      </c>
      <c r="B95" s="218">
        <v>30375</v>
      </c>
    </row>
    <row r="96" spans="1:2">
      <c r="A96" t="s">
        <v>518</v>
      </c>
      <c r="B96" s="218">
        <v>46792</v>
      </c>
    </row>
    <row r="97" spans="1:2">
      <c r="A97" t="s">
        <v>519</v>
      </c>
      <c r="B97" s="218">
        <v>43194</v>
      </c>
    </row>
    <row r="98" spans="1:2">
      <c r="A98" t="s">
        <v>520</v>
      </c>
      <c r="B98" s="218">
        <v>59022</v>
      </c>
    </row>
    <row r="99" spans="1:2">
      <c r="A99" t="s">
        <v>521</v>
      </c>
      <c r="B99" s="218">
        <v>89836</v>
      </c>
    </row>
    <row r="100" spans="1:2">
      <c r="A100" t="s">
        <v>522</v>
      </c>
      <c r="B100" s="218">
        <v>85134</v>
      </c>
    </row>
    <row r="101" spans="1:2">
      <c r="A101" t="s">
        <v>523</v>
      </c>
      <c r="B101" s="218">
        <v>78151</v>
      </c>
    </row>
    <row r="102" spans="1:2">
      <c r="A102" t="s">
        <v>524</v>
      </c>
      <c r="B102" s="218">
        <v>87500</v>
      </c>
    </row>
    <row r="103" spans="1:2">
      <c r="A103" t="s">
        <v>525</v>
      </c>
      <c r="B103" s="218">
        <v>76520</v>
      </c>
    </row>
    <row r="104" spans="1:2">
      <c r="A104" t="s">
        <v>526</v>
      </c>
      <c r="B104" s="218">
        <v>107177</v>
      </c>
    </row>
    <row r="105" spans="1:2">
      <c r="A105" t="s">
        <v>527</v>
      </c>
      <c r="B105" s="218">
        <v>133466</v>
      </c>
    </row>
    <row r="106" spans="1:2">
      <c r="A106" t="s">
        <v>528</v>
      </c>
      <c r="B106" s="218">
        <v>91319</v>
      </c>
    </row>
    <row r="107" spans="1:2">
      <c r="A107" t="s">
        <v>529</v>
      </c>
      <c r="B107" s="218">
        <v>62599</v>
      </c>
    </row>
    <row r="108" spans="1:2">
      <c r="A108" t="s">
        <v>530</v>
      </c>
      <c r="B108" s="218">
        <v>62708</v>
      </c>
    </row>
    <row r="109" spans="1:2">
      <c r="A109" t="s">
        <v>531</v>
      </c>
      <c r="B109" s="218">
        <v>57885</v>
      </c>
    </row>
    <row r="110" spans="1:2">
      <c r="A110" t="s">
        <v>532</v>
      </c>
      <c r="B110" s="218">
        <v>48811</v>
      </c>
    </row>
    <row r="111" spans="1:2">
      <c r="A111" t="s">
        <v>533</v>
      </c>
      <c r="B111" s="217">
        <v>0</v>
      </c>
    </row>
    <row r="112" spans="1:2">
      <c r="A112" t="s">
        <v>534</v>
      </c>
      <c r="B112" s="217">
        <v>0</v>
      </c>
    </row>
    <row r="113" spans="1:2">
      <c r="A113" t="s">
        <v>535</v>
      </c>
      <c r="B113" s="218">
        <v>45400</v>
      </c>
    </row>
    <row r="114" spans="1:2">
      <c r="A114" t="s">
        <v>536</v>
      </c>
      <c r="B114" s="218">
        <v>62639</v>
      </c>
    </row>
    <row r="115" spans="1:2">
      <c r="A115" t="s">
        <v>537</v>
      </c>
      <c r="B115" s="218">
        <v>106004</v>
      </c>
    </row>
    <row r="116" spans="1:2">
      <c r="A116" t="s">
        <v>538</v>
      </c>
      <c r="B116" s="218">
        <v>73529</v>
      </c>
    </row>
    <row r="117" spans="1:2">
      <c r="A117" t="s">
        <v>539</v>
      </c>
      <c r="B117" s="218">
        <v>65043</v>
      </c>
    </row>
    <row r="118" spans="1:2">
      <c r="A118" t="s">
        <v>540</v>
      </c>
      <c r="B118" s="218">
        <v>47037</v>
      </c>
    </row>
    <row r="119" spans="1:2">
      <c r="A119" t="s">
        <v>541</v>
      </c>
      <c r="B119" s="218">
        <v>53447</v>
      </c>
    </row>
    <row r="120" spans="1:2">
      <c r="A120" t="s">
        <v>542</v>
      </c>
      <c r="B120" s="218">
        <v>46783</v>
      </c>
    </row>
    <row r="121" spans="1:2">
      <c r="A121" t="s">
        <v>543</v>
      </c>
      <c r="B121" s="218">
        <v>108378</v>
      </c>
    </row>
    <row r="122" spans="1:2">
      <c r="A122" t="s">
        <v>544</v>
      </c>
      <c r="B122" s="218">
        <v>75677</v>
      </c>
    </row>
    <row r="123" spans="1:2">
      <c r="A123" t="s">
        <v>545</v>
      </c>
      <c r="B123" s="218">
        <v>50878</v>
      </c>
    </row>
    <row r="124" spans="1:2">
      <c r="A124" t="s">
        <v>546</v>
      </c>
      <c r="B124" s="218">
        <v>69940</v>
      </c>
    </row>
    <row r="125" spans="1:2">
      <c r="A125" t="s">
        <v>547</v>
      </c>
      <c r="B125" s="218">
        <v>63910</v>
      </c>
    </row>
    <row r="126" spans="1:2">
      <c r="A126" t="s">
        <v>548</v>
      </c>
      <c r="B126" s="218">
        <v>76193</v>
      </c>
    </row>
    <row r="127" spans="1:2">
      <c r="A127" t="s">
        <v>549</v>
      </c>
      <c r="B127" s="218">
        <v>57588</v>
      </c>
    </row>
    <row r="128" spans="1:2">
      <c r="A128" t="s">
        <v>550</v>
      </c>
      <c r="B128" s="218">
        <v>75667</v>
      </c>
    </row>
    <row r="129" spans="1:2">
      <c r="A129" t="s">
        <v>551</v>
      </c>
      <c r="B129" s="218">
        <v>55199</v>
      </c>
    </row>
    <row r="130" spans="1:2">
      <c r="A130" t="s">
        <v>552</v>
      </c>
      <c r="B130" s="218">
        <v>42625</v>
      </c>
    </row>
    <row r="131" spans="1:2">
      <c r="A131" t="s">
        <v>553</v>
      </c>
      <c r="B131" s="218">
        <v>60250</v>
      </c>
    </row>
    <row r="132" spans="1:2">
      <c r="A132" t="s">
        <v>554</v>
      </c>
      <c r="B132" s="218">
        <v>51367</v>
      </c>
    </row>
    <row r="133" spans="1:2">
      <c r="A133" t="s">
        <v>555</v>
      </c>
      <c r="B133" s="218">
        <v>34947</v>
      </c>
    </row>
    <row r="134" spans="1:2">
      <c r="A134" t="s">
        <v>556</v>
      </c>
      <c r="B134" s="218">
        <v>33356</v>
      </c>
    </row>
    <row r="135" spans="1:2">
      <c r="A135" t="s">
        <v>557</v>
      </c>
      <c r="B135" s="218">
        <v>59231</v>
      </c>
    </row>
    <row r="136" spans="1:2">
      <c r="A136" t="s">
        <v>558</v>
      </c>
      <c r="B136" s="218">
        <v>72570</v>
      </c>
    </row>
    <row r="137" spans="1:2">
      <c r="A137" t="s">
        <v>559</v>
      </c>
      <c r="B137" s="218">
        <v>82219</v>
      </c>
    </row>
    <row r="138" spans="1:2">
      <c r="A138" t="s">
        <v>560</v>
      </c>
      <c r="B138" s="218">
        <v>90929</v>
      </c>
    </row>
    <row r="139" spans="1:2">
      <c r="A139" t="s">
        <v>561</v>
      </c>
      <c r="B139" s="218">
        <v>54760</v>
      </c>
    </row>
    <row r="140" spans="1:2">
      <c r="A140" t="s">
        <v>562</v>
      </c>
      <c r="B140" s="218">
        <v>49541</v>
      </c>
    </row>
    <row r="141" spans="1:2">
      <c r="A141" t="s">
        <v>563</v>
      </c>
      <c r="B141" s="218">
        <v>105961</v>
      </c>
    </row>
    <row r="142" spans="1:2">
      <c r="A142" t="s">
        <v>564</v>
      </c>
      <c r="B142" s="218">
        <v>177232</v>
      </c>
    </row>
    <row r="143" spans="1:2">
      <c r="A143" t="s">
        <v>565</v>
      </c>
      <c r="B143" s="218">
        <v>88719</v>
      </c>
    </row>
    <row r="144" spans="1:2">
      <c r="A144" t="s">
        <v>566</v>
      </c>
      <c r="B144" s="218">
        <v>161196</v>
      </c>
    </row>
    <row r="145" spans="1:2">
      <c r="A145" t="s">
        <v>567</v>
      </c>
      <c r="B145" s="218">
        <v>106935</v>
      </c>
    </row>
    <row r="146" spans="1:2">
      <c r="A146" t="s">
        <v>568</v>
      </c>
      <c r="B146" s="218">
        <v>58295</v>
      </c>
    </row>
    <row r="147" spans="1:2">
      <c r="A147" t="s">
        <v>569</v>
      </c>
      <c r="B147" s="218">
        <v>86520</v>
      </c>
    </row>
    <row r="148" spans="1:2">
      <c r="A148" t="s">
        <v>570</v>
      </c>
      <c r="B148" s="218">
        <v>58178</v>
      </c>
    </row>
    <row r="149" spans="1:2">
      <c r="A149" t="s">
        <v>571</v>
      </c>
      <c r="B149" s="218">
        <v>68214</v>
      </c>
    </row>
    <row r="150" spans="1:2">
      <c r="A150" t="s">
        <v>572</v>
      </c>
      <c r="B150" s="218">
        <v>57083</v>
      </c>
    </row>
    <row r="151" spans="1:2">
      <c r="A151" t="s">
        <v>573</v>
      </c>
      <c r="B151" s="218">
        <v>63091</v>
      </c>
    </row>
    <row r="152" spans="1:2">
      <c r="A152" t="s">
        <v>574</v>
      </c>
      <c r="B152" s="218">
        <v>58948</v>
      </c>
    </row>
    <row r="153" spans="1:2">
      <c r="A153" t="s">
        <v>575</v>
      </c>
      <c r="B153" s="218">
        <v>49216</v>
      </c>
    </row>
    <row r="154" spans="1:2">
      <c r="A154" t="s">
        <v>576</v>
      </c>
      <c r="B154" s="218">
        <v>64107</v>
      </c>
    </row>
    <row r="155" spans="1:2">
      <c r="A155" t="s">
        <v>577</v>
      </c>
      <c r="B155" s="218">
        <v>47461</v>
      </c>
    </row>
    <row r="156" spans="1:2">
      <c r="A156" t="s">
        <v>578</v>
      </c>
      <c r="B156" s="218">
        <v>58000</v>
      </c>
    </row>
    <row r="157" spans="1:2">
      <c r="A157" t="s">
        <v>579</v>
      </c>
      <c r="B157" s="218">
        <v>47319</v>
      </c>
    </row>
    <row r="158" spans="1:2">
      <c r="A158" t="s">
        <v>580</v>
      </c>
      <c r="B158" s="218">
        <v>59647</v>
      </c>
    </row>
    <row r="159" spans="1:2">
      <c r="A159" t="s">
        <v>581</v>
      </c>
      <c r="B159" s="218">
        <v>50750</v>
      </c>
    </row>
    <row r="160" spans="1:2">
      <c r="A160" t="s">
        <v>582</v>
      </c>
      <c r="B160" s="218">
        <v>69545</v>
      </c>
    </row>
    <row r="161" spans="1:2">
      <c r="A161" t="s">
        <v>583</v>
      </c>
      <c r="B161" s="218">
        <v>54442</v>
      </c>
    </row>
    <row r="162" spans="1:2">
      <c r="A162" t="s">
        <v>584</v>
      </c>
      <c r="B162" s="218">
        <v>47939</v>
      </c>
    </row>
    <row r="163" spans="1:2">
      <c r="A163" t="s">
        <v>585</v>
      </c>
      <c r="B163" s="218">
        <v>38912</v>
      </c>
    </row>
    <row r="164" spans="1:2">
      <c r="A164" t="s">
        <v>586</v>
      </c>
      <c r="B164" s="218">
        <v>43696</v>
      </c>
    </row>
    <row r="165" spans="1:2">
      <c r="A165" t="s">
        <v>587</v>
      </c>
      <c r="B165" s="218">
        <v>39813</v>
      </c>
    </row>
    <row r="166" spans="1:2">
      <c r="A166" t="s">
        <v>588</v>
      </c>
      <c r="B166" s="218">
        <v>33563</v>
      </c>
    </row>
    <row r="167" spans="1:2">
      <c r="A167" t="s">
        <v>589</v>
      </c>
      <c r="B167" s="218">
        <v>66349</v>
      </c>
    </row>
    <row r="168" spans="1:2">
      <c r="A168" t="s">
        <v>590</v>
      </c>
      <c r="B168" s="218">
        <v>63920</v>
      </c>
    </row>
    <row r="169" spans="1:2">
      <c r="A169" t="s">
        <v>591</v>
      </c>
      <c r="B169" s="218">
        <v>57828</v>
      </c>
    </row>
    <row r="170" spans="1:2">
      <c r="A170" t="s">
        <v>592</v>
      </c>
      <c r="B170" s="218">
        <v>40000</v>
      </c>
    </row>
    <row r="171" spans="1:2">
      <c r="A171" t="s">
        <v>593</v>
      </c>
      <c r="B171" s="218">
        <v>45009</v>
      </c>
    </row>
    <row r="172" spans="1:2">
      <c r="A172" t="s">
        <v>594</v>
      </c>
      <c r="B172" s="218">
        <v>42917</v>
      </c>
    </row>
    <row r="173" spans="1:2">
      <c r="A173" t="s">
        <v>595</v>
      </c>
      <c r="B173" s="218">
        <v>50561</v>
      </c>
    </row>
    <row r="174" spans="1:2">
      <c r="A174" t="s">
        <v>596</v>
      </c>
      <c r="B174" s="218">
        <v>65313</v>
      </c>
    </row>
    <row r="175" spans="1:2">
      <c r="A175" t="s">
        <v>597</v>
      </c>
      <c r="B175" s="218">
        <v>53467</v>
      </c>
    </row>
    <row r="176" spans="1:2">
      <c r="A176" t="s">
        <v>598</v>
      </c>
      <c r="B176" s="218">
        <v>52643</v>
      </c>
    </row>
    <row r="177" spans="1:2">
      <c r="A177" t="s">
        <v>599</v>
      </c>
      <c r="B177" s="218">
        <v>38464</v>
      </c>
    </row>
    <row r="178" spans="1:2">
      <c r="A178" t="s">
        <v>600</v>
      </c>
      <c r="B178" s="218">
        <v>55417</v>
      </c>
    </row>
    <row r="179" spans="1:2">
      <c r="A179" t="s">
        <v>601</v>
      </c>
      <c r="B179" s="218">
        <v>40333</v>
      </c>
    </row>
    <row r="180" spans="1:2">
      <c r="A180" t="s">
        <v>602</v>
      </c>
      <c r="B180" s="218">
        <v>31875</v>
      </c>
    </row>
    <row r="181" spans="1:2">
      <c r="A181" t="s">
        <v>603</v>
      </c>
      <c r="B181" s="218">
        <v>47500</v>
      </c>
    </row>
    <row r="182" spans="1:2">
      <c r="A182" t="s">
        <v>604</v>
      </c>
      <c r="B182" s="218">
        <v>55336</v>
      </c>
    </row>
    <row r="183" spans="1:2">
      <c r="A183" t="s">
        <v>605</v>
      </c>
      <c r="B183" s="218">
        <v>70972</v>
      </c>
    </row>
    <row r="184" spans="1:2">
      <c r="A184" t="s">
        <v>606</v>
      </c>
      <c r="B184" s="218">
        <v>61729</v>
      </c>
    </row>
    <row r="185" spans="1:2">
      <c r="A185" t="s">
        <v>607</v>
      </c>
      <c r="B185" s="218">
        <v>70608</v>
      </c>
    </row>
    <row r="186" spans="1:2">
      <c r="A186" t="s">
        <v>608</v>
      </c>
      <c r="B186" s="218">
        <v>54349</v>
      </c>
    </row>
    <row r="187" spans="1:2">
      <c r="A187" t="s">
        <v>609</v>
      </c>
      <c r="B187" s="218">
        <v>77813</v>
      </c>
    </row>
    <row r="188" spans="1:2">
      <c r="A188" t="s">
        <v>610</v>
      </c>
      <c r="B188" s="218">
        <v>61575</v>
      </c>
    </row>
    <row r="189" spans="1:2">
      <c r="A189" t="s">
        <v>611</v>
      </c>
      <c r="B189" s="218">
        <v>103458</v>
      </c>
    </row>
    <row r="190" spans="1:2">
      <c r="A190" t="s">
        <v>612</v>
      </c>
      <c r="B190" s="218">
        <v>90647</v>
      </c>
    </row>
    <row r="191" spans="1:2">
      <c r="A191" t="s">
        <v>613</v>
      </c>
      <c r="B191" s="218">
        <v>91080</v>
      </c>
    </row>
    <row r="192" spans="1:2">
      <c r="A192" t="s">
        <v>614</v>
      </c>
      <c r="B192" s="218">
        <v>72140</v>
      </c>
    </row>
    <row r="193" spans="1:2">
      <c r="A193" t="s">
        <v>615</v>
      </c>
      <c r="B193" s="218">
        <v>63243</v>
      </c>
    </row>
    <row r="194" spans="1:2">
      <c r="A194" t="s">
        <v>616</v>
      </c>
      <c r="B194" s="218">
        <v>49813</v>
      </c>
    </row>
    <row r="195" spans="1:2">
      <c r="A195" t="s">
        <v>617</v>
      </c>
      <c r="B195" s="218">
        <v>80686</v>
      </c>
    </row>
    <row r="196" spans="1:2">
      <c r="A196" t="s">
        <v>618</v>
      </c>
      <c r="B196" s="218">
        <v>51397</v>
      </c>
    </row>
    <row r="197" spans="1:2">
      <c r="A197" t="s">
        <v>619</v>
      </c>
      <c r="B197" s="218">
        <v>52595</v>
      </c>
    </row>
    <row r="198" spans="1:2">
      <c r="A198" t="s">
        <v>620</v>
      </c>
      <c r="B198" s="218">
        <v>50790</v>
      </c>
    </row>
    <row r="199" spans="1:2">
      <c r="A199" t="s">
        <v>621</v>
      </c>
      <c r="B199" s="218">
        <v>70303</v>
      </c>
    </row>
    <row r="200" spans="1:2">
      <c r="A200" t="s">
        <v>622</v>
      </c>
      <c r="B200" s="218">
        <v>64679</v>
      </c>
    </row>
    <row r="201" spans="1:2">
      <c r="A201" t="s">
        <v>623</v>
      </c>
      <c r="B201" s="218">
        <v>75362</v>
      </c>
    </row>
    <row r="202" spans="1:2">
      <c r="A202" t="s">
        <v>624</v>
      </c>
      <c r="B202" s="218">
        <v>58356</v>
      </c>
    </row>
    <row r="203" spans="1:2">
      <c r="A203" t="s">
        <v>625</v>
      </c>
      <c r="B203" s="218">
        <v>61875</v>
      </c>
    </row>
    <row r="204" spans="1:2">
      <c r="A204" t="s">
        <v>626</v>
      </c>
      <c r="B204" s="218">
        <v>66378</v>
      </c>
    </row>
    <row r="205" spans="1:2">
      <c r="A205" t="s">
        <v>627</v>
      </c>
      <c r="B205" s="218">
        <v>64681</v>
      </c>
    </row>
    <row r="206" spans="1:2">
      <c r="A206" t="s">
        <v>628</v>
      </c>
      <c r="B206" s="218">
        <v>64432</v>
      </c>
    </row>
    <row r="207" spans="1:2">
      <c r="A207" t="s">
        <v>629</v>
      </c>
      <c r="B207" s="218">
        <v>41230</v>
      </c>
    </row>
    <row r="208" spans="1:2">
      <c r="A208" t="s">
        <v>630</v>
      </c>
      <c r="B208" s="218">
        <v>38750</v>
      </c>
    </row>
    <row r="209" spans="1:2">
      <c r="A209" t="s">
        <v>631</v>
      </c>
      <c r="B209" s="218">
        <v>48875</v>
      </c>
    </row>
    <row r="210" spans="1:2">
      <c r="A210" t="s">
        <v>632</v>
      </c>
      <c r="B210" s="218">
        <v>32420</v>
      </c>
    </row>
    <row r="211" spans="1:2">
      <c r="A211" t="s">
        <v>633</v>
      </c>
      <c r="B211" s="218">
        <v>42316</v>
      </c>
    </row>
    <row r="212" spans="1:2">
      <c r="A212" t="s">
        <v>634</v>
      </c>
      <c r="B212" s="218">
        <v>39839</v>
      </c>
    </row>
    <row r="213" spans="1:2">
      <c r="A213" t="s">
        <v>635</v>
      </c>
      <c r="B213" s="218">
        <v>44750</v>
      </c>
    </row>
    <row r="214" spans="1:2">
      <c r="A214" t="s">
        <v>636</v>
      </c>
      <c r="B214" s="218">
        <v>53618</v>
      </c>
    </row>
    <row r="215" spans="1:2">
      <c r="A215" t="s">
        <v>637</v>
      </c>
      <c r="B215" s="218">
        <v>63333</v>
      </c>
    </row>
    <row r="216" spans="1:2">
      <c r="A216" t="s">
        <v>638</v>
      </c>
      <c r="B216" s="218">
        <v>66875</v>
      </c>
    </row>
    <row r="217" spans="1:2">
      <c r="A217" t="s">
        <v>639</v>
      </c>
      <c r="B217" s="218">
        <v>66190</v>
      </c>
    </row>
    <row r="218" spans="1:2">
      <c r="A218" t="s">
        <v>640</v>
      </c>
      <c r="B218" s="218">
        <v>60149</v>
      </c>
    </row>
    <row r="219" spans="1:2">
      <c r="A219" t="s">
        <v>641</v>
      </c>
      <c r="B219" s="218">
        <v>30357</v>
      </c>
    </row>
    <row r="220" spans="1:2">
      <c r="A220" t="s">
        <v>642</v>
      </c>
      <c r="B220" s="218">
        <v>41069</v>
      </c>
    </row>
    <row r="221" spans="1:2">
      <c r="A221" t="s">
        <v>643</v>
      </c>
      <c r="B221" s="218">
        <v>51694</v>
      </c>
    </row>
    <row r="222" spans="1:2">
      <c r="A222" t="s">
        <v>644</v>
      </c>
      <c r="B222" s="218">
        <v>82333</v>
      </c>
    </row>
    <row r="223" spans="1:2">
      <c r="A223" t="s">
        <v>645</v>
      </c>
      <c r="B223" s="218">
        <v>96591</v>
      </c>
    </row>
    <row r="224" spans="1:2">
      <c r="A224" t="s">
        <v>646</v>
      </c>
      <c r="B224" s="218">
        <v>89595</v>
      </c>
    </row>
    <row r="225" spans="1:2">
      <c r="A225" t="s">
        <v>647</v>
      </c>
      <c r="B225" s="218">
        <v>95536</v>
      </c>
    </row>
    <row r="226" spans="1:2">
      <c r="A226" t="s">
        <v>648</v>
      </c>
      <c r="B226" s="218">
        <v>79340</v>
      </c>
    </row>
    <row r="227" spans="1:2">
      <c r="A227" t="s">
        <v>649</v>
      </c>
      <c r="B227" s="218">
        <v>70728</v>
      </c>
    </row>
    <row r="228" spans="1:2">
      <c r="A228" t="s">
        <v>650</v>
      </c>
      <c r="B228" s="218">
        <v>41250</v>
      </c>
    </row>
    <row r="229" spans="1:2">
      <c r="A229" t="s">
        <v>651</v>
      </c>
      <c r="B229" s="218">
        <v>22256</v>
      </c>
    </row>
    <row r="230" spans="1:2">
      <c r="A230" t="s">
        <v>652</v>
      </c>
      <c r="B230" s="218">
        <v>71082</v>
      </c>
    </row>
    <row r="231" spans="1:2">
      <c r="A231" t="s">
        <v>653</v>
      </c>
      <c r="B231" s="218">
        <v>36556</v>
      </c>
    </row>
    <row r="232" spans="1:2">
      <c r="A232" t="s">
        <v>654</v>
      </c>
      <c r="B232" s="218">
        <v>61759</v>
      </c>
    </row>
    <row r="233" spans="1:2">
      <c r="A233" t="s">
        <v>655</v>
      </c>
      <c r="B233" s="218">
        <v>71530</v>
      </c>
    </row>
    <row r="234" spans="1:2">
      <c r="A234" t="s">
        <v>656</v>
      </c>
      <c r="B234" s="218">
        <v>70000</v>
      </c>
    </row>
    <row r="235" spans="1:2">
      <c r="A235" t="s">
        <v>657</v>
      </c>
      <c r="B235" s="218">
        <v>68550</v>
      </c>
    </row>
    <row r="236" spans="1:2">
      <c r="A236" t="s">
        <v>658</v>
      </c>
      <c r="B236" s="218">
        <v>59145</v>
      </c>
    </row>
    <row r="237" spans="1:2">
      <c r="A237" t="s">
        <v>659</v>
      </c>
      <c r="B237" s="218">
        <v>60494</v>
      </c>
    </row>
    <row r="238" spans="1:2">
      <c r="A238" t="s">
        <v>660</v>
      </c>
      <c r="B238" s="218">
        <v>52054</v>
      </c>
    </row>
    <row r="239" spans="1:2">
      <c r="A239" t="s">
        <v>661</v>
      </c>
      <c r="B239" s="218">
        <v>63569</v>
      </c>
    </row>
    <row r="240" spans="1:2">
      <c r="A240" t="s">
        <v>662</v>
      </c>
      <c r="B240" s="218">
        <v>53827</v>
      </c>
    </row>
    <row r="241" spans="1:2">
      <c r="A241" t="s">
        <v>663</v>
      </c>
      <c r="B241" s="218">
        <v>61299</v>
      </c>
    </row>
    <row r="242" spans="1:2">
      <c r="A242" t="s">
        <v>664</v>
      </c>
      <c r="B242" s="218">
        <v>68313</v>
      </c>
    </row>
    <row r="243" spans="1:2">
      <c r="A243" t="s">
        <v>665</v>
      </c>
      <c r="B243" s="218">
        <v>67878</v>
      </c>
    </row>
    <row r="244" spans="1:2">
      <c r="A244" t="s">
        <v>666</v>
      </c>
      <c r="B244" s="218">
        <v>62160</v>
      </c>
    </row>
    <row r="245" spans="1:2">
      <c r="A245" t="s">
        <v>667</v>
      </c>
      <c r="B245" s="218">
        <v>40679</v>
      </c>
    </row>
    <row r="246" spans="1:2">
      <c r="A246" t="s">
        <v>668</v>
      </c>
      <c r="B246" s="218">
        <v>46447</v>
      </c>
    </row>
    <row r="247" spans="1:2">
      <c r="A247" t="s">
        <v>669</v>
      </c>
      <c r="B247" s="218">
        <v>54708</v>
      </c>
    </row>
    <row r="248" spans="1:2">
      <c r="A248" t="s">
        <v>670</v>
      </c>
      <c r="B248" s="218">
        <v>81802</v>
      </c>
    </row>
    <row r="249" spans="1:2">
      <c r="A249" t="s">
        <v>671</v>
      </c>
      <c r="B249" s="218">
        <v>63988</v>
      </c>
    </row>
    <row r="250" spans="1:2">
      <c r="A250" t="s">
        <v>672</v>
      </c>
      <c r="B250" s="218">
        <v>22205</v>
      </c>
    </row>
    <row r="251" spans="1:2">
      <c r="A251" t="s">
        <v>673</v>
      </c>
      <c r="B251" s="218">
        <v>24643</v>
      </c>
    </row>
    <row r="252" spans="1:2">
      <c r="A252" t="s">
        <v>674</v>
      </c>
      <c r="B252" s="218">
        <v>37560</v>
      </c>
    </row>
    <row r="253" spans="1:2">
      <c r="A253" t="s">
        <v>675</v>
      </c>
      <c r="B253" s="218">
        <v>27016</v>
      </c>
    </row>
    <row r="254" spans="1:2">
      <c r="A254" t="s">
        <v>676</v>
      </c>
      <c r="B254" s="218">
        <v>21578</v>
      </c>
    </row>
    <row r="255" spans="1:2">
      <c r="A255" t="s">
        <v>677</v>
      </c>
      <c r="B255" s="218">
        <v>45536</v>
      </c>
    </row>
    <row r="256" spans="1:2">
      <c r="A256" t="s">
        <v>678</v>
      </c>
      <c r="B256" s="218">
        <v>8029</v>
      </c>
    </row>
    <row r="257" spans="1:2">
      <c r="A257" t="s">
        <v>679</v>
      </c>
      <c r="B257" s="218">
        <v>28272</v>
      </c>
    </row>
    <row r="258" spans="1:2">
      <c r="A258" t="s">
        <v>680</v>
      </c>
      <c r="B258" s="218">
        <v>67431</v>
      </c>
    </row>
    <row r="259" spans="1:2">
      <c r="A259" t="s">
        <v>681</v>
      </c>
      <c r="B259" s="218">
        <v>22117</v>
      </c>
    </row>
    <row r="260" spans="1:2">
      <c r="A260" t="s">
        <v>682</v>
      </c>
      <c r="B260" s="218">
        <v>43026</v>
      </c>
    </row>
    <row r="261" spans="1:2">
      <c r="A261" t="s">
        <v>683</v>
      </c>
      <c r="B261" s="218">
        <v>15719</v>
      </c>
    </row>
    <row r="262" spans="1:2">
      <c r="A262" t="s">
        <v>684</v>
      </c>
      <c r="B262" s="218">
        <v>35000</v>
      </c>
    </row>
    <row r="263" spans="1:2">
      <c r="A263" t="s">
        <v>685</v>
      </c>
      <c r="B263" s="218">
        <v>31903</v>
      </c>
    </row>
    <row r="264" spans="1:2">
      <c r="A264" t="s">
        <v>686</v>
      </c>
      <c r="B264" s="218">
        <v>25543</v>
      </c>
    </row>
    <row r="265" spans="1:2">
      <c r="A265" t="s">
        <v>687</v>
      </c>
      <c r="B265" s="218">
        <v>33583</v>
      </c>
    </row>
    <row r="266" spans="1:2">
      <c r="A266" t="s">
        <v>688</v>
      </c>
      <c r="B266" s="218">
        <v>30221</v>
      </c>
    </row>
    <row r="267" spans="1:2">
      <c r="A267" t="s">
        <v>689</v>
      </c>
      <c r="B267" s="218">
        <v>41662</v>
      </c>
    </row>
    <row r="268" spans="1:2">
      <c r="A268" t="s">
        <v>690</v>
      </c>
      <c r="B268" s="218">
        <v>34904</v>
      </c>
    </row>
    <row r="269" spans="1:2">
      <c r="A269" t="s">
        <v>691</v>
      </c>
      <c r="B269" s="218">
        <v>49541</v>
      </c>
    </row>
    <row r="270" spans="1:2">
      <c r="A270" t="s">
        <v>692</v>
      </c>
      <c r="B270" s="218">
        <v>53967</v>
      </c>
    </row>
    <row r="271" spans="1:2">
      <c r="A271" t="s">
        <v>693</v>
      </c>
      <c r="B271" s="218">
        <v>69375</v>
      </c>
    </row>
    <row r="272" spans="1:2">
      <c r="A272" t="s">
        <v>694</v>
      </c>
      <c r="B272" s="218">
        <v>61498</v>
      </c>
    </row>
    <row r="273" spans="1:2">
      <c r="A273" t="s">
        <v>695</v>
      </c>
      <c r="B273" s="218">
        <v>50186</v>
      </c>
    </row>
    <row r="274" spans="1:2">
      <c r="A274" t="s">
        <v>696</v>
      </c>
      <c r="B274" s="218">
        <v>94531</v>
      </c>
    </row>
    <row r="275" spans="1:2">
      <c r="A275" t="s">
        <v>697</v>
      </c>
      <c r="B275" s="218">
        <v>59020</v>
      </c>
    </row>
    <row r="276" spans="1:2">
      <c r="A276" t="s">
        <v>698</v>
      </c>
      <c r="B276" s="218">
        <v>38929</v>
      </c>
    </row>
    <row r="277" spans="1:2">
      <c r="A277" t="s">
        <v>699</v>
      </c>
      <c r="B277" s="218">
        <v>71595</v>
      </c>
    </row>
    <row r="278" spans="1:2">
      <c r="A278" t="s">
        <v>700</v>
      </c>
      <c r="B278" s="218">
        <v>55192</v>
      </c>
    </row>
    <row r="279" spans="1:2">
      <c r="A279" t="s">
        <v>701</v>
      </c>
      <c r="B279" s="218">
        <v>66898</v>
      </c>
    </row>
    <row r="280" spans="1:2">
      <c r="A280" t="s">
        <v>702</v>
      </c>
      <c r="B280" s="218">
        <v>69575</v>
      </c>
    </row>
    <row r="281" spans="1:2">
      <c r="A281" t="s">
        <v>703</v>
      </c>
      <c r="B281" s="218">
        <v>51301</v>
      </c>
    </row>
    <row r="282" spans="1:2">
      <c r="A282" t="s">
        <v>704</v>
      </c>
      <c r="B282" s="218">
        <v>26313</v>
      </c>
    </row>
    <row r="283" spans="1:2">
      <c r="A283" t="s">
        <v>705</v>
      </c>
      <c r="B283" s="218">
        <v>60263</v>
      </c>
    </row>
    <row r="284" spans="1:2">
      <c r="A284" t="s">
        <v>706</v>
      </c>
      <c r="B284" s="218">
        <v>85948</v>
      </c>
    </row>
    <row r="285" spans="1:2">
      <c r="A285" t="s">
        <v>707</v>
      </c>
      <c r="B285" s="218">
        <v>42674</v>
      </c>
    </row>
    <row r="286" spans="1:2">
      <c r="A286" t="s">
        <v>708</v>
      </c>
      <c r="B286" s="218">
        <v>62238</v>
      </c>
    </row>
    <row r="287" spans="1:2">
      <c r="A287" t="s">
        <v>709</v>
      </c>
      <c r="B287" s="218">
        <v>55757</v>
      </c>
    </row>
    <row r="288" spans="1:2">
      <c r="A288" t="s">
        <v>710</v>
      </c>
      <c r="B288" s="218">
        <v>67750</v>
      </c>
    </row>
    <row r="289" spans="1:2">
      <c r="A289" t="s">
        <v>711</v>
      </c>
      <c r="B289" s="218">
        <v>69375</v>
      </c>
    </row>
    <row r="290" spans="1:2">
      <c r="A290" t="s">
        <v>712</v>
      </c>
      <c r="B290" s="218">
        <v>58650</v>
      </c>
    </row>
    <row r="291" spans="1:2">
      <c r="A291" t="s">
        <v>713</v>
      </c>
      <c r="B291" s="218">
        <v>78882</v>
      </c>
    </row>
    <row r="292" spans="1:2">
      <c r="A292" t="s">
        <v>714</v>
      </c>
      <c r="B292" s="218">
        <v>41229</v>
      </c>
    </row>
    <row r="293" spans="1:2">
      <c r="A293" t="s">
        <v>715</v>
      </c>
      <c r="B293" s="218">
        <v>47730</v>
      </c>
    </row>
    <row r="294" spans="1:2">
      <c r="A294" t="s">
        <v>716</v>
      </c>
      <c r="B294" s="218">
        <v>42717</v>
      </c>
    </row>
    <row r="295" spans="1:2">
      <c r="A295" t="s">
        <v>717</v>
      </c>
      <c r="B295" s="218">
        <v>60229</v>
      </c>
    </row>
    <row r="296" spans="1:2">
      <c r="A296" t="s">
        <v>718</v>
      </c>
      <c r="B296" s="218">
        <v>80664</v>
      </c>
    </row>
    <row r="297" spans="1:2">
      <c r="A297" t="s">
        <v>719</v>
      </c>
      <c r="B297" s="218">
        <v>48155</v>
      </c>
    </row>
    <row r="298" spans="1:2">
      <c r="A298" t="s">
        <v>720</v>
      </c>
      <c r="B298" s="218">
        <v>68934</v>
      </c>
    </row>
    <row r="299" spans="1:2">
      <c r="A299" t="s">
        <v>721</v>
      </c>
      <c r="B299" s="218">
        <v>65421</v>
      </c>
    </row>
    <row r="300" spans="1:2">
      <c r="A300" t="s">
        <v>722</v>
      </c>
      <c r="B300" s="218">
        <v>47470</v>
      </c>
    </row>
    <row r="301" spans="1:2">
      <c r="A301" t="s">
        <v>723</v>
      </c>
      <c r="B301" s="218">
        <v>103028</v>
      </c>
    </row>
    <row r="302" spans="1:2">
      <c r="A302" t="s">
        <v>724</v>
      </c>
      <c r="B302" s="218">
        <v>96875</v>
      </c>
    </row>
    <row r="303" spans="1:2">
      <c r="A303" t="s">
        <v>725</v>
      </c>
      <c r="B303" s="218">
        <v>77188</v>
      </c>
    </row>
    <row r="304" spans="1:2">
      <c r="A304" t="s">
        <v>726</v>
      </c>
      <c r="B304" s="218">
        <v>55063</v>
      </c>
    </row>
    <row r="305" spans="1:2">
      <c r="A305" t="s">
        <v>727</v>
      </c>
      <c r="B305" s="218">
        <v>77228</v>
      </c>
    </row>
    <row r="306" spans="1:2">
      <c r="A306" t="s">
        <v>728</v>
      </c>
      <c r="B306" s="218">
        <v>86622</v>
      </c>
    </row>
    <row r="307" spans="1:2">
      <c r="A307" t="s">
        <v>729</v>
      </c>
      <c r="B307" s="218">
        <v>89945</v>
      </c>
    </row>
    <row r="308" spans="1:2">
      <c r="A308" t="s">
        <v>730</v>
      </c>
      <c r="B308" s="218">
        <v>84286</v>
      </c>
    </row>
    <row r="309" spans="1:2">
      <c r="A309" t="s">
        <v>731</v>
      </c>
      <c r="B309" s="218">
        <v>78583</v>
      </c>
    </row>
    <row r="310" spans="1:2">
      <c r="A310" t="s">
        <v>732</v>
      </c>
      <c r="B310" s="218">
        <v>82419</v>
      </c>
    </row>
    <row r="311" spans="1:2">
      <c r="A311" t="s">
        <v>733</v>
      </c>
      <c r="B311" s="218">
        <v>79013</v>
      </c>
    </row>
    <row r="312" spans="1:2">
      <c r="A312" t="s">
        <v>734</v>
      </c>
      <c r="B312" s="218">
        <v>54095</v>
      </c>
    </row>
    <row r="313" spans="1:2">
      <c r="A313" t="s">
        <v>735</v>
      </c>
      <c r="B313" s="218">
        <v>68281</v>
      </c>
    </row>
    <row r="314" spans="1:2">
      <c r="A314" t="s">
        <v>736</v>
      </c>
      <c r="B314" s="218">
        <v>70098</v>
      </c>
    </row>
    <row r="315" spans="1:2">
      <c r="A315" t="s">
        <v>737</v>
      </c>
      <c r="B315" s="218">
        <v>64299</v>
      </c>
    </row>
    <row r="316" spans="1:2">
      <c r="A316" t="s">
        <v>738</v>
      </c>
      <c r="B316" s="218">
        <v>67098</v>
      </c>
    </row>
    <row r="317" spans="1:2">
      <c r="A317" t="s">
        <v>739</v>
      </c>
      <c r="B317" s="218">
        <v>49646</v>
      </c>
    </row>
    <row r="318" spans="1:2">
      <c r="A318" t="s">
        <v>740</v>
      </c>
      <c r="B318" s="218">
        <v>68209</v>
      </c>
    </row>
    <row r="319" spans="1:2">
      <c r="A319" t="s">
        <v>741</v>
      </c>
      <c r="B319" s="218">
        <v>42281</v>
      </c>
    </row>
    <row r="320" spans="1:2">
      <c r="A320" t="s">
        <v>742</v>
      </c>
      <c r="B320" s="218">
        <v>60707</v>
      </c>
    </row>
    <row r="321" spans="1:2">
      <c r="A321" t="s">
        <v>743</v>
      </c>
      <c r="B321" s="218">
        <v>52049</v>
      </c>
    </row>
    <row r="322" spans="1:2">
      <c r="A322" t="s">
        <v>744</v>
      </c>
      <c r="B322" s="218">
        <v>42847</v>
      </c>
    </row>
    <row r="323" spans="1:2">
      <c r="A323" t="s">
        <v>745</v>
      </c>
      <c r="B323" s="218">
        <v>61595</v>
      </c>
    </row>
    <row r="324" spans="1:2">
      <c r="A324" t="s">
        <v>746</v>
      </c>
      <c r="B324" s="218">
        <v>67167</v>
      </c>
    </row>
    <row r="325" spans="1:2">
      <c r="A325" t="s">
        <v>747</v>
      </c>
      <c r="B325" s="218">
        <v>44514</v>
      </c>
    </row>
    <row r="326" spans="1:2">
      <c r="A326" t="s">
        <v>748</v>
      </c>
      <c r="B326" s="218">
        <v>60867</v>
      </c>
    </row>
    <row r="327" spans="1:2">
      <c r="A327" t="s">
        <v>749</v>
      </c>
      <c r="B327" s="218">
        <v>48008</v>
      </c>
    </row>
    <row r="328" spans="1:2">
      <c r="A328" t="s">
        <v>750</v>
      </c>
      <c r="B328" s="218">
        <v>63112</v>
      </c>
    </row>
    <row r="329" spans="1:2">
      <c r="A329" t="s">
        <v>751</v>
      </c>
      <c r="B329" s="218">
        <v>81012</v>
      </c>
    </row>
    <row r="330" spans="1:2">
      <c r="A330" t="s">
        <v>752</v>
      </c>
      <c r="B330" s="218">
        <v>38167</v>
      </c>
    </row>
    <row r="331" spans="1:2">
      <c r="A331" t="s">
        <v>753</v>
      </c>
      <c r="B331" s="218">
        <v>31421</v>
      </c>
    </row>
    <row r="332" spans="1:2">
      <c r="A332" t="s">
        <v>754</v>
      </c>
      <c r="B332" s="218">
        <v>49541</v>
      </c>
    </row>
    <row r="333" spans="1:2">
      <c r="A333" t="s">
        <v>755</v>
      </c>
      <c r="B333" s="218">
        <v>37163</v>
      </c>
    </row>
    <row r="334" spans="1:2">
      <c r="A334" t="s">
        <v>756</v>
      </c>
      <c r="B334" s="218">
        <v>45391</v>
      </c>
    </row>
    <row r="335" spans="1:2">
      <c r="A335" t="s">
        <v>757</v>
      </c>
      <c r="B335" s="218">
        <v>31119</v>
      </c>
    </row>
    <row r="336" spans="1:2">
      <c r="A336" t="s">
        <v>758</v>
      </c>
      <c r="B336" s="218">
        <v>36759</v>
      </c>
    </row>
    <row r="337" spans="1:2">
      <c r="A337" t="s">
        <v>759</v>
      </c>
      <c r="B337" s="218">
        <v>32123</v>
      </c>
    </row>
    <row r="338" spans="1:2">
      <c r="A338" t="s">
        <v>760</v>
      </c>
      <c r="B338" s="218">
        <v>73493</v>
      </c>
    </row>
    <row r="339" spans="1:2">
      <c r="A339" t="s">
        <v>761</v>
      </c>
      <c r="B339" s="218">
        <v>30417</v>
      </c>
    </row>
    <row r="340" spans="1:2">
      <c r="A340" t="s">
        <v>762</v>
      </c>
      <c r="B340" s="218">
        <v>53125</v>
      </c>
    </row>
    <row r="341" spans="1:2">
      <c r="A341" t="s">
        <v>763</v>
      </c>
      <c r="B341" s="218">
        <v>52021</v>
      </c>
    </row>
    <row r="342" spans="1:2">
      <c r="A342" t="s">
        <v>764</v>
      </c>
      <c r="B342" s="218">
        <v>32647</v>
      </c>
    </row>
    <row r="343" spans="1:2">
      <c r="A343" t="s">
        <v>765</v>
      </c>
      <c r="B343" s="218">
        <v>46161</v>
      </c>
    </row>
    <row r="344" spans="1:2">
      <c r="A344" t="s">
        <v>766</v>
      </c>
      <c r="B344" s="218">
        <v>57457</v>
      </c>
    </row>
    <row r="345" spans="1:2">
      <c r="A345" t="s">
        <v>767</v>
      </c>
      <c r="B345" s="218">
        <v>48026</v>
      </c>
    </row>
    <row r="346" spans="1:2">
      <c r="A346" t="s">
        <v>768</v>
      </c>
      <c r="B346" s="218">
        <v>70100</v>
      </c>
    </row>
    <row r="347" spans="1:2">
      <c r="A347" t="s">
        <v>769</v>
      </c>
      <c r="B347" s="218">
        <v>49965</v>
      </c>
    </row>
    <row r="348" spans="1:2">
      <c r="A348" t="s">
        <v>770</v>
      </c>
      <c r="B348" s="218">
        <v>45819</v>
      </c>
    </row>
    <row r="349" spans="1:2">
      <c r="A349" t="s">
        <v>771</v>
      </c>
      <c r="B349" s="218">
        <v>32596</v>
      </c>
    </row>
    <row r="350" spans="1:2">
      <c r="A350" t="s">
        <v>772</v>
      </c>
      <c r="B350" s="218">
        <v>68934</v>
      </c>
    </row>
    <row r="351" spans="1:2">
      <c r="A351" t="s">
        <v>773</v>
      </c>
      <c r="B351" s="218">
        <v>47776</v>
      </c>
    </row>
    <row r="352" spans="1:2">
      <c r="A352" t="s">
        <v>774</v>
      </c>
      <c r="B352" s="218">
        <v>16592</v>
      </c>
    </row>
    <row r="353" spans="1:2">
      <c r="A353" t="s">
        <v>775</v>
      </c>
      <c r="B353" s="218">
        <v>52727</v>
      </c>
    </row>
    <row r="354" spans="1:2">
      <c r="A354" t="s">
        <v>776</v>
      </c>
      <c r="B354" s="218">
        <v>62800</v>
      </c>
    </row>
    <row r="355" spans="1:2">
      <c r="A355" t="s">
        <v>777</v>
      </c>
      <c r="B355" s="218">
        <v>18722</v>
      </c>
    </row>
    <row r="356" spans="1:2">
      <c r="A356" t="s">
        <v>778</v>
      </c>
      <c r="B356" s="218">
        <v>99786</v>
      </c>
    </row>
    <row r="357" spans="1:2">
      <c r="A357" t="s">
        <v>779</v>
      </c>
      <c r="B357" s="218">
        <v>86786</v>
      </c>
    </row>
    <row r="358" spans="1:2">
      <c r="A358" t="s">
        <v>780</v>
      </c>
      <c r="B358" s="218">
        <v>112917</v>
      </c>
    </row>
    <row r="359" spans="1:2">
      <c r="A359" t="s">
        <v>781</v>
      </c>
      <c r="B359" s="218">
        <v>67750</v>
      </c>
    </row>
    <row r="360" spans="1:2">
      <c r="A360" t="s">
        <v>782</v>
      </c>
      <c r="B360" s="218">
        <v>69150</v>
      </c>
    </row>
    <row r="361" spans="1:2">
      <c r="A361" t="s">
        <v>783</v>
      </c>
      <c r="B361" s="218">
        <v>90728</v>
      </c>
    </row>
    <row r="362" spans="1:2">
      <c r="A362" t="s">
        <v>784</v>
      </c>
      <c r="B362" s="218">
        <v>91647</v>
      </c>
    </row>
    <row r="363" spans="1:2">
      <c r="A363" t="s">
        <v>785</v>
      </c>
      <c r="B363" s="218">
        <v>85577</v>
      </c>
    </row>
    <row r="364" spans="1:2">
      <c r="A364" t="s">
        <v>786</v>
      </c>
      <c r="B364" s="218">
        <v>76765</v>
      </c>
    </row>
    <row r="365" spans="1:2">
      <c r="A365" t="s">
        <v>787</v>
      </c>
      <c r="B365" s="218">
        <v>53875</v>
      </c>
    </row>
    <row r="366" spans="1:2">
      <c r="A366" t="s">
        <v>788</v>
      </c>
      <c r="B366" s="218">
        <v>57883</v>
      </c>
    </row>
    <row r="367" spans="1:2">
      <c r="A367" t="s">
        <v>789</v>
      </c>
      <c r="B367" s="218">
        <v>56048</v>
      </c>
    </row>
    <row r="368" spans="1:2">
      <c r="A368" t="s">
        <v>790</v>
      </c>
      <c r="B368" s="218">
        <v>52535</v>
      </c>
    </row>
    <row r="369" spans="1:2">
      <c r="A369" t="s">
        <v>791</v>
      </c>
      <c r="B369" s="218">
        <v>42917</v>
      </c>
    </row>
    <row r="370" spans="1:2">
      <c r="A370" t="s">
        <v>792</v>
      </c>
      <c r="B370" s="218">
        <v>84226</v>
      </c>
    </row>
    <row r="371" spans="1:2">
      <c r="A371" t="s">
        <v>793</v>
      </c>
      <c r="B371" s="218">
        <v>80252</v>
      </c>
    </row>
    <row r="372" spans="1:2">
      <c r="A372" t="s">
        <v>794</v>
      </c>
      <c r="B372" s="218">
        <v>36500</v>
      </c>
    </row>
    <row r="373" spans="1:2">
      <c r="A373" t="s">
        <v>795</v>
      </c>
      <c r="B373" s="218">
        <v>78614</v>
      </c>
    </row>
    <row r="374" spans="1:2">
      <c r="A374" t="s">
        <v>796</v>
      </c>
      <c r="B374" s="218">
        <v>51488</v>
      </c>
    </row>
    <row r="375" spans="1:2">
      <c r="A375" t="s">
        <v>797</v>
      </c>
      <c r="B375" s="218">
        <v>59188</v>
      </c>
    </row>
    <row r="376" spans="1:2">
      <c r="A376" t="s">
        <v>798</v>
      </c>
      <c r="B376" s="218">
        <v>43920</v>
      </c>
    </row>
    <row r="377" spans="1:2">
      <c r="A377" t="s">
        <v>799</v>
      </c>
      <c r="B377" s="218">
        <v>54965</v>
      </c>
    </row>
    <row r="378" spans="1:2">
      <c r="A378" t="s">
        <v>800</v>
      </c>
      <c r="B378" s="218">
        <v>45655</v>
      </c>
    </row>
    <row r="379" spans="1:2">
      <c r="A379" t="s">
        <v>801</v>
      </c>
      <c r="B379" s="218">
        <v>56214</v>
      </c>
    </row>
    <row r="380" spans="1:2">
      <c r="A380" t="s">
        <v>802</v>
      </c>
      <c r="B380" s="218">
        <v>55602</v>
      </c>
    </row>
    <row r="381" spans="1:2">
      <c r="A381" t="s">
        <v>803</v>
      </c>
      <c r="B381" s="218">
        <v>51370</v>
      </c>
    </row>
    <row r="382" spans="1:2">
      <c r="A382" t="s">
        <v>804</v>
      </c>
      <c r="B382" s="218">
        <v>63387</v>
      </c>
    </row>
    <row r="383" spans="1:2">
      <c r="A383" t="s">
        <v>805</v>
      </c>
      <c r="B383" s="218">
        <v>87536</v>
      </c>
    </row>
    <row r="384" spans="1:2">
      <c r="A384" t="s">
        <v>806</v>
      </c>
      <c r="B384" s="218">
        <v>45781</v>
      </c>
    </row>
    <row r="385" spans="1:2">
      <c r="A385" t="s">
        <v>807</v>
      </c>
      <c r="B385" s="218">
        <v>53966</v>
      </c>
    </row>
    <row r="386" spans="1:2">
      <c r="A386" t="s">
        <v>808</v>
      </c>
      <c r="B386" s="218">
        <v>73689</v>
      </c>
    </row>
    <row r="387" spans="1:2">
      <c r="A387" t="s">
        <v>809</v>
      </c>
      <c r="B387" s="218">
        <v>48497</v>
      </c>
    </row>
    <row r="388" spans="1:2">
      <c r="A388" t="s">
        <v>810</v>
      </c>
      <c r="B388" s="218">
        <v>42319</v>
      </c>
    </row>
    <row r="389" spans="1:2">
      <c r="A389" t="s">
        <v>811</v>
      </c>
      <c r="B389" s="218">
        <v>32125</v>
      </c>
    </row>
    <row r="390" spans="1:2">
      <c r="A390" t="s">
        <v>812</v>
      </c>
      <c r="B390" s="218">
        <v>30081</v>
      </c>
    </row>
    <row r="391" spans="1:2">
      <c r="A391" t="s">
        <v>813</v>
      </c>
      <c r="B391" s="218">
        <v>37008</v>
      </c>
    </row>
    <row r="392" spans="1:2">
      <c r="A392" t="s">
        <v>814</v>
      </c>
      <c r="B392" s="218">
        <v>68514</v>
      </c>
    </row>
    <row r="393" spans="1:2">
      <c r="A393" t="s">
        <v>815</v>
      </c>
      <c r="B393" s="218">
        <v>40357</v>
      </c>
    </row>
    <row r="394" spans="1:2">
      <c r="A394" t="s">
        <v>816</v>
      </c>
      <c r="B394" s="218">
        <v>26357</v>
      </c>
    </row>
    <row r="395" spans="1:2">
      <c r="A395" t="s">
        <v>817</v>
      </c>
      <c r="B395" s="218">
        <v>45292</v>
      </c>
    </row>
    <row r="396" spans="1:2">
      <c r="A396" t="s">
        <v>818</v>
      </c>
      <c r="B396" s="218">
        <v>32845</v>
      </c>
    </row>
    <row r="397" spans="1:2">
      <c r="A397" t="s">
        <v>819</v>
      </c>
      <c r="B397" s="218">
        <v>77131</v>
      </c>
    </row>
    <row r="398" spans="1:2">
      <c r="A398" t="s">
        <v>820</v>
      </c>
      <c r="B398" s="218">
        <v>59299</v>
      </c>
    </row>
    <row r="399" spans="1:2">
      <c r="A399" t="s">
        <v>821</v>
      </c>
      <c r="B399" s="218">
        <v>46761</v>
      </c>
    </row>
    <row r="400" spans="1:2">
      <c r="A400" t="s">
        <v>822</v>
      </c>
      <c r="B400" s="218">
        <v>41432</v>
      </c>
    </row>
    <row r="401" spans="1:2">
      <c r="A401" t="s">
        <v>823</v>
      </c>
      <c r="B401" s="218">
        <v>53635</v>
      </c>
    </row>
    <row r="402" spans="1:2">
      <c r="A402" t="s">
        <v>824</v>
      </c>
      <c r="B402" s="218">
        <v>57885</v>
      </c>
    </row>
    <row r="403" spans="1:2">
      <c r="A403" t="s">
        <v>825</v>
      </c>
      <c r="B403" s="218">
        <v>63015</v>
      </c>
    </row>
    <row r="404" spans="1:2">
      <c r="A404" t="s">
        <v>826</v>
      </c>
      <c r="B404" s="218">
        <v>52035</v>
      </c>
    </row>
    <row r="405" spans="1:2">
      <c r="A405" t="s">
        <v>827</v>
      </c>
      <c r="B405" s="218">
        <v>57429</v>
      </c>
    </row>
    <row r="406" spans="1:2">
      <c r="A406" t="s">
        <v>828</v>
      </c>
      <c r="B406" s="218">
        <v>62614</v>
      </c>
    </row>
    <row r="407" spans="1:2">
      <c r="A407" t="s">
        <v>829</v>
      </c>
      <c r="B407" s="218">
        <v>51188</v>
      </c>
    </row>
    <row r="408" spans="1:2">
      <c r="A408" t="s">
        <v>830</v>
      </c>
      <c r="B408" s="218">
        <v>55691</v>
      </c>
    </row>
    <row r="409" spans="1:2">
      <c r="A409" t="s">
        <v>831</v>
      </c>
      <c r="B409" s="218">
        <v>48125</v>
      </c>
    </row>
    <row r="410" spans="1:2">
      <c r="A410" t="s">
        <v>832</v>
      </c>
      <c r="B410" s="218">
        <v>34922</v>
      </c>
    </row>
    <row r="411" spans="1:2">
      <c r="A411" t="s">
        <v>833</v>
      </c>
      <c r="B411" s="218">
        <v>30156</v>
      </c>
    </row>
    <row r="412" spans="1:2">
      <c r="A412" t="s">
        <v>834</v>
      </c>
      <c r="B412" s="218">
        <v>56410</v>
      </c>
    </row>
    <row r="413" spans="1:2">
      <c r="A413" t="s">
        <v>835</v>
      </c>
      <c r="B413" s="218">
        <v>54279</v>
      </c>
    </row>
    <row r="414" spans="1:2">
      <c r="A414" t="s">
        <v>836</v>
      </c>
      <c r="B414" s="218">
        <v>73162</v>
      </c>
    </row>
    <row r="415" spans="1:2">
      <c r="A415" t="s">
        <v>837</v>
      </c>
      <c r="B415" s="218">
        <v>74276</v>
      </c>
    </row>
    <row r="416" spans="1:2">
      <c r="A416" t="s">
        <v>838</v>
      </c>
      <c r="B416" s="218">
        <v>66875</v>
      </c>
    </row>
    <row r="417" spans="1:2">
      <c r="A417" t="s">
        <v>839</v>
      </c>
      <c r="B417" s="218">
        <v>64931</v>
      </c>
    </row>
    <row r="418" spans="1:2">
      <c r="A418" t="s">
        <v>840</v>
      </c>
      <c r="B418" s="218">
        <v>105071</v>
      </c>
    </row>
    <row r="419" spans="1:2">
      <c r="A419" t="s">
        <v>841</v>
      </c>
      <c r="B419" s="218">
        <v>93761</v>
      </c>
    </row>
    <row r="420" spans="1:2">
      <c r="A420" t="s">
        <v>842</v>
      </c>
      <c r="B420" s="218">
        <v>65257</v>
      </c>
    </row>
    <row r="421" spans="1:2">
      <c r="A421" t="s">
        <v>843</v>
      </c>
      <c r="B421" s="218">
        <v>66389</v>
      </c>
    </row>
    <row r="422" spans="1:2">
      <c r="A422" t="s">
        <v>844</v>
      </c>
      <c r="B422" s="218">
        <v>118318</v>
      </c>
    </row>
    <row r="423" spans="1:2">
      <c r="A423" t="s">
        <v>845</v>
      </c>
      <c r="B423" s="218">
        <v>74389</v>
      </c>
    </row>
    <row r="424" spans="1:2">
      <c r="A424" t="s">
        <v>846</v>
      </c>
      <c r="B424" s="218">
        <v>81957</v>
      </c>
    </row>
    <row r="425" spans="1:2">
      <c r="A425" t="s">
        <v>847</v>
      </c>
      <c r="B425" s="218">
        <v>103890</v>
      </c>
    </row>
    <row r="426" spans="1:2">
      <c r="A426" t="s">
        <v>848</v>
      </c>
      <c r="B426" s="218">
        <v>73722</v>
      </c>
    </row>
    <row r="427" spans="1:2">
      <c r="A427" t="s">
        <v>849</v>
      </c>
      <c r="B427" s="218">
        <v>106583</v>
      </c>
    </row>
    <row r="428" spans="1:2">
      <c r="A428" t="s">
        <v>850</v>
      </c>
      <c r="B428" s="218">
        <v>76161</v>
      </c>
    </row>
    <row r="429" spans="1:2">
      <c r="A429" t="s">
        <v>851</v>
      </c>
      <c r="B429" s="218">
        <v>91042</v>
      </c>
    </row>
    <row r="430" spans="1:2">
      <c r="A430" t="s">
        <v>852</v>
      </c>
      <c r="B430" s="218">
        <v>100042</v>
      </c>
    </row>
    <row r="431" spans="1:2">
      <c r="A431" t="s">
        <v>853</v>
      </c>
      <c r="B431" s="218">
        <v>125729</v>
      </c>
    </row>
    <row r="432" spans="1:2">
      <c r="A432" t="s">
        <v>854</v>
      </c>
      <c r="B432" s="218">
        <v>88814</v>
      </c>
    </row>
    <row r="433" spans="1:2">
      <c r="A433" t="s">
        <v>855</v>
      </c>
      <c r="B433" s="218">
        <v>70072</v>
      </c>
    </row>
    <row r="434" spans="1:2">
      <c r="A434" t="s">
        <v>856</v>
      </c>
      <c r="B434" s="218">
        <v>87466</v>
      </c>
    </row>
    <row r="435" spans="1:2">
      <c r="A435" t="s">
        <v>857</v>
      </c>
      <c r="B435" s="218">
        <v>54281</v>
      </c>
    </row>
    <row r="436" spans="1:2">
      <c r="A436" t="s">
        <v>858</v>
      </c>
      <c r="B436" s="218">
        <v>45292</v>
      </c>
    </row>
    <row r="437" spans="1:2">
      <c r="A437" t="s">
        <v>859</v>
      </c>
      <c r="B437" s="218">
        <v>145610</v>
      </c>
    </row>
    <row r="438" spans="1:2">
      <c r="A438" t="s">
        <v>860</v>
      </c>
      <c r="B438" s="218">
        <v>94503</v>
      </c>
    </row>
    <row r="439" spans="1:2">
      <c r="A439" t="s">
        <v>861</v>
      </c>
      <c r="B439" s="218">
        <v>69574</v>
      </c>
    </row>
    <row r="440" spans="1:2">
      <c r="A440" t="s">
        <v>862</v>
      </c>
      <c r="B440" s="218">
        <v>81570</v>
      </c>
    </row>
    <row r="441" spans="1:2">
      <c r="A441" t="s">
        <v>863</v>
      </c>
      <c r="B441" s="218">
        <v>86588</v>
      </c>
    </row>
    <row r="442" spans="1:2">
      <c r="A442" t="s">
        <v>864</v>
      </c>
      <c r="B442" s="218">
        <v>176859</v>
      </c>
    </row>
    <row r="443" spans="1:2">
      <c r="A443" t="s">
        <v>865</v>
      </c>
      <c r="B443" s="218">
        <v>116660</v>
      </c>
    </row>
    <row r="444" spans="1:2">
      <c r="A444" t="s">
        <v>866</v>
      </c>
      <c r="B444" s="218">
        <v>111919</v>
      </c>
    </row>
    <row r="445" spans="1:2">
      <c r="A445" t="s">
        <v>867</v>
      </c>
      <c r="B445" s="218">
        <v>72094</v>
      </c>
    </row>
    <row r="446" spans="1:2">
      <c r="A446" t="s">
        <v>868</v>
      </c>
      <c r="B446" s="218">
        <v>119643</v>
      </c>
    </row>
    <row r="447" spans="1:2">
      <c r="A447" t="s">
        <v>869</v>
      </c>
      <c r="B447" s="218">
        <v>110514</v>
      </c>
    </row>
    <row r="448" spans="1:2">
      <c r="A448" t="s">
        <v>870</v>
      </c>
      <c r="B448" s="218">
        <v>149211</v>
      </c>
    </row>
    <row r="449" spans="1:2">
      <c r="A449" t="s">
        <v>871</v>
      </c>
      <c r="B449" s="218">
        <v>73402</v>
      </c>
    </row>
    <row r="450" spans="1:2">
      <c r="A450" t="s">
        <v>872</v>
      </c>
      <c r="B450" s="218">
        <v>116506</v>
      </c>
    </row>
    <row r="451" spans="1:2">
      <c r="A451" t="s">
        <v>873</v>
      </c>
      <c r="B451" s="218">
        <v>157556</v>
      </c>
    </row>
    <row r="452" spans="1:2">
      <c r="A452" t="s">
        <v>874</v>
      </c>
      <c r="B452" s="218">
        <v>163702</v>
      </c>
    </row>
    <row r="453" spans="1:2">
      <c r="A453" t="s">
        <v>875</v>
      </c>
      <c r="B453" s="218">
        <v>68038</v>
      </c>
    </row>
    <row r="454" spans="1:2">
      <c r="A454" t="s">
        <v>876</v>
      </c>
      <c r="B454" s="218">
        <v>123811</v>
      </c>
    </row>
    <row r="455" spans="1:2">
      <c r="A455" t="s">
        <v>877</v>
      </c>
      <c r="B455" s="218">
        <v>156595</v>
      </c>
    </row>
    <row r="456" spans="1:2">
      <c r="A456" t="s">
        <v>878</v>
      </c>
      <c r="B456" s="218">
        <v>187674</v>
      </c>
    </row>
    <row r="457" spans="1:2">
      <c r="A457" t="s">
        <v>879</v>
      </c>
      <c r="B457" s="218">
        <v>179244</v>
      </c>
    </row>
    <row r="458" spans="1:2">
      <c r="A458" t="s">
        <v>880</v>
      </c>
      <c r="B458" s="218">
        <v>141400</v>
      </c>
    </row>
    <row r="459" spans="1:2">
      <c r="A459" t="s">
        <v>881</v>
      </c>
      <c r="B459" s="218">
        <v>151260</v>
      </c>
    </row>
    <row r="460" spans="1:2">
      <c r="A460" t="s">
        <v>882</v>
      </c>
      <c r="B460" s="218">
        <v>122727</v>
      </c>
    </row>
    <row r="461" spans="1:2">
      <c r="A461" t="s">
        <v>883</v>
      </c>
      <c r="B461" s="218">
        <v>112619</v>
      </c>
    </row>
    <row r="462" spans="1:2">
      <c r="A462" t="s">
        <v>884</v>
      </c>
      <c r="B462" s="218">
        <v>77928</v>
      </c>
    </row>
    <row r="463" spans="1:2">
      <c r="A463" t="s">
        <v>885</v>
      </c>
      <c r="B463" s="218">
        <v>71250</v>
      </c>
    </row>
    <row r="464" spans="1:2">
      <c r="A464" t="s">
        <v>886</v>
      </c>
      <c r="B464" s="218">
        <v>189828</v>
      </c>
    </row>
    <row r="465" spans="1:2">
      <c r="A465" t="s">
        <v>887</v>
      </c>
      <c r="B465" s="218">
        <v>198355</v>
      </c>
    </row>
    <row r="466" spans="1:2">
      <c r="A466" t="s">
        <v>888</v>
      </c>
      <c r="B466" s="218">
        <v>62285</v>
      </c>
    </row>
    <row r="467" spans="1:2">
      <c r="A467" t="s">
        <v>889</v>
      </c>
      <c r="B467" s="218">
        <v>64983</v>
      </c>
    </row>
    <row r="468" spans="1:2">
      <c r="A468" t="s">
        <v>890</v>
      </c>
      <c r="B468" s="218">
        <v>103207</v>
      </c>
    </row>
    <row r="469" spans="1:2">
      <c r="A469" t="s">
        <v>891</v>
      </c>
      <c r="B469" s="218">
        <v>173125</v>
      </c>
    </row>
    <row r="470" spans="1:2">
      <c r="A470" t="s">
        <v>892</v>
      </c>
      <c r="B470" s="218">
        <v>71859</v>
      </c>
    </row>
    <row r="471" spans="1:2">
      <c r="A471" t="s">
        <v>893</v>
      </c>
      <c r="B471" s="218">
        <v>70357</v>
      </c>
    </row>
    <row r="472" spans="1:2">
      <c r="A472" t="s">
        <v>894</v>
      </c>
      <c r="B472" s="218">
        <v>92830</v>
      </c>
    </row>
    <row r="473" spans="1:2">
      <c r="A473" t="s">
        <v>895</v>
      </c>
      <c r="B473" s="218">
        <v>64718</v>
      </c>
    </row>
    <row r="474" spans="1:2">
      <c r="A474" t="s">
        <v>896</v>
      </c>
      <c r="B474" s="218">
        <v>69399</v>
      </c>
    </row>
    <row r="475" spans="1:2">
      <c r="A475" t="s">
        <v>897</v>
      </c>
      <c r="B475" s="218">
        <v>81250</v>
      </c>
    </row>
    <row r="476" spans="1:2">
      <c r="A476" t="s">
        <v>898</v>
      </c>
      <c r="B476" s="218">
        <v>42585</v>
      </c>
    </row>
    <row r="477" spans="1:2">
      <c r="A477" t="s">
        <v>899</v>
      </c>
      <c r="B477" s="218">
        <v>66910</v>
      </c>
    </row>
    <row r="478" spans="1:2">
      <c r="A478" t="s">
        <v>900</v>
      </c>
      <c r="B478" s="218">
        <v>52500</v>
      </c>
    </row>
    <row r="479" spans="1:2">
      <c r="A479" t="s">
        <v>901</v>
      </c>
      <c r="B479" s="218">
        <v>57544</v>
      </c>
    </row>
    <row r="480" spans="1:2">
      <c r="A480" t="s">
        <v>902</v>
      </c>
      <c r="B480" s="218">
        <v>100402</v>
      </c>
    </row>
    <row r="481" spans="1:2">
      <c r="A481" t="s">
        <v>903</v>
      </c>
      <c r="B481" s="218">
        <v>76290</v>
      </c>
    </row>
    <row r="482" spans="1:2">
      <c r="A482" t="s">
        <v>904</v>
      </c>
      <c r="B482" s="218">
        <v>112135</v>
      </c>
    </row>
    <row r="483" spans="1:2">
      <c r="A483" t="s">
        <v>905</v>
      </c>
      <c r="B483" s="218">
        <v>78155</v>
      </c>
    </row>
    <row r="484" spans="1:2">
      <c r="A484" t="s">
        <v>906</v>
      </c>
      <c r="B484" s="218">
        <v>89167</v>
      </c>
    </row>
    <row r="485" spans="1:2">
      <c r="A485" t="s">
        <v>907</v>
      </c>
      <c r="B485" s="218">
        <v>76478</v>
      </c>
    </row>
    <row r="486" spans="1:2">
      <c r="A486" t="s">
        <v>908</v>
      </c>
      <c r="B486" s="218">
        <v>53795</v>
      </c>
    </row>
    <row r="487" spans="1:2">
      <c r="A487" t="s">
        <v>909</v>
      </c>
      <c r="B487" s="218">
        <v>68043</v>
      </c>
    </row>
    <row r="488" spans="1:2">
      <c r="A488" t="s">
        <v>910</v>
      </c>
      <c r="B488" s="218">
        <v>45150</v>
      </c>
    </row>
    <row r="489" spans="1:2">
      <c r="A489" t="s">
        <v>911</v>
      </c>
      <c r="B489" s="218">
        <v>53365</v>
      </c>
    </row>
    <row r="490" spans="1:2">
      <c r="A490" t="s">
        <v>912</v>
      </c>
      <c r="B490" s="218">
        <v>57155</v>
      </c>
    </row>
    <row r="491" spans="1:2">
      <c r="A491" t="s">
        <v>913</v>
      </c>
      <c r="B491" s="218">
        <v>59325</v>
      </c>
    </row>
    <row r="492" spans="1:2">
      <c r="A492" t="s">
        <v>914</v>
      </c>
      <c r="B492" s="218">
        <v>80536</v>
      </c>
    </row>
    <row r="493" spans="1:2">
      <c r="A493" t="s">
        <v>915</v>
      </c>
      <c r="B493" s="218">
        <v>67524</v>
      </c>
    </row>
    <row r="494" spans="1:2">
      <c r="A494" t="s">
        <v>916</v>
      </c>
      <c r="B494" s="218">
        <v>60288</v>
      </c>
    </row>
    <row r="495" spans="1:2">
      <c r="A495" t="s">
        <v>917</v>
      </c>
      <c r="B495" s="218">
        <v>140750</v>
      </c>
    </row>
    <row r="496" spans="1:2">
      <c r="A496" t="s">
        <v>918</v>
      </c>
      <c r="B496" s="218">
        <v>111320</v>
      </c>
    </row>
    <row r="497" spans="1:2">
      <c r="A497" t="s">
        <v>919</v>
      </c>
      <c r="B497" s="218">
        <v>95682</v>
      </c>
    </row>
    <row r="498" spans="1:2">
      <c r="A498" t="s">
        <v>920</v>
      </c>
      <c r="B498" s="218">
        <v>88452</v>
      </c>
    </row>
    <row r="499" spans="1:2">
      <c r="A499" t="s">
        <v>921</v>
      </c>
      <c r="B499" s="218">
        <v>116462</v>
      </c>
    </row>
    <row r="500" spans="1:2">
      <c r="A500" t="s">
        <v>922</v>
      </c>
      <c r="B500" s="218">
        <v>85752</v>
      </c>
    </row>
    <row r="501" spans="1:2">
      <c r="A501" t="s">
        <v>923</v>
      </c>
      <c r="B501" s="218">
        <v>68142</v>
      </c>
    </row>
    <row r="502" spans="1:2">
      <c r="A502" t="s">
        <v>924</v>
      </c>
      <c r="B502" s="218">
        <v>60060</v>
      </c>
    </row>
    <row r="503" spans="1:2">
      <c r="A503" t="s">
        <v>925</v>
      </c>
      <c r="B503" s="218">
        <v>78714</v>
      </c>
    </row>
    <row r="504" spans="1:2">
      <c r="A504" t="s">
        <v>926</v>
      </c>
      <c r="B504" s="218">
        <v>96277</v>
      </c>
    </row>
    <row r="505" spans="1:2">
      <c r="A505" t="s">
        <v>927</v>
      </c>
      <c r="B505" s="218">
        <v>78019</v>
      </c>
    </row>
    <row r="506" spans="1:2">
      <c r="A506" t="s">
        <v>928</v>
      </c>
      <c r="B506" s="218">
        <v>82744</v>
      </c>
    </row>
    <row r="507" spans="1:2">
      <c r="A507" t="s">
        <v>929</v>
      </c>
      <c r="B507" s="218">
        <v>84101</v>
      </c>
    </row>
    <row r="508" spans="1:2">
      <c r="A508" t="s">
        <v>930</v>
      </c>
      <c r="B508" s="218">
        <v>58276</v>
      </c>
    </row>
    <row r="509" spans="1:2">
      <c r="A509" t="s">
        <v>931</v>
      </c>
      <c r="B509" s="218">
        <v>93831</v>
      </c>
    </row>
    <row r="510" spans="1:2">
      <c r="A510" t="s">
        <v>932</v>
      </c>
      <c r="B510" s="218">
        <v>92909</v>
      </c>
    </row>
    <row r="511" spans="1:2">
      <c r="A511" t="s">
        <v>933</v>
      </c>
      <c r="B511" s="218">
        <v>118702</v>
      </c>
    </row>
    <row r="512" spans="1:2">
      <c r="A512" t="s">
        <v>934</v>
      </c>
      <c r="B512" s="218">
        <v>82060</v>
      </c>
    </row>
    <row r="513" spans="1:2">
      <c r="A513" t="s">
        <v>935</v>
      </c>
      <c r="B513" s="218">
        <v>101434</v>
      </c>
    </row>
    <row r="514" spans="1:2">
      <c r="A514" t="s">
        <v>936</v>
      </c>
      <c r="B514" s="218">
        <v>127567</v>
      </c>
    </row>
    <row r="515" spans="1:2">
      <c r="A515" t="s">
        <v>937</v>
      </c>
      <c r="B515" s="218">
        <v>73014</v>
      </c>
    </row>
    <row r="516" spans="1:2">
      <c r="A516" t="s">
        <v>938</v>
      </c>
      <c r="B516" s="218">
        <v>93500</v>
      </c>
    </row>
    <row r="517" spans="1:2">
      <c r="A517" t="s">
        <v>939</v>
      </c>
      <c r="B517" s="218">
        <v>62360</v>
      </c>
    </row>
    <row r="518" spans="1:2">
      <c r="A518" t="s">
        <v>940</v>
      </c>
      <c r="B518" s="218">
        <v>98265</v>
      </c>
    </row>
    <row r="519" spans="1:2">
      <c r="A519" t="s">
        <v>941</v>
      </c>
      <c r="B519" s="218">
        <v>87308</v>
      </c>
    </row>
    <row r="520" spans="1:2">
      <c r="A520" t="s">
        <v>942</v>
      </c>
      <c r="B520" s="218">
        <v>82363</v>
      </c>
    </row>
    <row r="521" spans="1:2">
      <c r="A521" t="s">
        <v>943</v>
      </c>
      <c r="B521" s="218">
        <v>60170</v>
      </c>
    </row>
    <row r="522" spans="1:2">
      <c r="A522" t="s">
        <v>944</v>
      </c>
      <c r="B522" s="218">
        <v>67417</v>
      </c>
    </row>
    <row r="523" spans="1:2">
      <c r="A523" t="s">
        <v>945</v>
      </c>
      <c r="B523" s="218">
        <v>45764</v>
      </c>
    </row>
    <row r="524" spans="1:2">
      <c r="A524" t="s">
        <v>946</v>
      </c>
      <c r="B524" s="218">
        <v>71359</v>
      </c>
    </row>
    <row r="525" spans="1:2">
      <c r="A525" t="s">
        <v>947</v>
      </c>
      <c r="B525" s="218">
        <v>67500</v>
      </c>
    </row>
    <row r="526" spans="1:2">
      <c r="A526" t="s">
        <v>948</v>
      </c>
      <c r="B526" s="218">
        <v>59194</v>
      </c>
    </row>
    <row r="527" spans="1:2">
      <c r="A527" t="s">
        <v>949</v>
      </c>
      <c r="B527" s="218">
        <v>51971</v>
      </c>
    </row>
    <row r="528" spans="1:2">
      <c r="A528" t="s">
        <v>950</v>
      </c>
      <c r="B528" s="218">
        <v>52536</v>
      </c>
    </row>
    <row r="529" spans="1:2">
      <c r="A529" t="s">
        <v>951</v>
      </c>
      <c r="B529" s="218">
        <v>62614</v>
      </c>
    </row>
    <row r="530" spans="1:2">
      <c r="A530" t="s">
        <v>952</v>
      </c>
      <c r="B530" s="218">
        <v>52659</v>
      </c>
    </row>
    <row r="531" spans="1:2">
      <c r="A531" t="s">
        <v>953</v>
      </c>
      <c r="B531" s="218">
        <v>46314</v>
      </c>
    </row>
    <row r="532" spans="1:2">
      <c r="A532" t="s">
        <v>954</v>
      </c>
      <c r="B532" s="218">
        <v>40924</v>
      </c>
    </row>
    <row r="533" spans="1:2">
      <c r="A533" t="s">
        <v>955</v>
      </c>
      <c r="B533" s="218">
        <v>22301</v>
      </c>
    </row>
    <row r="534" spans="1:2">
      <c r="A534" t="s">
        <v>956</v>
      </c>
      <c r="B534" s="218">
        <v>51889</v>
      </c>
    </row>
    <row r="535" spans="1:2">
      <c r="A535" t="s">
        <v>957</v>
      </c>
      <c r="B535" s="218">
        <v>32019</v>
      </c>
    </row>
    <row r="536" spans="1:2">
      <c r="A536" t="s">
        <v>958</v>
      </c>
      <c r="B536" s="218">
        <v>44958</v>
      </c>
    </row>
    <row r="537" spans="1:2">
      <c r="A537" t="s">
        <v>959</v>
      </c>
      <c r="B537" s="218">
        <v>58026</v>
      </c>
    </row>
    <row r="538" spans="1:2">
      <c r="A538" t="s">
        <v>960</v>
      </c>
      <c r="B538" s="218">
        <v>60781</v>
      </c>
    </row>
    <row r="539" spans="1:2">
      <c r="A539" t="s">
        <v>961</v>
      </c>
      <c r="B539" s="218">
        <v>27616</v>
      </c>
    </row>
    <row r="540" spans="1:2">
      <c r="A540" t="s">
        <v>962</v>
      </c>
      <c r="B540" s="218">
        <v>40740</v>
      </c>
    </row>
    <row r="541" spans="1:2">
      <c r="A541" t="s">
        <v>963</v>
      </c>
      <c r="B541" s="218">
        <v>41379</v>
      </c>
    </row>
    <row r="542" spans="1:2">
      <c r="A542" t="s">
        <v>964</v>
      </c>
      <c r="B542" s="218">
        <v>51591</v>
      </c>
    </row>
    <row r="543" spans="1:2">
      <c r="A543" t="s">
        <v>965</v>
      </c>
      <c r="B543" s="218">
        <v>43750</v>
      </c>
    </row>
    <row r="544" spans="1:2">
      <c r="A544" t="s">
        <v>966</v>
      </c>
      <c r="B544" s="218">
        <v>58836</v>
      </c>
    </row>
    <row r="545" spans="1:2">
      <c r="A545" t="s">
        <v>967</v>
      </c>
      <c r="B545" s="218">
        <v>61583</v>
      </c>
    </row>
    <row r="546" spans="1:2">
      <c r="A546" t="s">
        <v>968</v>
      </c>
      <c r="B546" s="218">
        <v>34171</v>
      </c>
    </row>
    <row r="547" spans="1:2">
      <c r="A547" t="s">
        <v>969</v>
      </c>
      <c r="B547" s="218">
        <v>46936</v>
      </c>
    </row>
    <row r="548" spans="1:2">
      <c r="A548" t="s">
        <v>970</v>
      </c>
      <c r="B548" s="218">
        <v>50714</v>
      </c>
    </row>
    <row r="549" spans="1:2">
      <c r="A549" t="s">
        <v>971</v>
      </c>
      <c r="B549" s="218">
        <v>28806</v>
      </c>
    </row>
    <row r="550" spans="1:2">
      <c r="A550" t="s">
        <v>972</v>
      </c>
      <c r="B550" s="218">
        <v>60221</v>
      </c>
    </row>
    <row r="551" spans="1:2">
      <c r="A551" t="s">
        <v>973</v>
      </c>
      <c r="B551" s="218">
        <v>52841</v>
      </c>
    </row>
    <row r="552" spans="1:2">
      <c r="A552" t="s">
        <v>974</v>
      </c>
      <c r="B552" s="218">
        <v>52121</v>
      </c>
    </row>
    <row r="553" spans="1:2">
      <c r="A553" t="s">
        <v>975</v>
      </c>
      <c r="B553" s="218">
        <v>69259</v>
      </c>
    </row>
    <row r="554" spans="1:2">
      <c r="A554" t="s">
        <v>976</v>
      </c>
      <c r="B554" s="218">
        <v>87795</v>
      </c>
    </row>
    <row r="555" spans="1:2">
      <c r="A555" t="s">
        <v>977</v>
      </c>
      <c r="B555" s="218">
        <v>66769</v>
      </c>
    </row>
    <row r="556" spans="1:2">
      <c r="A556" t="s">
        <v>978</v>
      </c>
      <c r="B556" s="218">
        <v>73214</v>
      </c>
    </row>
    <row r="557" spans="1:2">
      <c r="A557" t="s">
        <v>979</v>
      </c>
      <c r="B557" s="218">
        <v>100769</v>
      </c>
    </row>
    <row r="558" spans="1:2">
      <c r="A558" t="s">
        <v>980</v>
      </c>
      <c r="B558" s="218">
        <v>74432</v>
      </c>
    </row>
    <row r="559" spans="1:2">
      <c r="A559" t="s">
        <v>981</v>
      </c>
      <c r="B559" s="218">
        <v>76486</v>
      </c>
    </row>
    <row r="560" spans="1:2">
      <c r="A560" t="s">
        <v>982</v>
      </c>
      <c r="B560" s="218">
        <v>67500</v>
      </c>
    </row>
    <row r="561" spans="1:2">
      <c r="A561" t="s">
        <v>983</v>
      </c>
      <c r="B561" s="218">
        <v>50554</v>
      </c>
    </row>
    <row r="562" spans="1:2">
      <c r="A562" t="s">
        <v>984</v>
      </c>
      <c r="B562" s="218">
        <v>46417</v>
      </c>
    </row>
    <row r="563" spans="1:2">
      <c r="A563" t="s">
        <v>985</v>
      </c>
      <c r="B563" s="218">
        <v>42031</v>
      </c>
    </row>
    <row r="564" spans="1:2">
      <c r="A564" t="s">
        <v>986</v>
      </c>
      <c r="B564" s="218">
        <v>70234</v>
      </c>
    </row>
    <row r="565" spans="1:2">
      <c r="A565" t="s">
        <v>987</v>
      </c>
      <c r="B565" s="218">
        <v>39260</v>
      </c>
    </row>
    <row r="566" spans="1:2">
      <c r="A566" t="s">
        <v>988</v>
      </c>
      <c r="B566" s="218">
        <v>51549</v>
      </c>
    </row>
    <row r="567" spans="1:2">
      <c r="A567" t="s">
        <v>989</v>
      </c>
      <c r="B567" s="218">
        <v>63904</v>
      </c>
    </row>
    <row r="568" spans="1:2">
      <c r="A568" t="s">
        <v>990</v>
      </c>
      <c r="B568" s="218">
        <v>62885</v>
      </c>
    </row>
    <row r="569" spans="1:2">
      <c r="A569" t="s">
        <v>991</v>
      </c>
      <c r="B569" s="218">
        <v>78278</v>
      </c>
    </row>
    <row r="570" spans="1:2">
      <c r="A570" t="s">
        <v>992</v>
      </c>
      <c r="B570" s="218">
        <v>78542</v>
      </c>
    </row>
    <row r="571" spans="1:2">
      <c r="A571" t="s">
        <v>993</v>
      </c>
      <c r="B571" s="218">
        <v>43676</v>
      </c>
    </row>
    <row r="572" spans="1:2">
      <c r="A572" t="s">
        <v>994</v>
      </c>
      <c r="B572" s="218">
        <v>72067</v>
      </c>
    </row>
    <row r="573" spans="1:2">
      <c r="A573" t="s">
        <v>995</v>
      </c>
      <c r="B573" s="218">
        <v>42563</v>
      </c>
    </row>
    <row r="574" spans="1:2">
      <c r="A574" t="s">
        <v>996</v>
      </c>
      <c r="B574" s="218">
        <v>35442</v>
      </c>
    </row>
    <row r="575" spans="1:2">
      <c r="A575" t="s">
        <v>997</v>
      </c>
      <c r="B575" s="218">
        <v>53482</v>
      </c>
    </row>
    <row r="576" spans="1:2">
      <c r="A576" t="s">
        <v>998</v>
      </c>
      <c r="B576" s="218">
        <v>67518</v>
      </c>
    </row>
    <row r="577" spans="1:2">
      <c r="A577" t="s">
        <v>999</v>
      </c>
      <c r="B577" s="218">
        <v>54468</v>
      </c>
    </row>
    <row r="578" spans="1:2">
      <c r="A578" t="s">
        <v>1000</v>
      </c>
      <c r="B578" s="218">
        <v>50524</v>
      </c>
    </row>
    <row r="579" spans="1:2">
      <c r="A579" t="s">
        <v>1001</v>
      </c>
      <c r="B579" s="218">
        <v>49732</v>
      </c>
    </row>
    <row r="580" spans="1:2">
      <c r="A580" t="s">
        <v>1002</v>
      </c>
      <c r="B580" s="218">
        <v>65438</v>
      </c>
    </row>
    <row r="581" spans="1:2">
      <c r="A581" t="s">
        <v>1003</v>
      </c>
      <c r="B581" s="218">
        <v>70594</v>
      </c>
    </row>
    <row r="582" spans="1:2">
      <c r="A582" t="s">
        <v>1004</v>
      </c>
      <c r="B582" s="218">
        <v>61302</v>
      </c>
    </row>
    <row r="583" spans="1:2">
      <c r="A583" t="s">
        <v>1005</v>
      </c>
      <c r="B583" s="218">
        <v>58750</v>
      </c>
    </row>
    <row r="584" spans="1:2">
      <c r="A584" t="s">
        <v>1006</v>
      </c>
      <c r="B584" s="218">
        <v>59596</v>
      </c>
    </row>
    <row r="585" spans="1:2">
      <c r="A585" t="s">
        <v>1007</v>
      </c>
      <c r="B585" s="218">
        <v>51581</v>
      </c>
    </row>
    <row r="586" spans="1:2">
      <c r="A586" t="s">
        <v>1008</v>
      </c>
      <c r="B586" s="218">
        <v>67500</v>
      </c>
    </row>
    <row r="587" spans="1:2">
      <c r="A587" t="s">
        <v>1009</v>
      </c>
      <c r="B587" s="218">
        <v>61760</v>
      </c>
    </row>
    <row r="588" spans="1:2">
      <c r="A588" t="s">
        <v>1010</v>
      </c>
      <c r="B588" s="218">
        <v>49531</v>
      </c>
    </row>
    <row r="589" spans="1:2">
      <c r="A589" t="s">
        <v>1011</v>
      </c>
      <c r="B589" s="218">
        <v>50440</v>
      </c>
    </row>
    <row r="590" spans="1:2">
      <c r="A590" t="s">
        <v>1012</v>
      </c>
      <c r="B590" s="218">
        <v>60500</v>
      </c>
    </row>
    <row r="591" spans="1:2">
      <c r="A591" t="s">
        <v>1013</v>
      </c>
      <c r="B591" s="218">
        <v>51307</v>
      </c>
    </row>
    <row r="592" spans="1:2">
      <c r="A592" t="s">
        <v>1014</v>
      </c>
      <c r="B592" s="218">
        <v>36656</v>
      </c>
    </row>
    <row r="593" spans="1:2">
      <c r="A593" t="s">
        <v>1015</v>
      </c>
      <c r="B593" s="218">
        <v>47463</v>
      </c>
    </row>
    <row r="594" spans="1:2">
      <c r="A594" t="s">
        <v>1016</v>
      </c>
      <c r="B594" s="218">
        <v>36571</v>
      </c>
    </row>
    <row r="595" spans="1:2">
      <c r="A595" t="s">
        <v>1017</v>
      </c>
      <c r="B595" s="218">
        <v>61574</v>
      </c>
    </row>
    <row r="596" spans="1:2">
      <c r="A596" t="s">
        <v>1018</v>
      </c>
      <c r="B596" s="218">
        <v>54531</v>
      </c>
    </row>
    <row r="597" spans="1:2">
      <c r="A597" t="s">
        <v>1019</v>
      </c>
      <c r="B597" s="218">
        <v>62456</v>
      </c>
    </row>
    <row r="598" spans="1:2">
      <c r="A598" t="s">
        <v>1020</v>
      </c>
      <c r="B598" s="218">
        <v>48028</v>
      </c>
    </row>
    <row r="599" spans="1:2">
      <c r="A599" t="s">
        <v>1021</v>
      </c>
      <c r="B599" s="218">
        <v>43502</v>
      </c>
    </row>
    <row r="600" spans="1:2">
      <c r="A600" t="s">
        <v>1022</v>
      </c>
      <c r="B600" s="218">
        <v>44875</v>
      </c>
    </row>
    <row r="601" spans="1:2">
      <c r="A601" t="s">
        <v>1023</v>
      </c>
      <c r="B601" s="218">
        <v>36706</v>
      </c>
    </row>
    <row r="602" spans="1:2">
      <c r="A602" t="s">
        <v>1024</v>
      </c>
      <c r="B602" s="218">
        <v>66147</v>
      </c>
    </row>
    <row r="603" spans="1:2">
      <c r="A603" t="s">
        <v>1025</v>
      </c>
      <c r="B603" s="218">
        <v>70136</v>
      </c>
    </row>
    <row r="604" spans="1:2">
      <c r="A604" t="s">
        <v>1026</v>
      </c>
      <c r="B604" s="218">
        <v>43945</v>
      </c>
    </row>
    <row r="605" spans="1:2">
      <c r="A605" t="s">
        <v>1027</v>
      </c>
      <c r="B605" s="218">
        <v>56052</v>
      </c>
    </row>
    <row r="606" spans="1:2">
      <c r="A606" t="s">
        <v>1028</v>
      </c>
      <c r="B606" s="218">
        <v>61367</v>
      </c>
    </row>
    <row r="607" spans="1:2">
      <c r="A607" t="s">
        <v>1029</v>
      </c>
      <c r="B607" s="218">
        <v>64794</v>
      </c>
    </row>
    <row r="608" spans="1:2">
      <c r="A608" t="s">
        <v>1030</v>
      </c>
      <c r="B608" s="218">
        <v>74504</v>
      </c>
    </row>
    <row r="609" spans="1:2">
      <c r="A609" t="s">
        <v>1031</v>
      </c>
      <c r="B609" s="218">
        <v>85395</v>
      </c>
    </row>
    <row r="610" spans="1:2">
      <c r="A610" t="s">
        <v>1032</v>
      </c>
      <c r="B610" s="218">
        <v>56384</v>
      </c>
    </row>
    <row r="611" spans="1:2">
      <c r="A611" t="s">
        <v>1033</v>
      </c>
      <c r="B611" s="218">
        <v>74508</v>
      </c>
    </row>
    <row r="612" spans="1:2">
      <c r="A612" t="s">
        <v>1034</v>
      </c>
      <c r="B612" s="218">
        <v>57805</v>
      </c>
    </row>
    <row r="613" spans="1:2">
      <c r="A613" t="s">
        <v>1035</v>
      </c>
      <c r="B613" s="218">
        <v>50341</v>
      </c>
    </row>
    <row r="614" spans="1:2">
      <c r="A614" t="s">
        <v>1036</v>
      </c>
      <c r="B614" s="218">
        <v>60659</v>
      </c>
    </row>
    <row r="615" spans="1:2">
      <c r="A615" t="s">
        <v>1037</v>
      </c>
      <c r="B615" s="218">
        <v>56859</v>
      </c>
    </row>
    <row r="616" spans="1:2">
      <c r="A616" t="s">
        <v>1038</v>
      </c>
      <c r="B616" s="218">
        <v>70119</v>
      </c>
    </row>
    <row r="617" spans="1:2">
      <c r="A617" t="s">
        <v>1039</v>
      </c>
      <c r="B617" s="218">
        <v>76929</v>
      </c>
    </row>
    <row r="618" spans="1:2">
      <c r="A618" t="s">
        <v>1040</v>
      </c>
      <c r="B618" s="218">
        <v>68323</v>
      </c>
    </row>
    <row r="619" spans="1:2">
      <c r="A619" t="s">
        <v>1041</v>
      </c>
      <c r="B619" s="218">
        <v>114229</v>
      </c>
    </row>
    <row r="620" spans="1:2">
      <c r="A620" t="s">
        <v>1042</v>
      </c>
      <c r="B620" s="218">
        <v>82560</v>
      </c>
    </row>
    <row r="621" spans="1:2">
      <c r="A621" t="s">
        <v>1043</v>
      </c>
      <c r="B621" s="218">
        <v>76622</v>
      </c>
    </row>
    <row r="622" spans="1:2">
      <c r="A622" t="s">
        <v>1044</v>
      </c>
      <c r="B622" s="218">
        <v>113269</v>
      </c>
    </row>
    <row r="623" spans="1:2">
      <c r="A623" t="s">
        <v>1045</v>
      </c>
      <c r="B623" s="218">
        <v>66513</v>
      </c>
    </row>
    <row r="624" spans="1:2">
      <c r="A624" t="s">
        <v>1046</v>
      </c>
      <c r="B624" s="218">
        <v>120909</v>
      </c>
    </row>
    <row r="625" spans="1:2">
      <c r="A625" t="s">
        <v>1047</v>
      </c>
      <c r="B625" s="218">
        <v>80464</v>
      </c>
    </row>
    <row r="626" spans="1:2">
      <c r="A626" t="s">
        <v>1048</v>
      </c>
      <c r="B626" s="218">
        <v>107578</v>
      </c>
    </row>
    <row r="627" spans="1:2">
      <c r="A627" t="s">
        <v>1049</v>
      </c>
      <c r="B627" s="218">
        <v>43125</v>
      </c>
    </row>
    <row r="628" spans="1:2">
      <c r="A628" t="s">
        <v>1050</v>
      </c>
      <c r="B628" s="218">
        <v>85962</v>
      </c>
    </row>
    <row r="629" spans="1:2">
      <c r="A629" t="s">
        <v>1051</v>
      </c>
      <c r="B629" s="218">
        <v>75120</v>
      </c>
    </row>
    <row r="630" spans="1:2">
      <c r="A630" t="s">
        <v>1052</v>
      </c>
      <c r="B630" s="218">
        <v>48659</v>
      </c>
    </row>
    <row r="631" spans="1:2">
      <c r="A631" t="s">
        <v>1053</v>
      </c>
      <c r="B631" s="218">
        <v>46700</v>
      </c>
    </row>
    <row r="632" spans="1:2">
      <c r="A632" t="s">
        <v>1054</v>
      </c>
      <c r="B632" s="218">
        <v>59826</v>
      </c>
    </row>
    <row r="633" spans="1:2">
      <c r="A633" t="s">
        <v>1055</v>
      </c>
      <c r="B633" s="218">
        <v>77447</v>
      </c>
    </row>
    <row r="634" spans="1:2">
      <c r="A634" t="s">
        <v>1056</v>
      </c>
      <c r="B634" s="218">
        <v>41587</v>
      </c>
    </row>
    <row r="635" spans="1:2">
      <c r="A635" t="s">
        <v>1057</v>
      </c>
      <c r="B635" s="218">
        <v>81590</v>
      </c>
    </row>
    <row r="636" spans="1:2">
      <c r="A636" t="s">
        <v>1058</v>
      </c>
      <c r="B636" s="218">
        <v>41725</v>
      </c>
    </row>
    <row r="637" spans="1:2">
      <c r="A637" t="s">
        <v>1059</v>
      </c>
      <c r="B637" s="218">
        <v>63250</v>
      </c>
    </row>
    <row r="638" spans="1:2">
      <c r="A638" t="s">
        <v>1060</v>
      </c>
      <c r="B638" s="218">
        <v>40216</v>
      </c>
    </row>
    <row r="639" spans="1:2">
      <c r="A639" t="s">
        <v>1061</v>
      </c>
      <c r="B639" s="218">
        <v>69130</v>
      </c>
    </row>
    <row r="640" spans="1:2">
      <c r="A640" t="s">
        <v>1062</v>
      </c>
      <c r="B640" s="218">
        <v>22413</v>
      </c>
    </row>
    <row r="641" spans="1:2">
      <c r="A641" t="s">
        <v>1063</v>
      </c>
      <c r="B641" s="218">
        <v>36964</v>
      </c>
    </row>
    <row r="642" spans="1:2">
      <c r="A642" t="s">
        <v>1064</v>
      </c>
      <c r="B642" s="218">
        <v>44000</v>
      </c>
    </row>
    <row r="643" spans="1:2">
      <c r="A643" t="s">
        <v>1065</v>
      </c>
      <c r="B643" s="218">
        <v>40434</v>
      </c>
    </row>
    <row r="644" spans="1:2">
      <c r="A644" t="s">
        <v>1066</v>
      </c>
      <c r="B644" s="218">
        <v>59963</v>
      </c>
    </row>
    <row r="645" spans="1:2">
      <c r="A645" t="s">
        <v>1067</v>
      </c>
      <c r="B645" s="218">
        <v>66890</v>
      </c>
    </row>
    <row r="646" spans="1:2">
      <c r="A646" t="s">
        <v>1068</v>
      </c>
      <c r="B646" s="218">
        <v>55000</v>
      </c>
    </row>
    <row r="647" spans="1:2">
      <c r="A647" t="s">
        <v>1069</v>
      </c>
      <c r="B647" s="218">
        <v>69491</v>
      </c>
    </row>
    <row r="648" spans="1:2">
      <c r="A648" t="s">
        <v>1070</v>
      </c>
      <c r="B648" s="218">
        <v>70813</v>
      </c>
    </row>
    <row r="649" spans="1:2">
      <c r="A649" t="s">
        <v>1071</v>
      </c>
      <c r="B649" s="218">
        <v>52770</v>
      </c>
    </row>
    <row r="650" spans="1:2">
      <c r="A650" t="s">
        <v>1072</v>
      </c>
      <c r="B650" s="218">
        <v>68222</v>
      </c>
    </row>
    <row r="651" spans="1:2">
      <c r="A651" t="s">
        <v>1073</v>
      </c>
      <c r="B651" s="218">
        <v>65039</v>
      </c>
    </row>
    <row r="652" spans="1:2">
      <c r="A652" t="s">
        <v>1074</v>
      </c>
      <c r="B652" s="218">
        <v>74688</v>
      </c>
    </row>
    <row r="653" spans="1:2">
      <c r="A653" t="s">
        <v>1075</v>
      </c>
      <c r="B653" s="218">
        <v>49784</v>
      </c>
    </row>
    <row r="654" spans="1:2">
      <c r="A654" t="s">
        <v>1076</v>
      </c>
      <c r="B654" s="218">
        <v>65833</v>
      </c>
    </row>
    <row r="655" spans="1:2">
      <c r="A655" t="s">
        <v>1077</v>
      </c>
      <c r="B655" s="218">
        <v>56804</v>
      </c>
    </row>
    <row r="656" spans="1:2">
      <c r="A656" t="s">
        <v>1078</v>
      </c>
      <c r="B656" s="218">
        <v>74457</v>
      </c>
    </row>
    <row r="657" spans="1:2">
      <c r="A657" t="s">
        <v>1079</v>
      </c>
      <c r="B657" s="218">
        <v>65293</v>
      </c>
    </row>
    <row r="658" spans="1:2">
      <c r="A658" t="s">
        <v>1080</v>
      </c>
      <c r="B658" s="218">
        <v>43971</v>
      </c>
    </row>
    <row r="659" spans="1:2">
      <c r="A659" t="s">
        <v>1081</v>
      </c>
      <c r="B659" s="218">
        <v>41138</v>
      </c>
    </row>
    <row r="660" spans="1:2">
      <c r="A660" t="s">
        <v>1082</v>
      </c>
      <c r="B660" s="218">
        <v>75888</v>
      </c>
    </row>
    <row r="661" spans="1:2">
      <c r="A661" t="s">
        <v>1083</v>
      </c>
      <c r="B661" s="218">
        <v>64698</v>
      </c>
    </row>
    <row r="662" spans="1:2">
      <c r="A662" t="s">
        <v>1084</v>
      </c>
      <c r="B662" s="218">
        <v>57063</v>
      </c>
    </row>
    <row r="663" spans="1:2">
      <c r="A663" t="s">
        <v>1085</v>
      </c>
      <c r="B663" s="218">
        <v>77138</v>
      </c>
    </row>
    <row r="664" spans="1:2">
      <c r="A664" t="s">
        <v>1086</v>
      </c>
      <c r="B664" s="218">
        <v>66932</v>
      </c>
    </row>
    <row r="665" spans="1:2">
      <c r="A665" t="s">
        <v>1087</v>
      </c>
      <c r="B665" s="218">
        <v>51536</v>
      </c>
    </row>
    <row r="666" spans="1:2">
      <c r="A666" t="s">
        <v>1088</v>
      </c>
      <c r="B666" s="218">
        <v>73457</v>
      </c>
    </row>
    <row r="667" spans="1:2">
      <c r="A667" t="s">
        <v>1089</v>
      </c>
      <c r="B667" s="218">
        <v>56335</v>
      </c>
    </row>
    <row r="668" spans="1:2">
      <c r="A668" t="s">
        <v>1090</v>
      </c>
      <c r="B668" s="218">
        <v>64389</v>
      </c>
    </row>
    <row r="669" spans="1:2">
      <c r="A669" t="s">
        <v>1091</v>
      </c>
      <c r="B669" s="218">
        <v>53401</v>
      </c>
    </row>
    <row r="670" spans="1:2">
      <c r="A670" t="s">
        <v>1092</v>
      </c>
      <c r="B670" s="218">
        <v>78265</v>
      </c>
    </row>
    <row r="671" spans="1:2">
      <c r="A671" t="s">
        <v>1093</v>
      </c>
      <c r="B671" s="218">
        <v>77662</v>
      </c>
    </row>
    <row r="672" spans="1:2">
      <c r="A672" t="s">
        <v>1094</v>
      </c>
      <c r="B672" s="218">
        <v>77179</v>
      </c>
    </row>
    <row r="673" spans="1:2">
      <c r="A673" t="s">
        <v>1095</v>
      </c>
      <c r="B673" s="218">
        <v>70433</v>
      </c>
    </row>
    <row r="674" spans="1:2">
      <c r="A674" t="s">
        <v>1096</v>
      </c>
      <c r="B674" s="218">
        <v>71301</v>
      </c>
    </row>
    <row r="675" spans="1:2">
      <c r="A675" t="s">
        <v>1097</v>
      </c>
      <c r="B675" s="218">
        <v>75279</v>
      </c>
    </row>
    <row r="676" spans="1:2">
      <c r="A676" t="s">
        <v>1098</v>
      </c>
      <c r="B676" s="218">
        <v>63792</v>
      </c>
    </row>
    <row r="677" spans="1:2">
      <c r="A677" t="s">
        <v>1099</v>
      </c>
      <c r="B677" s="218">
        <v>61458</v>
      </c>
    </row>
    <row r="678" spans="1:2">
      <c r="A678" t="s">
        <v>1100</v>
      </c>
      <c r="B678" s="218">
        <v>31250</v>
      </c>
    </row>
    <row r="679" spans="1:2">
      <c r="A679" t="s">
        <v>1101</v>
      </c>
      <c r="B679" s="218">
        <v>24196</v>
      </c>
    </row>
    <row r="680" spans="1:2">
      <c r="A680" t="s">
        <v>1102</v>
      </c>
      <c r="B680" s="218">
        <v>35202</v>
      </c>
    </row>
    <row r="681" spans="1:2">
      <c r="A681" t="s">
        <v>1103</v>
      </c>
      <c r="B681" s="218">
        <v>25122</v>
      </c>
    </row>
    <row r="682" spans="1:2">
      <c r="A682" t="s">
        <v>1104</v>
      </c>
      <c r="B682" s="218">
        <v>26924</v>
      </c>
    </row>
    <row r="683" spans="1:2">
      <c r="A683" t="s">
        <v>1105</v>
      </c>
      <c r="B683" s="218">
        <v>39803</v>
      </c>
    </row>
    <row r="684" spans="1:2">
      <c r="A684" t="s">
        <v>1106</v>
      </c>
      <c r="B684" s="218">
        <v>29219</v>
      </c>
    </row>
    <row r="685" spans="1:2">
      <c r="A685" t="s">
        <v>1107</v>
      </c>
      <c r="B685" s="218">
        <v>23194</v>
      </c>
    </row>
    <row r="686" spans="1:2">
      <c r="A686" t="s">
        <v>1108</v>
      </c>
      <c r="B686" s="218">
        <v>27857</v>
      </c>
    </row>
    <row r="687" spans="1:2">
      <c r="A687" t="s">
        <v>1109</v>
      </c>
      <c r="B687" s="218">
        <v>34464</v>
      </c>
    </row>
    <row r="688" spans="1:2">
      <c r="A688" t="s">
        <v>1110</v>
      </c>
      <c r="B688" s="218">
        <v>40350</v>
      </c>
    </row>
    <row r="689" spans="1:2">
      <c r="A689" t="s">
        <v>1111</v>
      </c>
      <c r="B689" s="218">
        <v>29260</v>
      </c>
    </row>
    <row r="690" spans="1:2">
      <c r="A690" t="s">
        <v>1112</v>
      </c>
      <c r="B690" s="218">
        <v>40815</v>
      </c>
    </row>
    <row r="691" spans="1:2">
      <c r="A691" t="s">
        <v>1113</v>
      </c>
      <c r="B691" s="218">
        <v>23200</v>
      </c>
    </row>
    <row r="692" spans="1:2">
      <c r="A692" t="s">
        <v>1114</v>
      </c>
      <c r="B692" s="218">
        <v>15960</v>
      </c>
    </row>
    <row r="693" spans="1:2">
      <c r="A693" t="s">
        <v>1115</v>
      </c>
      <c r="B693" s="218">
        <v>34000</v>
      </c>
    </row>
    <row r="694" spans="1:2">
      <c r="A694" t="s">
        <v>1116</v>
      </c>
      <c r="B694" s="218">
        <v>34858</v>
      </c>
    </row>
    <row r="695" spans="1:2">
      <c r="A695" t="s">
        <v>1117</v>
      </c>
      <c r="B695" s="218">
        <v>18550</v>
      </c>
    </row>
    <row r="696" spans="1:2">
      <c r="A696" t="s">
        <v>1118</v>
      </c>
      <c r="B696" s="218">
        <v>37708</v>
      </c>
    </row>
    <row r="697" spans="1:2">
      <c r="A697" t="s">
        <v>1119</v>
      </c>
      <c r="B697" s="218">
        <v>13521</v>
      </c>
    </row>
    <row r="698" spans="1:2">
      <c r="A698" t="s">
        <v>1120</v>
      </c>
      <c r="B698" s="218">
        <v>31714</v>
      </c>
    </row>
    <row r="699" spans="1:2">
      <c r="A699" t="s">
        <v>1121</v>
      </c>
      <c r="B699" s="218">
        <v>26164</v>
      </c>
    </row>
    <row r="700" spans="1:2">
      <c r="A700" t="s">
        <v>1122</v>
      </c>
      <c r="B700" s="218">
        <v>17500</v>
      </c>
    </row>
    <row r="701" spans="1:2">
      <c r="A701" t="s">
        <v>1123</v>
      </c>
      <c r="B701" s="218">
        <v>30273</v>
      </c>
    </row>
    <row r="702" spans="1:2">
      <c r="A702" t="s">
        <v>1124</v>
      </c>
      <c r="B702" s="218">
        <v>28906</v>
      </c>
    </row>
    <row r="703" spans="1:2">
      <c r="A703" t="s">
        <v>1125</v>
      </c>
      <c r="B703" s="218">
        <v>42577</v>
      </c>
    </row>
    <row r="704" spans="1:2">
      <c r="A704" t="s">
        <v>1126</v>
      </c>
      <c r="B704" s="218">
        <v>33106</v>
      </c>
    </row>
    <row r="705" spans="1:2">
      <c r="A705" t="s">
        <v>1127</v>
      </c>
      <c r="B705" s="218">
        <v>38621</v>
      </c>
    </row>
    <row r="706" spans="1:2">
      <c r="A706" t="s">
        <v>1128</v>
      </c>
      <c r="B706" s="218">
        <v>23459</v>
      </c>
    </row>
    <row r="707" spans="1:2">
      <c r="A707" t="s">
        <v>1129</v>
      </c>
      <c r="B707" s="218">
        <v>65821</v>
      </c>
    </row>
    <row r="708" spans="1:2">
      <c r="A708" t="s">
        <v>1130</v>
      </c>
      <c r="B708" s="218">
        <v>43023</v>
      </c>
    </row>
    <row r="709" spans="1:2">
      <c r="A709" t="s">
        <v>1131</v>
      </c>
      <c r="B709" s="218">
        <v>50962</v>
      </c>
    </row>
    <row r="710" spans="1:2">
      <c r="A710" t="s">
        <v>1132</v>
      </c>
      <c r="B710" s="218">
        <v>37066</v>
      </c>
    </row>
    <row r="711" spans="1:2">
      <c r="A711" t="s">
        <v>1133</v>
      </c>
      <c r="B711" s="218">
        <v>51000</v>
      </c>
    </row>
    <row r="712" spans="1:2">
      <c r="A712" t="s">
        <v>1134</v>
      </c>
      <c r="B712" s="218">
        <v>12813</v>
      </c>
    </row>
    <row r="713" spans="1:2">
      <c r="A713" t="s">
        <v>1135</v>
      </c>
      <c r="B713" s="218">
        <v>34236</v>
      </c>
    </row>
    <row r="714" spans="1:2">
      <c r="A714" t="s">
        <v>1136</v>
      </c>
      <c r="B714" s="218">
        <v>31411</v>
      </c>
    </row>
    <row r="715" spans="1:2">
      <c r="A715" t="s">
        <v>1137</v>
      </c>
      <c r="B715" s="218">
        <v>53162</v>
      </c>
    </row>
    <row r="716" spans="1:2">
      <c r="A716" t="s">
        <v>1138</v>
      </c>
      <c r="B716" s="218">
        <v>53078</v>
      </c>
    </row>
    <row r="717" spans="1:2">
      <c r="A717" t="s">
        <v>1139</v>
      </c>
      <c r="B717" s="218">
        <v>55577</v>
      </c>
    </row>
    <row r="718" spans="1:2">
      <c r="A718" t="s">
        <v>1140</v>
      </c>
      <c r="B718" s="218">
        <v>49878</v>
      </c>
    </row>
    <row r="719" spans="1:2">
      <c r="A719" t="s">
        <v>1141</v>
      </c>
      <c r="B719" s="218">
        <v>52992</v>
      </c>
    </row>
    <row r="720" spans="1:2">
      <c r="A720" t="s">
        <v>1142</v>
      </c>
      <c r="B720" s="218">
        <v>67115</v>
      </c>
    </row>
    <row r="721" spans="1:2">
      <c r="A721" t="s">
        <v>1143</v>
      </c>
      <c r="B721" s="218">
        <v>52083</v>
      </c>
    </row>
    <row r="722" spans="1:2">
      <c r="A722" t="s">
        <v>1144</v>
      </c>
      <c r="B722" s="218">
        <v>48438</v>
      </c>
    </row>
    <row r="723" spans="1:2">
      <c r="A723" t="s">
        <v>1145</v>
      </c>
      <c r="B723" s="218">
        <v>40949</v>
      </c>
    </row>
    <row r="724" spans="1:2">
      <c r="A724" t="s">
        <v>1146</v>
      </c>
      <c r="B724" s="218">
        <v>51940</v>
      </c>
    </row>
    <row r="725" spans="1:2">
      <c r="A725" t="s">
        <v>1147</v>
      </c>
      <c r="B725" s="218">
        <v>52214</v>
      </c>
    </row>
    <row r="726" spans="1:2">
      <c r="A726" t="s">
        <v>1148</v>
      </c>
      <c r="B726" s="218">
        <v>7615</v>
      </c>
    </row>
    <row r="727" spans="1:2">
      <c r="A727" t="s">
        <v>1149</v>
      </c>
      <c r="B727" s="218">
        <v>27346</v>
      </c>
    </row>
    <row r="728" spans="1:2">
      <c r="A728" t="s">
        <v>1150</v>
      </c>
      <c r="B728" s="218">
        <v>37344</v>
      </c>
    </row>
    <row r="729" spans="1:2">
      <c r="A729" t="s">
        <v>1151</v>
      </c>
      <c r="B729" s="218">
        <v>34701</v>
      </c>
    </row>
    <row r="730" spans="1:2">
      <c r="A730" t="s">
        <v>1152</v>
      </c>
      <c r="B730" s="218">
        <v>42292</v>
      </c>
    </row>
    <row r="731" spans="1:2">
      <c r="A731" t="s">
        <v>1153</v>
      </c>
      <c r="B731" s="218">
        <v>38073</v>
      </c>
    </row>
    <row r="732" spans="1:2">
      <c r="A732" t="s">
        <v>1154</v>
      </c>
      <c r="B732" s="218">
        <v>36964</v>
      </c>
    </row>
    <row r="733" spans="1:2">
      <c r="A733" t="s">
        <v>1155</v>
      </c>
      <c r="B733" s="218">
        <v>41071</v>
      </c>
    </row>
    <row r="734" spans="1:2">
      <c r="A734" t="s">
        <v>1156</v>
      </c>
      <c r="B734" s="218">
        <v>57048</v>
      </c>
    </row>
    <row r="735" spans="1:2">
      <c r="A735" t="s">
        <v>1157</v>
      </c>
      <c r="B735" s="218">
        <v>19133</v>
      </c>
    </row>
    <row r="736" spans="1:2">
      <c r="A736" t="s">
        <v>1158</v>
      </c>
      <c r="B736" s="218">
        <v>51487</v>
      </c>
    </row>
    <row r="737" spans="1:2">
      <c r="A737" t="s">
        <v>1159</v>
      </c>
      <c r="B737" s="218">
        <v>44662</v>
      </c>
    </row>
    <row r="738" spans="1:2">
      <c r="A738" t="s">
        <v>1160</v>
      </c>
      <c r="B738" s="218">
        <v>71346</v>
      </c>
    </row>
    <row r="739" spans="1:2">
      <c r="A739" t="s">
        <v>1161</v>
      </c>
      <c r="B739" s="218">
        <v>76034</v>
      </c>
    </row>
    <row r="740" spans="1:2">
      <c r="A740" t="s">
        <v>1162</v>
      </c>
      <c r="B740" s="218">
        <v>90807</v>
      </c>
    </row>
    <row r="741" spans="1:2">
      <c r="A741" t="s">
        <v>1163</v>
      </c>
      <c r="B741" s="218">
        <v>139701</v>
      </c>
    </row>
    <row r="742" spans="1:2">
      <c r="A742" t="s">
        <v>1164</v>
      </c>
      <c r="B742" s="218">
        <v>95605</v>
      </c>
    </row>
    <row r="743" spans="1:2">
      <c r="A743" t="s">
        <v>1165</v>
      </c>
      <c r="B743" s="218">
        <v>62750</v>
      </c>
    </row>
    <row r="744" spans="1:2">
      <c r="A744" t="s">
        <v>1166</v>
      </c>
      <c r="B744" s="218">
        <v>71587</v>
      </c>
    </row>
    <row r="745" spans="1:2">
      <c r="A745" t="s">
        <v>1167</v>
      </c>
      <c r="B745" s="218">
        <v>64607</v>
      </c>
    </row>
    <row r="746" spans="1:2">
      <c r="A746" t="s">
        <v>1168</v>
      </c>
      <c r="B746" s="218">
        <v>66868</v>
      </c>
    </row>
    <row r="747" spans="1:2">
      <c r="A747" t="s">
        <v>1169</v>
      </c>
      <c r="B747" s="218">
        <v>80446</v>
      </c>
    </row>
    <row r="748" spans="1:2">
      <c r="A748" t="s">
        <v>1170</v>
      </c>
      <c r="B748" s="218">
        <v>51742</v>
      </c>
    </row>
    <row r="749" spans="1:2">
      <c r="A749" t="s">
        <v>1171</v>
      </c>
      <c r="B749" s="218">
        <v>77244</v>
      </c>
    </row>
    <row r="750" spans="1:2">
      <c r="A750" t="s">
        <v>1172</v>
      </c>
      <c r="B750" s="218">
        <v>46082</v>
      </c>
    </row>
    <row r="751" spans="1:2">
      <c r="A751" t="s">
        <v>1173</v>
      </c>
      <c r="B751" s="218">
        <v>80828</v>
      </c>
    </row>
    <row r="752" spans="1:2">
      <c r="A752" t="s">
        <v>1174</v>
      </c>
      <c r="B752" s="218">
        <v>30020</v>
      </c>
    </row>
    <row r="753" spans="1:2">
      <c r="A753" t="s">
        <v>1175</v>
      </c>
      <c r="B753" s="218">
        <v>41046</v>
      </c>
    </row>
    <row r="754" spans="1:2">
      <c r="A754" t="s">
        <v>1176</v>
      </c>
      <c r="B754" s="218">
        <v>40607</v>
      </c>
    </row>
    <row r="755" spans="1:2">
      <c r="A755" t="s">
        <v>1177</v>
      </c>
      <c r="B755" s="218">
        <v>46108</v>
      </c>
    </row>
    <row r="756" spans="1:2">
      <c r="A756" t="s">
        <v>1178</v>
      </c>
      <c r="B756" s="218">
        <v>21693</v>
      </c>
    </row>
    <row r="757" spans="1:2">
      <c r="A757" t="s">
        <v>1179</v>
      </c>
      <c r="B757" s="218">
        <v>41397</v>
      </c>
    </row>
    <row r="758" spans="1:2">
      <c r="A758" t="s">
        <v>1180</v>
      </c>
      <c r="B758" s="218">
        <v>48116</v>
      </c>
    </row>
    <row r="759" spans="1:2">
      <c r="A759" t="s">
        <v>1181</v>
      </c>
      <c r="B759" s="218">
        <v>55694</v>
      </c>
    </row>
    <row r="760" spans="1:2">
      <c r="A760" t="s">
        <v>1182</v>
      </c>
      <c r="B760" s="218">
        <v>70730</v>
      </c>
    </row>
    <row r="761" spans="1:2">
      <c r="A761" t="s">
        <v>1183</v>
      </c>
      <c r="B761" s="218">
        <v>65354</v>
      </c>
    </row>
    <row r="762" spans="1:2">
      <c r="A762" t="s">
        <v>1184</v>
      </c>
      <c r="B762" s="218">
        <v>50374</v>
      </c>
    </row>
    <row r="763" spans="1:2">
      <c r="A763" t="s">
        <v>1185</v>
      </c>
      <c r="B763" s="218">
        <v>71315</v>
      </c>
    </row>
    <row r="764" spans="1:2">
      <c r="A764" t="s">
        <v>1186</v>
      </c>
      <c r="B764" s="218">
        <v>78423</v>
      </c>
    </row>
    <row r="765" spans="1:2">
      <c r="A765" t="s">
        <v>1187</v>
      </c>
      <c r="B765" s="218">
        <v>66172</v>
      </c>
    </row>
    <row r="766" spans="1:2">
      <c r="A766" t="s">
        <v>1188</v>
      </c>
      <c r="B766" s="218">
        <v>53789</v>
      </c>
    </row>
    <row r="767" spans="1:2">
      <c r="A767" t="s">
        <v>1189</v>
      </c>
      <c r="B767" s="218">
        <v>56250</v>
      </c>
    </row>
    <row r="768" spans="1:2">
      <c r="A768" t="s">
        <v>1190</v>
      </c>
      <c r="B768" s="218">
        <v>56897</v>
      </c>
    </row>
    <row r="769" spans="1:2">
      <c r="A769" t="s">
        <v>1191</v>
      </c>
      <c r="B769" s="218">
        <v>79309</v>
      </c>
    </row>
    <row r="770" spans="1:2">
      <c r="A770" t="s">
        <v>1192</v>
      </c>
      <c r="B770" s="218">
        <v>73253</v>
      </c>
    </row>
    <row r="771" spans="1:2">
      <c r="A771" t="s">
        <v>1193</v>
      </c>
      <c r="B771" s="218">
        <v>51133</v>
      </c>
    </row>
    <row r="772" spans="1:2">
      <c r="A772" t="s">
        <v>1194</v>
      </c>
      <c r="B772" s="218">
        <v>70099</v>
      </c>
    </row>
    <row r="773" spans="1:2">
      <c r="A773" t="s">
        <v>1195</v>
      </c>
      <c r="B773" s="218">
        <v>79760</v>
      </c>
    </row>
    <row r="774" spans="1:2">
      <c r="A774" t="s">
        <v>1196</v>
      </c>
      <c r="B774" s="218">
        <v>52114</v>
      </c>
    </row>
    <row r="775" spans="1:2">
      <c r="A775" t="s">
        <v>1197</v>
      </c>
      <c r="B775" s="218">
        <v>61250</v>
      </c>
    </row>
    <row r="776" spans="1:2">
      <c r="A776" t="s">
        <v>1198</v>
      </c>
      <c r="B776" s="218">
        <v>92693</v>
      </c>
    </row>
    <row r="777" spans="1:2">
      <c r="A777" t="s">
        <v>1199</v>
      </c>
      <c r="B777" s="218">
        <v>55694</v>
      </c>
    </row>
    <row r="778" spans="1:2">
      <c r="A778" t="s">
        <v>1200</v>
      </c>
      <c r="B778" s="218">
        <v>81756</v>
      </c>
    </row>
    <row r="779" spans="1:2">
      <c r="A779" t="s">
        <v>1201</v>
      </c>
      <c r="B779" s="218">
        <v>109563</v>
      </c>
    </row>
    <row r="780" spans="1:2">
      <c r="A780" t="s">
        <v>1202</v>
      </c>
      <c r="B780" s="218">
        <v>106898</v>
      </c>
    </row>
    <row r="781" spans="1:2">
      <c r="A781" t="s">
        <v>1203</v>
      </c>
      <c r="B781" s="218">
        <v>134000</v>
      </c>
    </row>
    <row r="782" spans="1:2">
      <c r="A782" t="s">
        <v>1204</v>
      </c>
      <c r="B782" s="218">
        <v>102576</v>
      </c>
    </row>
    <row r="783" spans="1:2">
      <c r="A783" t="s">
        <v>1205</v>
      </c>
      <c r="B783" s="217">
        <v>0</v>
      </c>
    </row>
    <row r="784" spans="1:2">
      <c r="A784" t="s">
        <v>1206</v>
      </c>
      <c r="B784" s="218">
        <v>63775</v>
      </c>
    </row>
    <row r="785" spans="1:2">
      <c r="A785" t="s">
        <v>1207</v>
      </c>
      <c r="B785" s="218">
        <v>80270</v>
      </c>
    </row>
    <row r="786" spans="1:2">
      <c r="A786" t="s">
        <v>1208</v>
      </c>
      <c r="B786" s="218">
        <v>75885</v>
      </c>
    </row>
    <row r="787" spans="1:2">
      <c r="A787" t="s">
        <v>1209</v>
      </c>
      <c r="B787" s="218">
        <v>96792</v>
      </c>
    </row>
    <row r="788" spans="1:2">
      <c r="A788" t="s">
        <v>1210</v>
      </c>
      <c r="B788" s="218">
        <v>79909</v>
      </c>
    </row>
    <row r="789" spans="1:2">
      <c r="A789" t="s">
        <v>1211</v>
      </c>
      <c r="B789" s="218">
        <v>86130</v>
      </c>
    </row>
    <row r="790" spans="1:2">
      <c r="A790" t="s">
        <v>1212</v>
      </c>
      <c r="B790" s="218">
        <v>81316</v>
      </c>
    </row>
    <row r="791" spans="1:2">
      <c r="A791" t="s">
        <v>1213</v>
      </c>
      <c r="B791" s="218">
        <v>115000</v>
      </c>
    </row>
    <row r="792" spans="1:2">
      <c r="A792" t="s">
        <v>1214</v>
      </c>
      <c r="B792" s="218">
        <v>76505</v>
      </c>
    </row>
    <row r="793" spans="1:2">
      <c r="A793" t="s">
        <v>1215</v>
      </c>
      <c r="B793" s="218">
        <v>82396</v>
      </c>
    </row>
    <row r="794" spans="1:2">
      <c r="A794" t="s">
        <v>1216</v>
      </c>
      <c r="B794" s="218">
        <v>51250</v>
      </c>
    </row>
    <row r="795" spans="1:2">
      <c r="A795" t="s">
        <v>1217</v>
      </c>
      <c r="B795" s="218">
        <v>65276</v>
      </c>
    </row>
    <row r="796" spans="1:2">
      <c r="A796" t="s">
        <v>1218</v>
      </c>
      <c r="B796" s="218">
        <v>60646</v>
      </c>
    </row>
    <row r="797" spans="1:2">
      <c r="A797" t="s">
        <v>1219</v>
      </c>
      <c r="B797" s="218">
        <v>90321</v>
      </c>
    </row>
    <row r="798" spans="1:2">
      <c r="A798" t="s">
        <v>1220</v>
      </c>
      <c r="B798" s="218">
        <v>91094</v>
      </c>
    </row>
    <row r="799" spans="1:2">
      <c r="A799" t="s">
        <v>1221</v>
      </c>
      <c r="B799" s="218">
        <v>73113</v>
      </c>
    </row>
    <row r="800" spans="1:2">
      <c r="A800" t="s">
        <v>1222</v>
      </c>
      <c r="B800" s="218">
        <v>101125</v>
      </c>
    </row>
    <row r="801" spans="1:2">
      <c r="A801" t="s">
        <v>1223</v>
      </c>
      <c r="B801" s="218">
        <v>105000</v>
      </c>
    </row>
    <row r="802" spans="1:2">
      <c r="A802" t="s">
        <v>1224</v>
      </c>
      <c r="B802" s="218">
        <v>91862</v>
      </c>
    </row>
    <row r="803" spans="1:2">
      <c r="A803" t="s">
        <v>1225</v>
      </c>
      <c r="B803" s="218">
        <v>108971</v>
      </c>
    </row>
    <row r="804" spans="1:2">
      <c r="A804" t="s">
        <v>1226</v>
      </c>
      <c r="B804" s="218">
        <v>83706</v>
      </c>
    </row>
    <row r="805" spans="1:2">
      <c r="A805" t="s">
        <v>1227</v>
      </c>
      <c r="B805" s="218">
        <v>70015</v>
      </c>
    </row>
    <row r="806" spans="1:2">
      <c r="A806" t="s">
        <v>1228</v>
      </c>
      <c r="B806" s="218">
        <v>77813</v>
      </c>
    </row>
    <row r="807" spans="1:2">
      <c r="A807" t="s">
        <v>1229</v>
      </c>
      <c r="B807" s="218">
        <v>78681</v>
      </c>
    </row>
    <row r="808" spans="1:2">
      <c r="A808" t="s">
        <v>1230</v>
      </c>
      <c r="B808" s="218">
        <v>36111</v>
      </c>
    </row>
    <row r="809" spans="1:2">
      <c r="A809" t="s">
        <v>1231</v>
      </c>
      <c r="B809" s="218">
        <v>40917</v>
      </c>
    </row>
    <row r="810" spans="1:2">
      <c r="A810" t="s">
        <v>1232</v>
      </c>
      <c r="B810" s="218">
        <v>49722</v>
      </c>
    </row>
    <row r="811" spans="1:2">
      <c r="A811" t="s">
        <v>1233</v>
      </c>
      <c r="B811" s="218">
        <v>54491</v>
      </c>
    </row>
    <row r="812" spans="1:2">
      <c r="A812" t="s">
        <v>1234</v>
      </c>
      <c r="B812" s="218">
        <v>40457</v>
      </c>
    </row>
    <row r="813" spans="1:2">
      <c r="A813" t="s">
        <v>1235</v>
      </c>
      <c r="B813" s="218">
        <v>63365</v>
      </c>
    </row>
    <row r="814" spans="1:2">
      <c r="A814" t="s">
        <v>1236</v>
      </c>
      <c r="B814" s="218">
        <v>55250</v>
      </c>
    </row>
    <row r="815" spans="1:2">
      <c r="A815" t="s">
        <v>1237</v>
      </c>
      <c r="B815" s="218">
        <v>39423</v>
      </c>
    </row>
    <row r="816" spans="1:2">
      <c r="A816" t="s">
        <v>1238</v>
      </c>
      <c r="B816" s="218">
        <v>75708</v>
      </c>
    </row>
    <row r="817" spans="1:2">
      <c r="A817" t="s">
        <v>1239</v>
      </c>
      <c r="B817" s="218">
        <v>101250</v>
      </c>
    </row>
    <row r="818" spans="1:2">
      <c r="A818" t="s">
        <v>1240</v>
      </c>
      <c r="B818" s="218">
        <v>43511</v>
      </c>
    </row>
    <row r="819" spans="1:2">
      <c r="A819" t="s">
        <v>1241</v>
      </c>
      <c r="B819" s="218">
        <v>38026</v>
      </c>
    </row>
    <row r="820" spans="1:2">
      <c r="A820" t="s">
        <v>1242</v>
      </c>
      <c r="B820" s="218">
        <v>71324</v>
      </c>
    </row>
    <row r="821" spans="1:2">
      <c r="A821" t="s">
        <v>1243</v>
      </c>
      <c r="B821" s="218">
        <v>65636</v>
      </c>
    </row>
    <row r="822" spans="1:2">
      <c r="A822" t="s">
        <v>1244</v>
      </c>
      <c r="B822" s="218">
        <v>66875</v>
      </c>
    </row>
    <row r="823" spans="1:2">
      <c r="A823" t="s">
        <v>1245</v>
      </c>
      <c r="B823" s="218">
        <v>72204</v>
      </c>
    </row>
    <row r="824" spans="1:2">
      <c r="A824" t="s">
        <v>1246</v>
      </c>
      <c r="B824" s="218">
        <v>86250</v>
      </c>
    </row>
    <row r="825" spans="1:2">
      <c r="A825" t="s">
        <v>1247</v>
      </c>
      <c r="B825" s="218">
        <v>58990</v>
      </c>
    </row>
    <row r="826" spans="1:2">
      <c r="A826" t="s">
        <v>1248</v>
      </c>
      <c r="B826" s="218">
        <v>42211</v>
      </c>
    </row>
    <row r="827" spans="1:2">
      <c r="A827" t="s">
        <v>1249</v>
      </c>
      <c r="B827" s="218">
        <v>65125</v>
      </c>
    </row>
    <row r="828" spans="1:2">
      <c r="A828" t="s">
        <v>1250</v>
      </c>
      <c r="B828" s="218">
        <v>30395</v>
      </c>
    </row>
    <row r="829" spans="1:2">
      <c r="A829" t="s">
        <v>1251</v>
      </c>
      <c r="B829" s="218">
        <v>50720</v>
      </c>
    </row>
    <row r="830" spans="1:2">
      <c r="A830" t="s">
        <v>1252</v>
      </c>
      <c r="B830" s="218">
        <v>35833</v>
      </c>
    </row>
    <row r="831" spans="1:2">
      <c r="A831" t="s">
        <v>1253</v>
      </c>
      <c r="B831" s="218">
        <v>63489</v>
      </c>
    </row>
    <row r="832" spans="1:2">
      <c r="A832" t="s">
        <v>1254</v>
      </c>
      <c r="B832" s="218">
        <v>75636</v>
      </c>
    </row>
    <row r="833" spans="1:2">
      <c r="A833" t="s">
        <v>1255</v>
      </c>
      <c r="B833" s="218">
        <v>34167</v>
      </c>
    </row>
    <row r="834" spans="1:2">
      <c r="A834" t="s">
        <v>1256</v>
      </c>
      <c r="B834" s="218">
        <v>56958</v>
      </c>
    </row>
    <row r="835" spans="1:2">
      <c r="A835" t="s">
        <v>1257</v>
      </c>
      <c r="B835" s="218">
        <v>95435</v>
      </c>
    </row>
    <row r="836" spans="1:2">
      <c r="A836" t="s">
        <v>1258</v>
      </c>
      <c r="B836" s="218">
        <v>51850</v>
      </c>
    </row>
    <row r="837" spans="1:2">
      <c r="A837" t="s">
        <v>1259</v>
      </c>
      <c r="B837" s="218">
        <v>48810</v>
      </c>
    </row>
    <row r="838" spans="1:2">
      <c r="A838" t="s">
        <v>1260</v>
      </c>
      <c r="B838" s="218">
        <v>71750</v>
      </c>
    </row>
    <row r="839" spans="1:2">
      <c r="A839" t="s">
        <v>1261</v>
      </c>
      <c r="B839" s="218">
        <v>80361</v>
      </c>
    </row>
    <row r="840" spans="1:2">
      <c r="A840" t="s">
        <v>1262</v>
      </c>
      <c r="B840" s="218">
        <v>73281</v>
      </c>
    </row>
    <row r="841" spans="1:2">
      <c r="A841" t="s">
        <v>1263</v>
      </c>
      <c r="B841" s="218">
        <v>66102</v>
      </c>
    </row>
    <row r="842" spans="1:2">
      <c r="A842" t="s">
        <v>1264</v>
      </c>
      <c r="B842" s="218">
        <v>67834</v>
      </c>
    </row>
    <row r="843" spans="1:2">
      <c r="A843" t="s">
        <v>1265</v>
      </c>
      <c r="B843" s="218">
        <v>61287</v>
      </c>
    </row>
    <row r="844" spans="1:2">
      <c r="A844" t="s">
        <v>1266</v>
      </c>
      <c r="B844" s="218">
        <v>33973</v>
      </c>
    </row>
    <row r="845" spans="1:2">
      <c r="A845" t="s">
        <v>1267</v>
      </c>
      <c r="B845" s="218">
        <v>38205</v>
      </c>
    </row>
    <row r="846" spans="1:2">
      <c r="A846" t="s">
        <v>1268</v>
      </c>
      <c r="B846" s="218">
        <v>46923</v>
      </c>
    </row>
    <row r="847" spans="1:2">
      <c r="A847" t="s">
        <v>1269</v>
      </c>
      <c r="B847" s="218">
        <v>50921</v>
      </c>
    </row>
    <row r="848" spans="1:2">
      <c r="A848" t="s">
        <v>1270</v>
      </c>
      <c r="B848" s="218">
        <v>49779</v>
      </c>
    </row>
    <row r="849" spans="1:2">
      <c r="A849" t="s">
        <v>1271</v>
      </c>
      <c r="B849" s="218">
        <v>63697</v>
      </c>
    </row>
    <row r="850" spans="1:2">
      <c r="A850" t="s">
        <v>1272</v>
      </c>
      <c r="B850" s="218">
        <v>40990</v>
      </c>
    </row>
    <row r="851" spans="1:2">
      <c r="A851" t="s">
        <v>1273</v>
      </c>
      <c r="B851" s="218">
        <v>34450</v>
      </c>
    </row>
    <row r="852" spans="1:2">
      <c r="A852" t="s">
        <v>1274</v>
      </c>
      <c r="B852" s="218">
        <v>30544</v>
      </c>
    </row>
    <row r="853" spans="1:2">
      <c r="A853" t="s">
        <v>1275</v>
      </c>
      <c r="B853" s="218">
        <v>22656</v>
      </c>
    </row>
    <row r="854" spans="1:2">
      <c r="A854" t="s">
        <v>1276</v>
      </c>
      <c r="B854" s="218">
        <v>27778</v>
      </c>
    </row>
    <row r="855" spans="1:2">
      <c r="A855" t="s">
        <v>1277</v>
      </c>
      <c r="B855" s="218">
        <v>31827</v>
      </c>
    </row>
    <row r="856" spans="1:2">
      <c r="A856" t="s">
        <v>1278</v>
      </c>
      <c r="B856" s="218">
        <v>40250</v>
      </c>
    </row>
    <row r="857" spans="1:2">
      <c r="A857" t="s">
        <v>1279</v>
      </c>
      <c r="B857" s="218">
        <v>28169</v>
      </c>
    </row>
    <row r="858" spans="1:2">
      <c r="A858" t="s">
        <v>1280</v>
      </c>
      <c r="B858" s="218">
        <v>45193</v>
      </c>
    </row>
    <row r="859" spans="1:2">
      <c r="A859" t="s">
        <v>1281</v>
      </c>
      <c r="B859" s="218">
        <v>58204</v>
      </c>
    </row>
    <row r="860" spans="1:2">
      <c r="A860" t="s">
        <v>1282</v>
      </c>
      <c r="B860" s="218">
        <v>31214</v>
      </c>
    </row>
    <row r="861" spans="1:2">
      <c r="A861" t="s">
        <v>1283</v>
      </c>
      <c r="B861" s="218">
        <v>60217</v>
      </c>
    </row>
    <row r="862" spans="1:2">
      <c r="A862" t="s">
        <v>1284</v>
      </c>
      <c r="B862" s="218">
        <v>74338</v>
      </c>
    </row>
    <row r="863" spans="1:2">
      <c r="A863" t="s">
        <v>1285</v>
      </c>
      <c r="B863" s="218">
        <v>47766</v>
      </c>
    </row>
    <row r="864" spans="1:2">
      <c r="A864" t="s">
        <v>1286</v>
      </c>
      <c r="B864" s="218">
        <v>47930</v>
      </c>
    </row>
    <row r="865" spans="1:2">
      <c r="A865" t="s">
        <v>1287</v>
      </c>
      <c r="B865" s="218">
        <v>35248</v>
      </c>
    </row>
    <row r="866" spans="1:2">
      <c r="A866" t="s">
        <v>1288</v>
      </c>
      <c r="B866" s="218">
        <v>47321</v>
      </c>
    </row>
    <row r="867" spans="1:2">
      <c r="A867" t="s">
        <v>1289</v>
      </c>
      <c r="B867" s="218">
        <v>28908</v>
      </c>
    </row>
    <row r="868" spans="1:2">
      <c r="A868" t="s">
        <v>1290</v>
      </c>
      <c r="B868" s="218">
        <v>45893</v>
      </c>
    </row>
    <row r="869" spans="1:2">
      <c r="A869" t="s">
        <v>1291</v>
      </c>
      <c r="B869" s="218">
        <v>64668</v>
      </c>
    </row>
    <row r="870" spans="1:2">
      <c r="A870" t="s">
        <v>1292</v>
      </c>
      <c r="B870" s="218">
        <v>43656</v>
      </c>
    </row>
    <row r="871" spans="1:2">
      <c r="A871" t="s">
        <v>1293</v>
      </c>
      <c r="B871" s="218">
        <v>56375</v>
      </c>
    </row>
    <row r="872" spans="1:2">
      <c r="A872" t="s">
        <v>1294</v>
      </c>
      <c r="B872" s="218">
        <v>53875</v>
      </c>
    </row>
    <row r="873" spans="1:2">
      <c r="A873" t="s">
        <v>1295</v>
      </c>
      <c r="B873" s="218">
        <v>51364</v>
      </c>
    </row>
    <row r="874" spans="1:2">
      <c r="A874" t="s">
        <v>1296</v>
      </c>
      <c r="B874" s="218">
        <v>70042</v>
      </c>
    </row>
    <row r="875" spans="1:2">
      <c r="A875" t="s">
        <v>1297</v>
      </c>
      <c r="B875" s="218">
        <v>58220</v>
      </c>
    </row>
    <row r="876" spans="1:2">
      <c r="A876" t="s">
        <v>1298</v>
      </c>
      <c r="B876" s="218">
        <v>57989</v>
      </c>
    </row>
    <row r="877" spans="1:2">
      <c r="A877" t="s">
        <v>1299</v>
      </c>
      <c r="B877" s="218">
        <v>54125</v>
      </c>
    </row>
    <row r="878" spans="1:2">
      <c r="A878" t="s">
        <v>1300</v>
      </c>
      <c r="B878" s="218">
        <v>70650</v>
      </c>
    </row>
    <row r="879" spans="1:2">
      <c r="A879" t="s">
        <v>1301</v>
      </c>
      <c r="B879" s="218">
        <v>67750</v>
      </c>
    </row>
    <row r="880" spans="1:2">
      <c r="A880" t="s">
        <v>1302</v>
      </c>
      <c r="B880" s="218">
        <v>65214</v>
      </c>
    </row>
    <row r="881" spans="1:2">
      <c r="A881" t="s">
        <v>1303</v>
      </c>
      <c r="B881" s="218">
        <v>44688</v>
      </c>
    </row>
    <row r="882" spans="1:2">
      <c r="A882" t="s">
        <v>1304</v>
      </c>
      <c r="B882" s="218">
        <v>71131</v>
      </c>
    </row>
    <row r="883" spans="1:2">
      <c r="A883" t="s">
        <v>1305</v>
      </c>
      <c r="B883" s="218">
        <v>65221</v>
      </c>
    </row>
    <row r="884" spans="1:2">
      <c r="A884" t="s">
        <v>1306</v>
      </c>
      <c r="B884" s="218">
        <v>81953</v>
      </c>
    </row>
    <row r="885" spans="1:2">
      <c r="A885" t="s">
        <v>1307</v>
      </c>
      <c r="B885" s="217">
        <v>0</v>
      </c>
    </row>
    <row r="886" spans="1:2">
      <c r="A886" t="s">
        <v>1308</v>
      </c>
      <c r="B886" s="218">
        <v>71250</v>
      </c>
    </row>
    <row r="887" spans="1:2">
      <c r="A887" t="s">
        <v>1309</v>
      </c>
      <c r="B887" s="218">
        <v>69668</v>
      </c>
    </row>
    <row r="888" spans="1:2">
      <c r="A888" t="s">
        <v>1310</v>
      </c>
      <c r="B888" s="218">
        <v>26637</v>
      </c>
    </row>
    <row r="889" spans="1:2">
      <c r="A889" t="s">
        <v>1311</v>
      </c>
      <c r="B889" s="218">
        <v>23005</v>
      </c>
    </row>
    <row r="890" spans="1:2">
      <c r="A890" t="s">
        <v>1312</v>
      </c>
      <c r="B890" s="218">
        <v>51264</v>
      </c>
    </row>
    <row r="891" spans="1:2">
      <c r="A891" t="s">
        <v>1313</v>
      </c>
      <c r="B891" s="218">
        <v>54766</v>
      </c>
    </row>
    <row r="892" spans="1:2">
      <c r="A892" t="s">
        <v>1314</v>
      </c>
      <c r="B892" s="218">
        <v>41974</v>
      </c>
    </row>
    <row r="893" spans="1:2">
      <c r="A893" t="s">
        <v>1315</v>
      </c>
      <c r="B893" s="218">
        <v>115417</v>
      </c>
    </row>
    <row r="894" spans="1:2">
      <c r="A894" t="s">
        <v>1316</v>
      </c>
      <c r="B894" s="218">
        <v>52218</v>
      </c>
    </row>
    <row r="895" spans="1:2">
      <c r="A895" t="s">
        <v>1317</v>
      </c>
      <c r="B895" s="218">
        <v>43347</v>
      </c>
    </row>
    <row r="896" spans="1:2">
      <c r="A896" t="s">
        <v>1318</v>
      </c>
      <c r="B896" s="218">
        <v>139690</v>
      </c>
    </row>
    <row r="897" spans="1:2">
      <c r="A897" t="s">
        <v>1319</v>
      </c>
      <c r="B897" s="218">
        <v>122714</v>
      </c>
    </row>
    <row r="898" spans="1:2">
      <c r="A898" t="s">
        <v>1320</v>
      </c>
      <c r="B898" s="218">
        <v>56500</v>
      </c>
    </row>
    <row r="899" spans="1:2">
      <c r="A899" t="s">
        <v>1321</v>
      </c>
      <c r="B899" s="218">
        <v>62373</v>
      </c>
    </row>
    <row r="900" spans="1:2">
      <c r="A900" t="s">
        <v>1322</v>
      </c>
      <c r="B900" s="218">
        <v>69390</v>
      </c>
    </row>
    <row r="901" spans="1:2">
      <c r="A901" t="s">
        <v>1323</v>
      </c>
      <c r="B901" s="218">
        <v>39891</v>
      </c>
    </row>
    <row r="902" spans="1:2">
      <c r="A902" t="s">
        <v>1324</v>
      </c>
      <c r="B902" s="218">
        <v>43377</v>
      </c>
    </row>
    <row r="903" spans="1:2">
      <c r="A903" t="s">
        <v>1325</v>
      </c>
      <c r="B903" s="218">
        <v>60027</v>
      </c>
    </row>
    <row r="904" spans="1:2">
      <c r="A904" t="s">
        <v>1326</v>
      </c>
      <c r="B904" s="218">
        <v>44483</v>
      </c>
    </row>
    <row r="905" spans="1:2">
      <c r="A905" t="s">
        <v>1327</v>
      </c>
      <c r="B905" s="218">
        <v>57621</v>
      </c>
    </row>
    <row r="906" spans="1:2">
      <c r="A906" t="s">
        <v>1328</v>
      </c>
      <c r="B906" s="218">
        <v>69673</v>
      </c>
    </row>
    <row r="907" spans="1:2">
      <c r="A907" t="s">
        <v>1329</v>
      </c>
      <c r="B907" s="218">
        <v>43484</v>
      </c>
    </row>
    <row r="908" spans="1:2">
      <c r="A908" t="s">
        <v>1330</v>
      </c>
      <c r="B908" s="218">
        <v>60238</v>
      </c>
    </row>
    <row r="909" spans="1:2">
      <c r="A909" t="s">
        <v>1331</v>
      </c>
      <c r="B909" s="218">
        <v>61618</v>
      </c>
    </row>
    <row r="910" spans="1:2">
      <c r="A910" t="s">
        <v>1332</v>
      </c>
      <c r="B910" s="218">
        <v>104276</v>
      </c>
    </row>
    <row r="911" spans="1:2">
      <c r="A911" t="s">
        <v>1333</v>
      </c>
      <c r="B911" s="218">
        <v>32868</v>
      </c>
    </row>
    <row r="912" spans="1:2">
      <c r="A912" t="s">
        <v>1334</v>
      </c>
      <c r="B912" s="218">
        <v>56486</v>
      </c>
    </row>
    <row r="913" spans="1:2">
      <c r="A913" t="s">
        <v>1335</v>
      </c>
      <c r="B913" s="218">
        <v>82500</v>
      </c>
    </row>
    <row r="914" spans="1:2">
      <c r="A914" t="s">
        <v>1336</v>
      </c>
      <c r="B914" s="218">
        <v>44309</v>
      </c>
    </row>
    <row r="915" spans="1:2">
      <c r="A915" t="s">
        <v>1337</v>
      </c>
      <c r="B915" s="218">
        <v>43589</v>
      </c>
    </row>
    <row r="916" spans="1:2">
      <c r="A916" t="s">
        <v>1338</v>
      </c>
      <c r="B916" s="218">
        <v>33808</v>
      </c>
    </row>
    <row r="917" spans="1:2">
      <c r="A917" t="s">
        <v>1339</v>
      </c>
      <c r="B917" s="218">
        <v>81179</v>
      </c>
    </row>
    <row r="918" spans="1:2">
      <c r="A918" t="s">
        <v>1340</v>
      </c>
      <c r="B918" s="218">
        <v>52415</v>
      </c>
    </row>
    <row r="919" spans="1:2">
      <c r="A919" t="s">
        <v>1341</v>
      </c>
      <c r="B919" s="218">
        <v>107780</v>
      </c>
    </row>
    <row r="920" spans="1:2">
      <c r="A920" t="s">
        <v>1342</v>
      </c>
      <c r="B920" s="218">
        <v>61707</v>
      </c>
    </row>
    <row r="921" spans="1:2">
      <c r="A921" t="s">
        <v>1343</v>
      </c>
      <c r="B921" s="218">
        <v>55000</v>
      </c>
    </row>
    <row r="922" spans="1:2">
      <c r="A922" t="s">
        <v>1344</v>
      </c>
      <c r="B922" s="218">
        <v>58345</v>
      </c>
    </row>
    <row r="923" spans="1:2">
      <c r="A923" t="s">
        <v>1345</v>
      </c>
      <c r="B923" s="218">
        <v>63300</v>
      </c>
    </row>
    <row r="924" spans="1:2">
      <c r="A924" t="s">
        <v>1346</v>
      </c>
      <c r="B924" s="218">
        <v>95865</v>
      </c>
    </row>
    <row r="925" spans="1:2">
      <c r="A925" t="s">
        <v>1347</v>
      </c>
      <c r="B925" s="218">
        <v>153677</v>
      </c>
    </row>
    <row r="926" spans="1:2">
      <c r="A926" t="s">
        <v>1348</v>
      </c>
      <c r="B926" s="218">
        <v>76298</v>
      </c>
    </row>
    <row r="927" spans="1:2">
      <c r="A927" t="s">
        <v>1349</v>
      </c>
      <c r="B927" s="218">
        <v>36659</v>
      </c>
    </row>
    <row r="928" spans="1:2">
      <c r="A928" t="s">
        <v>1350</v>
      </c>
      <c r="B928" s="218">
        <v>33447</v>
      </c>
    </row>
    <row r="929" spans="1:2">
      <c r="A929" t="s">
        <v>1351</v>
      </c>
      <c r="B929" s="218">
        <v>63258</v>
      </c>
    </row>
    <row r="930" spans="1:2">
      <c r="A930" t="s">
        <v>1352</v>
      </c>
      <c r="B930" s="218">
        <v>77857</v>
      </c>
    </row>
    <row r="931" spans="1:2">
      <c r="A931" t="s">
        <v>1353</v>
      </c>
      <c r="B931" s="218">
        <v>75143</v>
      </c>
    </row>
    <row r="932" spans="1:2">
      <c r="A932" t="s">
        <v>1354</v>
      </c>
      <c r="B932" s="218">
        <v>142557</v>
      </c>
    </row>
    <row r="933" spans="1:2">
      <c r="A933" t="s">
        <v>1355</v>
      </c>
      <c r="B933" s="218">
        <v>90179</v>
      </c>
    </row>
    <row r="934" spans="1:2">
      <c r="A934" t="s">
        <v>1356</v>
      </c>
      <c r="B934" s="218">
        <v>62929</v>
      </c>
    </row>
    <row r="935" spans="1:2">
      <c r="A935" t="s">
        <v>1357</v>
      </c>
      <c r="B935" s="218">
        <v>51481</v>
      </c>
    </row>
    <row r="936" spans="1:2">
      <c r="A936" t="s">
        <v>1358</v>
      </c>
      <c r="B936" s="218">
        <v>62779</v>
      </c>
    </row>
    <row r="937" spans="1:2">
      <c r="A937" t="s">
        <v>1359</v>
      </c>
      <c r="B937" s="218">
        <v>126920</v>
      </c>
    </row>
    <row r="938" spans="1:2">
      <c r="A938" t="s">
        <v>1360</v>
      </c>
      <c r="B938" s="218">
        <v>116875</v>
      </c>
    </row>
    <row r="939" spans="1:2">
      <c r="A939" t="s">
        <v>1361</v>
      </c>
      <c r="B939" s="218">
        <v>51498</v>
      </c>
    </row>
    <row r="940" spans="1:2">
      <c r="A940" t="s">
        <v>1362</v>
      </c>
      <c r="B940" s="218">
        <v>69070</v>
      </c>
    </row>
    <row r="941" spans="1:2">
      <c r="A941" t="s">
        <v>1363</v>
      </c>
      <c r="B941" s="218">
        <v>82448</v>
      </c>
    </row>
    <row r="942" spans="1:2">
      <c r="A942" t="s">
        <v>1364</v>
      </c>
      <c r="B942" s="218">
        <v>91875</v>
      </c>
    </row>
    <row r="943" spans="1:2">
      <c r="A943" t="s">
        <v>1365</v>
      </c>
      <c r="B943" s="218">
        <v>51721</v>
      </c>
    </row>
    <row r="944" spans="1:2">
      <c r="A944" t="s">
        <v>1366</v>
      </c>
      <c r="B944" s="218">
        <v>26250</v>
      </c>
    </row>
    <row r="945" spans="1:2">
      <c r="A945" t="s">
        <v>1367</v>
      </c>
      <c r="B945" s="218">
        <v>13009</v>
      </c>
    </row>
    <row r="946" spans="1:2">
      <c r="A946" t="s">
        <v>1368</v>
      </c>
      <c r="B946" s="218">
        <v>54038</v>
      </c>
    </row>
    <row r="947" spans="1:2">
      <c r="A947" t="s">
        <v>1369</v>
      </c>
      <c r="B947" s="218">
        <v>49107</v>
      </c>
    </row>
    <row r="948" spans="1:2">
      <c r="A948" t="s">
        <v>1370</v>
      </c>
      <c r="B948" s="218">
        <v>59071</v>
      </c>
    </row>
    <row r="949" spans="1:2">
      <c r="A949" t="s">
        <v>1371</v>
      </c>
      <c r="B949" s="218">
        <v>53673</v>
      </c>
    </row>
    <row r="950" spans="1:2">
      <c r="A950" t="s">
        <v>1372</v>
      </c>
      <c r="B950" s="218">
        <v>37114</v>
      </c>
    </row>
    <row r="951" spans="1:2">
      <c r="A951" t="s">
        <v>1373</v>
      </c>
      <c r="B951" s="218">
        <v>91587</v>
      </c>
    </row>
    <row r="952" spans="1:2">
      <c r="A952" t="s">
        <v>1374</v>
      </c>
      <c r="B952" s="218">
        <v>130804</v>
      </c>
    </row>
    <row r="953" spans="1:2">
      <c r="A953" t="s">
        <v>1375</v>
      </c>
      <c r="B953" s="218">
        <v>74545</v>
      </c>
    </row>
    <row r="954" spans="1:2">
      <c r="A954" t="s">
        <v>1376</v>
      </c>
      <c r="B954" s="218">
        <v>165405</v>
      </c>
    </row>
    <row r="955" spans="1:2">
      <c r="A955" t="s">
        <v>1377</v>
      </c>
      <c r="B955" s="218">
        <v>116760</v>
      </c>
    </row>
    <row r="956" spans="1:2">
      <c r="A956" t="s">
        <v>1378</v>
      </c>
      <c r="B956" s="218">
        <v>100781</v>
      </c>
    </row>
    <row r="957" spans="1:2">
      <c r="A957" t="s">
        <v>1379</v>
      </c>
      <c r="B957" s="218">
        <v>81736</v>
      </c>
    </row>
    <row r="958" spans="1:2">
      <c r="A958" t="s">
        <v>1380</v>
      </c>
      <c r="B958" s="218">
        <v>72545</v>
      </c>
    </row>
    <row r="959" spans="1:2">
      <c r="A959" t="s">
        <v>1381</v>
      </c>
      <c r="B959" s="218">
        <v>26593</v>
      </c>
    </row>
    <row r="960" spans="1:2">
      <c r="A960" t="s">
        <v>1382</v>
      </c>
      <c r="B960" s="218">
        <v>63714</v>
      </c>
    </row>
    <row r="961" spans="1:2">
      <c r="A961" t="s">
        <v>1383</v>
      </c>
      <c r="B961" s="218">
        <v>87973</v>
      </c>
    </row>
    <row r="962" spans="1:2">
      <c r="A962" t="s">
        <v>1384</v>
      </c>
      <c r="B962" s="218">
        <v>89022</v>
      </c>
    </row>
    <row r="963" spans="1:2">
      <c r="A963" t="s">
        <v>1385</v>
      </c>
      <c r="B963" s="218">
        <v>52471</v>
      </c>
    </row>
    <row r="964" spans="1:2">
      <c r="A964" t="s">
        <v>1386</v>
      </c>
      <c r="B964" s="218">
        <v>37066</v>
      </c>
    </row>
    <row r="965" spans="1:2">
      <c r="A965" t="s">
        <v>1387</v>
      </c>
      <c r="B965" s="218">
        <v>37424</v>
      </c>
    </row>
    <row r="966" spans="1:2">
      <c r="A966" t="s">
        <v>1388</v>
      </c>
      <c r="B966" s="218">
        <v>38231</v>
      </c>
    </row>
    <row r="967" spans="1:2">
      <c r="A967" t="s">
        <v>1389</v>
      </c>
      <c r="B967" s="218">
        <v>31935</v>
      </c>
    </row>
    <row r="968" spans="1:2">
      <c r="A968" t="s">
        <v>1390</v>
      </c>
      <c r="B968" s="218">
        <v>31776</v>
      </c>
    </row>
    <row r="969" spans="1:2">
      <c r="A969" t="s">
        <v>1391</v>
      </c>
      <c r="B969" s="218">
        <v>24794</v>
      </c>
    </row>
    <row r="970" spans="1:2">
      <c r="A970" t="s">
        <v>1392</v>
      </c>
      <c r="B970" s="218">
        <v>22917</v>
      </c>
    </row>
    <row r="971" spans="1:2">
      <c r="A971" t="s">
        <v>1393</v>
      </c>
      <c r="B971" s="218">
        <v>33821</v>
      </c>
    </row>
    <row r="972" spans="1:2">
      <c r="A972" t="s">
        <v>1394</v>
      </c>
      <c r="B972" s="218">
        <v>36354</v>
      </c>
    </row>
    <row r="973" spans="1:2">
      <c r="A973" t="s">
        <v>1395</v>
      </c>
      <c r="B973" s="218">
        <v>49357</v>
      </c>
    </row>
    <row r="974" spans="1:2">
      <c r="A974" t="s">
        <v>1396</v>
      </c>
      <c r="B974" s="218">
        <v>34924</v>
      </c>
    </row>
    <row r="975" spans="1:2">
      <c r="A975" t="s">
        <v>1397</v>
      </c>
      <c r="B975" s="218">
        <v>37269</v>
      </c>
    </row>
    <row r="976" spans="1:2">
      <c r="A976" t="s">
        <v>1398</v>
      </c>
      <c r="B976" s="218">
        <v>77328</v>
      </c>
    </row>
    <row r="977" spans="1:2">
      <c r="A977" t="s">
        <v>1399</v>
      </c>
      <c r="B977" s="218">
        <v>44752</v>
      </c>
    </row>
    <row r="978" spans="1:2">
      <c r="A978" t="s">
        <v>1400</v>
      </c>
      <c r="B978" s="218">
        <v>45711</v>
      </c>
    </row>
    <row r="979" spans="1:2">
      <c r="A979" t="s">
        <v>1401</v>
      </c>
      <c r="B979" s="218">
        <v>79907</v>
      </c>
    </row>
    <row r="980" spans="1:2">
      <c r="A980" t="s">
        <v>1402</v>
      </c>
      <c r="B980" s="218">
        <v>41244</v>
      </c>
    </row>
    <row r="981" spans="1:2">
      <c r="A981" t="s">
        <v>1403</v>
      </c>
      <c r="B981" s="218">
        <v>52969</v>
      </c>
    </row>
    <row r="982" spans="1:2">
      <c r="A982" t="s">
        <v>1404</v>
      </c>
      <c r="B982" s="218">
        <v>38205</v>
      </c>
    </row>
    <row r="983" spans="1:2">
      <c r="A983" t="s">
        <v>1405</v>
      </c>
      <c r="B983" s="218">
        <v>38256</v>
      </c>
    </row>
    <row r="984" spans="1:2">
      <c r="A984" t="s">
        <v>1406</v>
      </c>
      <c r="B984" s="218">
        <v>33680</v>
      </c>
    </row>
    <row r="985" spans="1:2">
      <c r="A985" t="s">
        <v>1407</v>
      </c>
      <c r="B985" s="218">
        <v>43815</v>
      </c>
    </row>
    <row r="986" spans="1:2">
      <c r="A986" t="s">
        <v>1408</v>
      </c>
      <c r="B986" s="218">
        <v>34670</v>
      </c>
    </row>
    <row r="987" spans="1:2">
      <c r="A987" t="s">
        <v>1409</v>
      </c>
      <c r="B987" s="218">
        <v>44759</v>
      </c>
    </row>
    <row r="988" spans="1:2">
      <c r="A988" t="s">
        <v>1410</v>
      </c>
      <c r="B988" s="218">
        <v>38656</v>
      </c>
    </row>
    <row r="989" spans="1:2">
      <c r="A989" t="s">
        <v>1411</v>
      </c>
      <c r="B989" s="218">
        <v>58693</v>
      </c>
    </row>
    <row r="990" spans="1:2">
      <c r="A990" t="s">
        <v>1412</v>
      </c>
      <c r="B990" s="218">
        <v>75357</v>
      </c>
    </row>
    <row r="991" spans="1:2">
      <c r="A991" t="s">
        <v>1413</v>
      </c>
      <c r="B991" s="218">
        <v>47443</v>
      </c>
    </row>
    <row r="992" spans="1:2">
      <c r="A992" t="s">
        <v>1414</v>
      </c>
      <c r="B992" s="218">
        <v>47190</v>
      </c>
    </row>
    <row r="993" spans="1:2">
      <c r="A993" t="s">
        <v>1415</v>
      </c>
      <c r="B993" s="218">
        <v>65625</v>
      </c>
    </row>
    <row r="994" spans="1:2">
      <c r="A994" t="s">
        <v>1416</v>
      </c>
      <c r="B994" s="218">
        <v>39023</v>
      </c>
    </row>
    <row r="995" spans="1:2">
      <c r="A995" t="s">
        <v>1417</v>
      </c>
      <c r="B995" s="218">
        <v>32756</v>
      </c>
    </row>
    <row r="996" spans="1:2">
      <c r="A996" t="s">
        <v>1418</v>
      </c>
      <c r="B996" s="218">
        <v>22965</v>
      </c>
    </row>
    <row r="997" spans="1:2">
      <c r="A997" t="s">
        <v>1419</v>
      </c>
      <c r="B997" s="218">
        <v>22614</v>
      </c>
    </row>
    <row r="998" spans="1:2">
      <c r="A998" t="s">
        <v>1420</v>
      </c>
      <c r="B998" s="218">
        <v>45195</v>
      </c>
    </row>
    <row r="999" spans="1:2">
      <c r="A999" t="s">
        <v>1421</v>
      </c>
      <c r="B999" s="218">
        <v>58472</v>
      </c>
    </row>
    <row r="1000" spans="1:2">
      <c r="A1000" t="s">
        <v>1422</v>
      </c>
      <c r="B1000" s="218">
        <v>34612</v>
      </c>
    </row>
    <row r="1001" spans="1:2">
      <c r="A1001" t="s">
        <v>1423</v>
      </c>
      <c r="B1001" s="218">
        <v>36618</v>
      </c>
    </row>
    <row r="1002" spans="1:2">
      <c r="A1002" t="s">
        <v>1424</v>
      </c>
      <c r="B1002" s="218">
        <v>59333</v>
      </c>
    </row>
    <row r="1003" spans="1:2">
      <c r="A1003" t="s">
        <v>1425</v>
      </c>
      <c r="B1003" s="218">
        <v>54174</v>
      </c>
    </row>
    <row r="1004" spans="1:2">
      <c r="A1004" t="s">
        <v>1426</v>
      </c>
      <c r="B1004" s="218">
        <v>41949</v>
      </c>
    </row>
    <row r="1005" spans="1:2">
      <c r="A1005" t="s">
        <v>1427</v>
      </c>
      <c r="B1005" s="218">
        <v>44813</v>
      </c>
    </row>
    <row r="1006" spans="1:2">
      <c r="A1006" t="s">
        <v>1428</v>
      </c>
      <c r="B1006" s="218">
        <v>54444</v>
      </c>
    </row>
    <row r="1007" spans="1:2">
      <c r="A1007" t="s">
        <v>1429</v>
      </c>
      <c r="B1007" s="218">
        <v>35507</v>
      </c>
    </row>
    <row r="1008" spans="1:2">
      <c r="A1008" t="s">
        <v>1430</v>
      </c>
      <c r="B1008" s="218">
        <v>31859</v>
      </c>
    </row>
    <row r="1009" spans="1:2">
      <c r="A1009" t="s">
        <v>1431</v>
      </c>
      <c r="B1009" s="218">
        <v>41842</v>
      </c>
    </row>
    <row r="1010" spans="1:2">
      <c r="A1010" t="s">
        <v>1432</v>
      </c>
      <c r="B1010" s="218">
        <v>25505</v>
      </c>
    </row>
    <row r="1011" spans="1:2">
      <c r="A1011" t="s">
        <v>1433</v>
      </c>
      <c r="B1011" s="218">
        <v>47923</v>
      </c>
    </row>
    <row r="1012" spans="1:2">
      <c r="A1012" t="s">
        <v>1434</v>
      </c>
      <c r="B1012" s="218">
        <v>26305</v>
      </c>
    </row>
    <row r="1013" spans="1:2">
      <c r="A1013" t="s">
        <v>1435</v>
      </c>
      <c r="B1013" s="218">
        <v>27930</v>
      </c>
    </row>
    <row r="1014" spans="1:2">
      <c r="A1014" t="s">
        <v>1436</v>
      </c>
      <c r="B1014" s="218">
        <v>15625</v>
      </c>
    </row>
    <row r="1015" spans="1:2">
      <c r="A1015" t="s">
        <v>1437</v>
      </c>
      <c r="B1015" s="218">
        <v>19767</v>
      </c>
    </row>
    <row r="1016" spans="1:2">
      <c r="A1016" t="s">
        <v>1438</v>
      </c>
      <c r="B1016" s="218">
        <v>37813</v>
      </c>
    </row>
    <row r="1017" spans="1:2">
      <c r="A1017" t="s">
        <v>1439</v>
      </c>
      <c r="B1017" s="218">
        <v>27826</v>
      </c>
    </row>
    <row r="1018" spans="1:2">
      <c r="A1018" t="s">
        <v>1440</v>
      </c>
      <c r="B1018" s="218">
        <v>33326</v>
      </c>
    </row>
    <row r="1019" spans="1:2">
      <c r="A1019" t="s">
        <v>1441</v>
      </c>
      <c r="B1019" s="218">
        <v>41019</v>
      </c>
    </row>
    <row r="1020" spans="1:2">
      <c r="A1020" t="s">
        <v>1442</v>
      </c>
      <c r="B1020" s="218">
        <v>76494</v>
      </c>
    </row>
    <row r="1021" spans="1:2">
      <c r="A1021" t="s">
        <v>1443</v>
      </c>
      <c r="B1021" s="218">
        <v>72013</v>
      </c>
    </row>
    <row r="1022" spans="1:2">
      <c r="A1022" t="s">
        <v>1444</v>
      </c>
      <c r="B1022" s="218">
        <v>35931</v>
      </c>
    </row>
    <row r="1023" spans="1:2">
      <c r="A1023" t="s">
        <v>1445</v>
      </c>
      <c r="B1023" s="218">
        <v>27955</v>
      </c>
    </row>
    <row r="1024" spans="1:2">
      <c r="A1024" t="s">
        <v>1446</v>
      </c>
      <c r="B1024" s="218">
        <v>29320</v>
      </c>
    </row>
    <row r="1025" spans="1:2">
      <c r="A1025" t="s">
        <v>1447</v>
      </c>
      <c r="B1025" s="218">
        <v>32258</v>
      </c>
    </row>
    <row r="1026" spans="1:2">
      <c r="A1026" t="s">
        <v>1448</v>
      </c>
      <c r="B1026" s="218">
        <v>33456</v>
      </c>
    </row>
    <row r="1027" spans="1:2">
      <c r="A1027" t="s">
        <v>1449</v>
      </c>
      <c r="B1027" s="218">
        <v>27984</v>
      </c>
    </row>
    <row r="1028" spans="1:2">
      <c r="A1028" t="s">
        <v>1450</v>
      </c>
      <c r="B1028" s="218">
        <v>32857</v>
      </c>
    </row>
    <row r="1029" spans="1:2">
      <c r="A1029" t="s">
        <v>1451</v>
      </c>
      <c r="B1029" s="218">
        <v>34314</v>
      </c>
    </row>
    <row r="1030" spans="1:2">
      <c r="A1030" t="s">
        <v>1452</v>
      </c>
      <c r="B1030" s="218">
        <v>43200</v>
      </c>
    </row>
    <row r="1031" spans="1:2">
      <c r="A1031" t="s">
        <v>1453</v>
      </c>
      <c r="B1031" s="218">
        <v>31444</v>
      </c>
    </row>
    <row r="1032" spans="1:2">
      <c r="A1032" t="s">
        <v>1454</v>
      </c>
      <c r="B1032" s="218">
        <v>33354</v>
      </c>
    </row>
    <row r="1033" spans="1:2">
      <c r="A1033" t="s">
        <v>1455</v>
      </c>
      <c r="B1033" s="218">
        <v>73997</v>
      </c>
    </row>
    <row r="1034" spans="1:2">
      <c r="A1034" t="s">
        <v>1456</v>
      </c>
      <c r="B1034" s="218">
        <v>61898</v>
      </c>
    </row>
    <row r="1035" spans="1:2">
      <c r="A1035" t="s">
        <v>1457</v>
      </c>
      <c r="B1035" s="218">
        <v>61938</v>
      </c>
    </row>
    <row r="1036" spans="1:2">
      <c r="A1036" t="s">
        <v>1458</v>
      </c>
      <c r="B1036" s="218">
        <v>40569</v>
      </c>
    </row>
    <row r="1037" spans="1:2">
      <c r="A1037" t="s">
        <v>1459</v>
      </c>
      <c r="B1037" s="218">
        <v>25179</v>
      </c>
    </row>
    <row r="1038" spans="1:2">
      <c r="A1038" t="s">
        <v>1460</v>
      </c>
      <c r="B1038" s="218">
        <v>37009</v>
      </c>
    </row>
    <row r="1039" spans="1:2">
      <c r="A1039" t="s">
        <v>1461</v>
      </c>
      <c r="B1039" s="218">
        <v>27191</v>
      </c>
    </row>
    <row r="1040" spans="1:2">
      <c r="A1040" t="s">
        <v>1462</v>
      </c>
      <c r="B1040" s="218">
        <v>26607</v>
      </c>
    </row>
    <row r="1041" spans="1:2">
      <c r="A1041" t="s">
        <v>1463</v>
      </c>
      <c r="B1041" s="218">
        <v>13214</v>
      </c>
    </row>
    <row r="1042" spans="1:2">
      <c r="A1042" t="s">
        <v>1464</v>
      </c>
      <c r="B1042" s="218">
        <v>37083</v>
      </c>
    </row>
    <row r="1043" spans="1:2">
      <c r="A1043" t="s">
        <v>1465</v>
      </c>
      <c r="B1043" s="218">
        <v>33194</v>
      </c>
    </row>
    <row r="1044" spans="1:2">
      <c r="A1044" t="s">
        <v>1466</v>
      </c>
      <c r="B1044" s="218">
        <v>49392</v>
      </c>
    </row>
    <row r="1045" spans="1:2">
      <c r="A1045" t="s">
        <v>1467</v>
      </c>
      <c r="B1045" s="218">
        <v>28924</v>
      </c>
    </row>
    <row r="1046" spans="1:2">
      <c r="A1046" t="s">
        <v>1468</v>
      </c>
      <c r="B1046" s="218">
        <v>27537</v>
      </c>
    </row>
    <row r="1047" spans="1:2">
      <c r="A1047" t="s">
        <v>1469</v>
      </c>
      <c r="B1047" s="218">
        <v>66250</v>
      </c>
    </row>
    <row r="1048" spans="1:2">
      <c r="A1048" t="s">
        <v>1470</v>
      </c>
      <c r="B1048" s="218">
        <v>76544</v>
      </c>
    </row>
    <row r="1049" spans="1:2">
      <c r="A1049" t="s">
        <v>1471</v>
      </c>
      <c r="B1049" s="218">
        <v>33021</v>
      </c>
    </row>
    <row r="1050" spans="1:2">
      <c r="A1050" t="s">
        <v>1472</v>
      </c>
      <c r="B1050" s="218">
        <v>32500</v>
      </c>
    </row>
    <row r="1051" spans="1:2">
      <c r="A1051" t="s">
        <v>1473</v>
      </c>
      <c r="B1051" s="218">
        <v>39097</v>
      </c>
    </row>
    <row r="1052" spans="1:2">
      <c r="A1052" t="s">
        <v>1474</v>
      </c>
      <c r="B1052" s="218">
        <v>70361</v>
      </c>
    </row>
    <row r="1053" spans="1:2">
      <c r="A1053" t="s">
        <v>1475</v>
      </c>
      <c r="B1053" s="218">
        <v>32155</v>
      </c>
    </row>
    <row r="1054" spans="1:2">
      <c r="A1054" t="s">
        <v>1476</v>
      </c>
      <c r="B1054" s="218">
        <v>22721</v>
      </c>
    </row>
    <row r="1055" spans="1:2">
      <c r="A1055" t="s">
        <v>1477</v>
      </c>
      <c r="B1055" s="218">
        <v>29590</v>
      </c>
    </row>
    <row r="1056" spans="1:2">
      <c r="A1056" t="s">
        <v>1478</v>
      </c>
      <c r="B1056" s="218">
        <v>49872</v>
      </c>
    </row>
    <row r="1057" spans="1:2">
      <c r="A1057" t="s">
        <v>1479</v>
      </c>
      <c r="B1057" s="218">
        <v>31615</v>
      </c>
    </row>
    <row r="1058" spans="1:2">
      <c r="A1058" t="s">
        <v>1480</v>
      </c>
      <c r="B1058" s="218">
        <v>39813</v>
      </c>
    </row>
    <row r="1059" spans="1:2">
      <c r="A1059" t="s">
        <v>1481</v>
      </c>
      <c r="B1059" s="218">
        <v>36118</v>
      </c>
    </row>
    <row r="1060" spans="1:2">
      <c r="A1060" t="s">
        <v>1482</v>
      </c>
      <c r="B1060" s="218">
        <v>47941</v>
      </c>
    </row>
    <row r="1061" spans="1:2">
      <c r="A1061" t="s">
        <v>1483</v>
      </c>
      <c r="B1061" s="218">
        <v>22321</v>
      </c>
    </row>
    <row r="1062" spans="1:2">
      <c r="A1062" t="s">
        <v>1484</v>
      </c>
      <c r="B1062" s="218">
        <v>42228</v>
      </c>
    </row>
    <row r="1063" spans="1:2">
      <c r="A1063" t="s">
        <v>1485</v>
      </c>
      <c r="B1063" s="218">
        <v>24225</v>
      </c>
    </row>
    <row r="1064" spans="1:2">
      <c r="A1064" t="s">
        <v>1486</v>
      </c>
      <c r="B1064" s="218">
        <v>25054</v>
      </c>
    </row>
    <row r="1065" spans="1:2">
      <c r="A1065" t="s">
        <v>1487</v>
      </c>
      <c r="B1065" s="218">
        <v>33488</v>
      </c>
    </row>
    <row r="1066" spans="1:2">
      <c r="A1066" t="s">
        <v>1488</v>
      </c>
      <c r="B1066" s="218">
        <v>31532</v>
      </c>
    </row>
    <row r="1067" spans="1:2">
      <c r="A1067" t="s">
        <v>1489</v>
      </c>
      <c r="B1067" s="218">
        <v>37285</v>
      </c>
    </row>
    <row r="1068" spans="1:2">
      <c r="A1068" t="s">
        <v>1490</v>
      </c>
      <c r="B1068" s="218">
        <v>26795</v>
      </c>
    </row>
    <row r="1069" spans="1:2">
      <c r="A1069" t="s">
        <v>1491</v>
      </c>
      <c r="B1069" s="218">
        <v>37226</v>
      </c>
    </row>
    <row r="1070" spans="1:2">
      <c r="A1070" t="s">
        <v>1492</v>
      </c>
      <c r="B1070" s="218">
        <v>25521</v>
      </c>
    </row>
    <row r="1071" spans="1:2">
      <c r="A1071" t="s">
        <v>1493</v>
      </c>
      <c r="B1071" s="218">
        <v>53832</v>
      </c>
    </row>
    <row r="1072" spans="1:2">
      <c r="A1072" t="s">
        <v>1494</v>
      </c>
      <c r="B1072" s="218">
        <v>28413</v>
      </c>
    </row>
    <row r="1073" spans="1:2">
      <c r="A1073" t="s">
        <v>1495</v>
      </c>
      <c r="B1073" s="218">
        <v>51337</v>
      </c>
    </row>
    <row r="1074" spans="1:2">
      <c r="A1074" t="s">
        <v>1496</v>
      </c>
      <c r="B1074" s="218">
        <v>57117</v>
      </c>
    </row>
    <row r="1075" spans="1:2">
      <c r="A1075" t="s">
        <v>1497</v>
      </c>
      <c r="B1075" s="218">
        <v>50116</v>
      </c>
    </row>
    <row r="1076" spans="1:2">
      <c r="A1076" t="s">
        <v>1498</v>
      </c>
      <c r="B1076" s="218">
        <v>60665</v>
      </c>
    </row>
    <row r="1077" spans="1:2">
      <c r="A1077" t="s">
        <v>1499</v>
      </c>
      <c r="B1077" s="218">
        <v>33199</v>
      </c>
    </row>
    <row r="1078" spans="1:2">
      <c r="A1078" t="s">
        <v>1500</v>
      </c>
      <c r="B1078" s="218">
        <v>71786</v>
      </c>
    </row>
    <row r="1079" spans="1:2">
      <c r="A1079" t="s">
        <v>1501</v>
      </c>
      <c r="B1079" s="218">
        <v>32483</v>
      </c>
    </row>
    <row r="1080" spans="1:2">
      <c r="A1080" t="s">
        <v>1502</v>
      </c>
      <c r="B1080" s="218">
        <v>30887</v>
      </c>
    </row>
    <row r="1081" spans="1:2">
      <c r="A1081" t="s">
        <v>1503</v>
      </c>
      <c r="B1081" s="218">
        <v>86477</v>
      </c>
    </row>
    <row r="1082" spans="1:2">
      <c r="A1082" t="s">
        <v>1504</v>
      </c>
      <c r="B1082" s="218">
        <v>52895</v>
      </c>
    </row>
    <row r="1083" spans="1:2">
      <c r="A1083" t="s">
        <v>1505</v>
      </c>
      <c r="B1083" s="218">
        <v>47663</v>
      </c>
    </row>
    <row r="1084" spans="1:2">
      <c r="A1084" t="s">
        <v>1506</v>
      </c>
      <c r="B1084" s="218">
        <v>47438</v>
      </c>
    </row>
    <row r="1085" spans="1:2">
      <c r="A1085" t="s">
        <v>1507</v>
      </c>
      <c r="B1085" s="218">
        <v>51167</v>
      </c>
    </row>
    <row r="1086" spans="1:2">
      <c r="A1086" t="s">
        <v>1508</v>
      </c>
      <c r="B1086" s="218">
        <v>56738</v>
      </c>
    </row>
    <row r="1087" spans="1:2">
      <c r="A1087" t="s">
        <v>1509</v>
      </c>
      <c r="B1087" s="218">
        <v>80593</v>
      </c>
    </row>
    <row r="1088" spans="1:2">
      <c r="A1088" t="s">
        <v>1510</v>
      </c>
      <c r="B1088" s="218">
        <v>89219</v>
      </c>
    </row>
    <row r="1089" spans="1:2">
      <c r="A1089" t="s">
        <v>1511</v>
      </c>
      <c r="B1089" s="218">
        <v>48666</v>
      </c>
    </row>
    <row r="1090" spans="1:2">
      <c r="A1090" t="s">
        <v>1512</v>
      </c>
      <c r="B1090" s="218">
        <v>28774</v>
      </c>
    </row>
    <row r="1091" spans="1:2">
      <c r="A1091" t="s">
        <v>1513</v>
      </c>
      <c r="B1091" s="218">
        <v>38365</v>
      </c>
    </row>
    <row r="1092" spans="1:2">
      <c r="A1092" t="s">
        <v>1514</v>
      </c>
      <c r="B1092" s="218">
        <v>71911</v>
      </c>
    </row>
    <row r="1093" spans="1:2">
      <c r="A1093" t="s">
        <v>1515</v>
      </c>
      <c r="B1093" s="218">
        <v>72231</v>
      </c>
    </row>
    <row r="1094" spans="1:2">
      <c r="A1094" t="s">
        <v>1516</v>
      </c>
      <c r="B1094" s="218">
        <v>37134</v>
      </c>
    </row>
    <row r="1095" spans="1:2">
      <c r="A1095" t="s">
        <v>1517</v>
      </c>
      <c r="B1095" s="218">
        <v>76390</v>
      </c>
    </row>
    <row r="1096" spans="1:2">
      <c r="A1096" t="s">
        <v>1518</v>
      </c>
      <c r="B1096" s="218">
        <v>104032</v>
      </c>
    </row>
    <row r="1097" spans="1:2">
      <c r="A1097" t="s">
        <v>1519</v>
      </c>
      <c r="B1097" s="218">
        <v>62908</v>
      </c>
    </row>
    <row r="1098" spans="1:2">
      <c r="A1098" t="s">
        <v>1520</v>
      </c>
      <c r="B1098" s="218">
        <v>78321</v>
      </c>
    </row>
    <row r="1099" spans="1:2">
      <c r="A1099" t="s">
        <v>1521</v>
      </c>
      <c r="B1099" s="218">
        <v>39336</v>
      </c>
    </row>
    <row r="1100" spans="1:2">
      <c r="A1100" t="s">
        <v>1522</v>
      </c>
      <c r="B1100" s="218">
        <v>33971</v>
      </c>
    </row>
    <row r="1101" spans="1:2">
      <c r="A1101" t="s">
        <v>1523</v>
      </c>
      <c r="B1101" s="218">
        <v>26967</v>
      </c>
    </row>
    <row r="1102" spans="1:2">
      <c r="A1102" t="s">
        <v>1524</v>
      </c>
      <c r="B1102" s="218">
        <v>40941</v>
      </c>
    </row>
    <row r="1103" spans="1:2">
      <c r="A1103" t="s">
        <v>1525</v>
      </c>
      <c r="B1103" s="218">
        <v>60422</v>
      </c>
    </row>
    <row r="1104" spans="1:2">
      <c r="A1104" t="s">
        <v>1526</v>
      </c>
      <c r="B1104" s="218">
        <v>49325</v>
      </c>
    </row>
    <row r="1105" spans="1:2">
      <c r="A1105" t="s">
        <v>1527</v>
      </c>
      <c r="B1105" s="218">
        <v>43679</v>
      </c>
    </row>
    <row r="1106" spans="1:2">
      <c r="A1106" t="s">
        <v>1528</v>
      </c>
      <c r="B1106" s="218">
        <v>42894</v>
      </c>
    </row>
    <row r="1107" spans="1:2">
      <c r="A1107" t="s">
        <v>1529</v>
      </c>
      <c r="B1107" s="218">
        <v>58229</v>
      </c>
    </row>
    <row r="1108" spans="1:2">
      <c r="A1108" t="s">
        <v>1530</v>
      </c>
      <c r="B1108" s="218">
        <v>50970</v>
      </c>
    </row>
    <row r="1109" spans="1:2">
      <c r="A1109" t="s">
        <v>1531</v>
      </c>
      <c r="B1109" s="218">
        <v>48524</v>
      </c>
    </row>
    <row r="1110" spans="1:2">
      <c r="A1110" t="s">
        <v>1532</v>
      </c>
      <c r="B1110" s="218">
        <v>59549</v>
      </c>
    </row>
    <row r="1111" spans="1:2">
      <c r="A1111" t="s">
        <v>1533</v>
      </c>
      <c r="B1111" s="218">
        <v>70497</v>
      </c>
    </row>
    <row r="1112" spans="1:2">
      <c r="A1112" t="s">
        <v>1534</v>
      </c>
      <c r="B1112" s="218">
        <v>80398</v>
      </c>
    </row>
    <row r="1113" spans="1:2">
      <c r="A1113" t="s">
        <v>1535</v>
      </c>
      <c r="B1113" s="218">
        <v>45769</v>
      </c>
    </row>
    <row r="1114" spans="1:2">
      <c r="A1114" t="s">
        <v>1536</v>
      </c>
      <c r="B1114" s="218">
        <v>30506</v>
      </c>
    </row>
    <row r="1115" spans="1:2">
      <c r="A1115" t="s">
        <v>1537</v>
      </c>
      <c r="B1115" s="218">
        <v>63867</v>
      </c>
    </row>
    <row r="1116" spans="1:2">
      <c r="A1116" t="s">
        <v>1538</v>
      </c>
      <c r="B1116" s="218">
        <v>49432</v>
      </c>
    </row>
    <row r="1117" spans="1:2">
      <c r="A1117" t="s">
        <v>1539</v>
      </c>
      <c r="B1117" s="218">
        <v>29855</v>
      </c>
    </row>
    <row r="1118" spans="1:2">
      <c r="A1118" t="s">
        <v>1540</v>
      </c>
      <c r="B1118" s="218">
        <v>29536</v>
      </c>
    </row>
    <row r="1119" spans="1:2">
      <c r="A1119" t="s">
        <v>1541</v>
      </c>
      <c r="B1119" s="218">
        <v>51031</v>
      </c>
    </row>
    <row r="1120" spans="1:2">
      <c r="A1120" t="s">
        <v>1542</v>
      </c>
      <c r="B1120" s="218">
        <v>66208</v>
      </c>
    </row>
    <row r="1121" spans="1:2">
      <c r="A1121" t="s">
        <v>1543</v>
      </c>
      <c r="B1121" s="218">
        <v>59497</v>
      </c>
    </row>
    <row r="1122" spans="1:2">
      <c r="A1122" t="s">
        <v>1544</v>
      </c>
      <c r="B1122" s="218">
        <v>37839</v>
      </c>
    </row>
    <row r="1123" spans="1:2">
      <c r="A1123" t="s">
        <v>1545</v>
      </c>
      <c r="B1123" s="218">
        <v>50143</v>
      </c>
    </row>
    <row r="1124" spans="1:2">
      <c r="A1124" t="s">
        <v>1546</v>
      </c>
      <c r="B1124" s="218">
        <v>76415</v>
      </c>
    </row>
    <row r="1125" spans="1:2">
      <c r="A1125" t="s">
        <v>1547</v>
      </c>
      <c r="B1125" s="218">
        <v>81497</v>
      </c>
    </row>
    <row r="1126" spans="1:2">
      <c r="A1126" t="s">
        <v>1548</v>
      </c>
      <c r="B1126" s="218">
        <v>90533</v>
      </c>
    </row>
    <row r="1127" spans="1:2">
      <c r="A1127" t="s">
        <v>1549</v>
      </c>
      <c r="B1127" s="218">
        <v>86384</v>
      </c>
    </row>
    <row r="1128" spans="1:2">
      <c r="A1128" t="s">
        <v>1550</v>
      </c>
      <c r="B1128" s="218">
        <v>98500</v>
      </c>
    </row>
    <row r="1129" spans="1:2">
      <c r="A1129" t="s">
        <v>1551</v>
      </c>
      <c r="B1129" s="218">
        <v>127425</v>
      </c>
    </row>
    <row r="1130" spans="1:2">
      <c r="A1130" t="s">
        <v>1552</v>
      </c>
      <c r="B1130" s="218">
        <v>80524</v>
      </c>
    </row>
    <row r="1131" spans="1:2">
      <c r="A1131" t="s">
        <v>1553</v>
      </c>
      <c r="B1131" s="218">
        <v>106033</v>
      </c>
    </row>
    <row r="1132" spans="1:2">
      <c r="A1132" t="s">
        <v>1554</v>
      </c>
      <c r="B1132" s="218">
        <v>77688</v>
      </c>
    </row>
    <row r="1133" spans="1:2">
      <c r="A1133" t="s">
        <v>1555</v>
      </c>
      <c r="B1133" s="218">
        <v>59775</v>
      </c>
    </row>
    <row r="1134" spans="1:2">
      <c r="A1134" t="s">
        <v>1556</v>
      </c>
      <c r="B1134" s="218">
        <v>33462</v>
      </c>
    </row>
    <row r="1135" spans="1:2">
      <c r="A1135" t="s">
        <v>1557</v>
      </c>
      <c r="B1135" s="218">
        <v>55142</v>
      </c>
    </row>
    <row r="1136" spans="1:2">
      <c r="A1136" t="s">
        <v>1558</v>
      </c>
      <c r="B1136" s="218">
        <v>52459</v>
      </c>
    </row>
    <row r="1137" spans="1:2">
      <c r="A1137" t="s">
        <v>1559</v>
      </c>
      <c r="B1137" s="218">
        <v>50736</v>
      </c>
    </row>
    <row r="1138" spans="1:2">
      <c r="A1138" t="s">
        <v>1560</v>
      </c>
      <c r="B1138" s="217">
        <v>0</v>
      </c>
    </row>
    <row r="1139" spans="1:2">
      <c r="A1139" t="s">
        <v>1561</v>
      </c>
      <c r="B1139" s="218">
        <v>64127</v>
      </c>
    </row>
    <row r="1140" spans="1:2">
      <c r="A1140" t="s">
        <v>1562</v>
      </c>
      <c r="B1140" s="218">
        <v>59449</v>
      </c>
    </row>
    <row r="1141" spans="1:2">
      <c r="A1141" t="s">
        <v>1563</v>
      </c>
      <c r="B1141" s="218">
        <v>65096</v>
      </c>
    </row>
    <row r="1142" spans="1:2">
      <c r="A1142" t="s">
        <v>1564</v>
      </c>
      <c r="B1142" s="218">
        <v>73287</v>
      </c>
    </row>
    <row r="1143" spans="1:2">
      <c r="A1143" t="s">
        <v>1565</v>
      </c>
      <c r="B1143" s="218">
        <v>48405</v>
      </c>
    </row>
    <row r="1144" spans="1:2">
      <c r="A1144" t="s">
        <v>1566</v>
      </c>
      <c r="B1144" s="218">
        <v>71579</v>
      </c>
    </row>
    <row r="1145" spans="1:2">
      <c r="A1145" t="s">
        <v>1567</v>
      </c>
      <c r="B1145" s="218">
        <v>50212</v>
      </c>
    </row>
    <row r="1146" spans="1:2">
      <c r="A1146" t="s">
        <v>1568</v>
      </c>
      <c r="B1146" s="218">
        <v>60625</v>
      </c>
    </row>
    <row r="1147" spans="1:2">
      <c r="A1147" t="s">
        <v>1569</v>
      </c>
      <c r="B1147" s="218">
        <v>64736</v>
      </c>
    </row>
    <row r="1148" spans="1:2">
      <c r="A1148" t="s">
        <v>1570</v>
      </c>
      <c r="B1148" s="218">
        <v>52986</v>
      </c>
    </row>
    <row r="1149" spans="1:2">
      <c r="A1149" t="s">
        <v>1571</v>
      </c>
      <c r="B1149" s="218">
        <v>45656</v>
      </c>
    </row>
    <row r="1150" spans="1:2">
      <c r="A1150" t="s">
        <v>1572</v>
      </c>
      <c r="B1150" s="218">
        <v>36667</v>
      </c>
    </row>
    <row r="1151" spans="1:2">
      <c r="A1151" t="s">
        <v>1573</v>
      </c>
      <c r="B1151" s="218">
        <v>47130</v>
      </c>
    </row>
    <row r="1152" spans="1:2">
      <c r="A1152" t="s">
        <v>1574</v>
      </c>
      <c r="B1152" s="218">
        <v>77031</v>
      </c>
    </row>
    <row r="1153" spans="1:2">
      <c r="A1153" t="s">
        <v>1575</v>
      </c>
      <c r="B1153" s="218">
        <v>71667</v>
      </c>
    </row>
    <row r="1154" spans="1:2">
      <c r="A1154" t="s">
        <v>1576</v>
      </c>
      <c r="B1154" s="218">
        <v>55900</v>
      </c>
    </row>
    <row r="1155" spans="1:2">
      <c r="A1155" t="s">
        <v>1577</v>
      </c>
      <c r="B1155" s="218">
        <v>65361</v>
      </c>
    </row>
    <row r="1156" spans="1:2">
      <c r="A1156" t="s">
        <v>1578</v>
      </c>
      <c r="B1156" s="218">
        <v>45893</v>
      </c>
    </row>
    <row r="1157" spans="1:2">
      <c r="A1157" t="s">
        <v>1579</v>
      </c>
      <c r="B1157" s="218">
        <v>58108</v>
      </c>
    </row>
    <row r="1158" spans="1:2">
      <c r="A1158" t="s">
        <v>1580</v>
      </c>
      <c r="B1158" s="218">
        <v>57527</v>
      </c>
    </row>
    <row r="1159" spans="1:2">
      <c r="A1159" t="s">
        <v>1581</v>
      </c>
      <c r="B1159" s="218">
        <v>62075</v>
      </c>
    </row>
    <row r="1160" spans="1:2">
      <c r="A1160" t="s">
        <v>1582</v>
      </c>
      <c r="B1160" s="218">
        <v>48466</v>
      </c>
    </row>
    <row r="1161" spans="1:2">
      <c r="A1161" t="s">
        <v>1583</v>
      </c>
      <c r="B1161" s="218">
        <v>39583</v>
      </c>
    </row>
    <row r="1162" spans="1:2">
      <c r="A1162" t="s">
        <v>1584</v>
      </c>
      <c r="B1162" s="218">
        <v>34516</v>
      </c>
    </row>
    <row r="1163" spans="1:2">
      <c r="A1163" t="s">
        <v>1585</v>
      </c>
      <c r="B1163" s="218">
        <v>37572</v>
      </c>
    </row>
    <row r="1164" spans="1:2">
      <c r="A1164" t="s">
        <v>1586</v>
      </c>
      <c r="B1164" s="218">
        <v>72760</v>
      </c>
    </row>
    <row r="1165" spans="1:2">
      <c r="A1165" t="s">
        <v>1587</v>
      </c>
      <c r="B1165" s="218">
        <v>53228</v>
      </c>
    </row>
    <row r="1166" spans="1:2">
      <c r="A1166" t="s">
        <v>1588</v>
      </c>
      <c r="B1166" s="218">
        <v>54909</v>
      </c>
    </row>
    <row r="1167" spans="1:2">
      <c r="A1167" t="s">
        <v>1589</v>
      </c>
      <c r="B1167" s="218">
        <v>57292</v>
      </c>
    </row>
    <row r="1168" spans="1:2">
      <c r="A1168" t="s">
        <v>1590</v>
      </c>
      <c r="B1168" s="218">
        <v>12917</v>
      </c>
    </row>
    <row r="1169" spans="1:2">
      <c r="A1169" t="s">
        <v>1591</v>
      </c>
      <c r="B1169" s="218">
        <v>32250</v>
      </c>
    </row>
    <row r="1170" spans="1:2">
      <c r="A1170" t="s">
        <v>1592</v>
      </c>
      <c r="B1170" s="218">
        <v>6635</v>
      </c>
    </row>
    <row r="1171" spans="1:2">
      <c r="A1171" t="s">
        <v>1593</v>
      </c>
      <c r="B1171" s="218">
        <v>29944</v>
      </c>
    </row>
    <row r="1172" spans="1:2">
      <c r="A1172" t="s">
        <v>1594</v>
      </c>
      <c r="B1172" s="218">
        <v>77571</v>
      </c>
    </row>
    <row r="1173" spans="1:2">
      <c r="A1173" t="s">
        <v>1595</v>
      </c>
      <c r="B1173" s="218">
        <v>45204</v>
      </c>
    </row>
    <row r="1174" spans="1:2">
      <c r="A1174" t="s">
        <v>1596</v>
      </c>
      <c r="B1174" s="218">
        <v>54063</v>
      </c>
    </row>
    <row r="1175" spans="1:2">
      <c r="A1175" t="s">
        <v>1597</v>
      </c>
      <c r="B1175" s="218">
        <v>61622</v>
      </c>
    </row>
    <row r="1176" spans="1:2">
      <c r="A1176" t="s">
        <v>1598</v>
      </c>
      <c r="B1176" s="218">
        <v>48063</v>
      </c>
    </row>
    <row r="1177" spans="1:2">
      <c r="A1177" t="s">
        <v>1599</v>
      </c>
      <c r="B1177" s="218">
        <v>30513</v>
      </c>
    </row>
    <row r="1178" spans="1:2">
      <c r="A1178" t="s">
        <v>1600</v>
      </c>
      <c r="B1178" s="218">
        <v>42742</v>
      </c>
    </row>
    <row r="1179" spans="1:2">
      <c r="A1179" t="s">
        <v>1601</v>
      </c>
      <c r="B1179" s="218">
        <v>78502</v>
      </c>
    </row>
    <row r="1180" spans="1:2">
      <c r="A1180" t="s">
        <v>1602</v>
      </c>
      <c r="B1180" s="218">
        <v>69588</v>
      </c>
    </row>
    <row r="1181" spans="1:2">
      <c r="A1181" t="s">
        <v>1603</v>
      </c>
      <c r="B1181" s="218">
        <v>51953</v>
      </c>
    </row>
    <row r="1182" spans="1:2">
      <c r="A1182" t="s">
        <v>1604</v>
      </c>
      <c r="B1182" s="218">
        <v>37138</v>
      </c>
    </row>
    <row r="1183" spans="1:2">
      <c r="A1183" t="s">
        <v>1605</v>
      </c>
      <c r="B1183" s="218">
        <v>48682</v>
      </c>
    </row>
    <row r="1184" spans="1:2">
      <c r="A1184" t="s">
        <v>1606</v>
      </c>
      <c r="B1184" s="218">
        <v>22265</v>
      </c>
    </row>
    <row r="1185" spans="1:2">
      <c r="A1185" t="s">
        <v>1607</v>
      </c>
      <c r="B1185" s="218">
        <v>105531</v>
      </c>
    </row>
    <row r="1186" spans="1:2">
      <c r="A1186" t="s">
        <v>1608</v>
      </c>
      <c r="B1186" s="218">
        <v>73206</v>
      </c>
    </row>
    <row r="1187" spans="1:2">
      <c r="A1187" t="s">
        <v>1609</v>
      </c>
      <c r="B1187" s="218">
        <v>38912</v>
      </c>
    </row>
    <row r="1188" spans="1:2">
      <c r="A1188" t="s">
        <v>1610</v>
      </c>
      <c r="B1188" s="218">
        <v>58902</v>
      </c>
    </row>
    <row r="1189" spans="1:2">
      <c r="A1189" t="s">
        <v>1611</v>
      </c>
      <c r="B1189" s="218">
        <v>64233</v>
      </c>
    </row>
    <row r="1190" spans="1:2">
      <c r="A1190" t="s">
        <v>1612</v>
      </c>
      <c r="B1190" s="218">
        <v>71198</v>
      </c>
    </row>
    <row r="1191" spans="1:2">
      <c r="A1191" t="s">
        <v>1613</v>
      </c>
      <c r="B1191" s="218">
        <v>58640</v>
      </c>
    </row>
    <row r="1192" spans="1:2">
      <c r="A1192" t="s">
        <v>1614</v>
      </c>
      <c r="B1192" s="218">
        <v>67201</v>
      </c>
    </row>
    <row r="1193" spans="1:2">
      <c r="A1193" t="s">
        <v>1615</v>
      </c>
      <c r="B1193" s="218">
        <v>64868</v>
      </c>
    </row>
    <row r="1194" spans="1:2">
      <c r="A1194" t="s">
        <v>1616</v>
      </c>
      <c r="B1194" s="218">
        <v>82264</v>
      </c>
    </row>
    <row r="1195" spans="1:2">
      <c r="A1195" t="s">
        <v>1617</v>
      </c>
      <c r="B1195" s="218">
        <v>72422</v>
      </c>
    </row>
    <row r="1196" spans="1:2">
      <c r="A1196" t="s">
        <v>1618</v>
      </c>
      <c r="B1196" s="218">
        <v>51250</v>
      </c>
    </row>
    <row r="1197" spans="1:2">
      <c r="A1197" t="s">
        <v>1619</v>
      </c>
      <c r="B1197" s="218">
        <v>65357</v>
      </c>
    </row>
    <row r="1198" spans="1:2">
      <c r="A1198" t="s">
        <v>1620</v>
      </c>
      <c r="B1198" s="218">
        <v>87412</v>
      </c>
    </row>
    <row r="1199" spans="1:2">
      <c r="A1199" t="s">
        <v>1621</v>
      </c>
      <c r="B1199" s="218">
        <v>77833</v>
      </c>
    </row>
    <row r="1200" spans="1:2">
      <c r="A1200" t="s">
        <v>1622</v>
      </c>
      <c r="B1200" s="218">
        <v>18326</v>
      </c>
    </row>
    <row r="1201" spans="1:2">
      <c r="A1201" t="s">
        <v>1623</v>
      </c>
      <c r="B1201" s="218">
        <v>72530</v>
      </c>
    </row>
    <row r="1202" spans="1:2">
      <c r="A1202" t="s">
        <v>1624</v>
      </c>
      <c r="B1202" s="218">
        <v>61875</v>
      </c>
    </row>
    <row r="1203" spans="1:2">
      <c r="A1203" t="s">
        <v>1625</v>
      </c>
      <c r="B1203" s="218">
        <v>65423</v>
      </c>
    </row>
    <row r="1204" spans="1:2">
      <c r="A1204" t="s">
        <v>1626</v>
      </c>
      <c r="B1204" s="218">
        <v>39646</v>
      </c>
    </row>
    <row r="1205" spans="1:2">
      <c r="A1205" t="s">
        <v>1627</v>
      </c>
      <c r="B1205" s="218">
        <v>43882</v>
      </c>
    </row>
    <row r="1206" spans="1:2">
      <c r="A1206" t="s">
        <v>1628</v>
      </c>
      <c r="B1206" s="218">
        <v>45644</v>
      </c>
    </row>
    <row r="1207" spans="1:2">
      <c r="A1207" t="s">
        <v>1629</v>
      </c>
      <c r="B1207" s="218">
        <v>72574</v>
      </c>
    </row>
    <row r="1208" spans="1:2">
      <c r="A1208" t="s">
        <v>1630</v>
      </c>
      <c r="B1208" s="218">
        <v>58656</v>
      </c>
    </row>
    <row r="1209" spans="1:2">
      <c r="A1209" t="s">
        <v>1631</v>
      </c>
      <c r="B1209" s="218">
        <v>64864</v>
      </c>
    </row>
    <row r="1210" spans="1:2">
      <c r="A1210" t="s">
        <v>1632</v>
      </c>
      <c r="B1210" s="218">
        <v>79573</v>
      </c>
    </row>
    <row r="1211" spans="1:2">
      <c r="A1211" t="s">
        <v>1633</v>
      </c>
      <c r="B1211" s="218">
        <v>83297</v>
      </c>
    </row>
    <row r="1212" spans="1:2">
      <c r="A1212" t="s">
        <v>1634</v>
      </c>
      <c r="B1212" s="218">
        <v>67105</v>
      </c>
    </row>
    <row r="1213" spans="1:2">
      <c r="A1213" t="s">
        <v>1635</v>
      </c>
      <c r="B1213" s="218">
        <v>63627</v>
      </c>
    </row>
    <row r="1214" spans="1:2">
      <c r="A1214" t="s">
        <v>1636</v>
      </c>
      <c r="B1214" s="218">
        <v>54663</v>
      </c>
    </row>
    <row r="1215" spans="1:2">
      <c r="A1215" t="s">
        <v>1637</v>
      </c>
      <c r="B1215" s="218">
        <v>69450</v>
      </c>
    </row>
    <row r="1216" spans="1:2">
      <c r="A1216" t="s">
        <v>1638</v>
      </c>
      <c r="B1216" s="218">
        <v>84818</v>
      </c>
    </row>
    <row r="1217" spans="1:2">
      <c r="A1217" t="s">
        <v>1639</v>
      </c>
      <c r="B1217" s="218">
        <v>63519</v>
      </c>
    </row>
    <row r="1218" spans="1:2">
      <c r="A1218" t="s">
        <v>1640</v>
      </c>
      <c r="B1218" s="218">
        <v>82161</v>
      </c>
    </row>
    <row r="1219" spans="1:2">
      <c r="A1219" t="s">
        <v>1641</v>
      </c>
      <c r="B1219" s="218">
        <v>64112</v>
      </c>
    </row>
    <row r="1220" spans="1:2">
      <c r="A1220" t="s">
        <v>1642</v>
      </c>
      <c r="B1220" s="218">
        <v>46838</v>
      </c>
    </row>
    <row r="1221" spans="1:2">
      <c r="A1221" t="s">
        <v>1643</v>
      </c>
      <c r="B1221" s="218">
        <v>109276</v>
      </c>
    </row>
    <row r="1222" spans="1:2">
      <c r="A1222" t="s">
        <v>1644</v>
      </c>
      <c r="B1222" s="218">
        <v>62552</v>
      </c>
    </row>
    <row r="1223" spans="1:2">
      <c r="A1223" t="s">
        <v>1645</v>
      </c>
      <c r="B1223" s="218">
        <v>49514</v>
      </c>
    </row>
    <row r="1224" spans="1:2">
      <c r="A1224" t="s">
        <v>1646</v>
      </c>
      <c r="B1224" s="218">
        <v>46667</v>
      </c>
    </row>
    <row r="1225" spans="1:2">
      <c r="A1225" t="s">
        <v>1647</v>
      </c>
      <c r="B1225" s="218">
        <v>80559</v>
      </c>
    </row>
    <row r="1226" spans="1:2">
      <c r="A1226" t="s">
        <v>1648</v>
      </c>
      <c r="B1226" s="218">
        <v>64583</v>
      </c>
    </row>
    <row r="1227" spans="1:2">
      <c r="A1227" t="s">
        <v>1649</v>
      </c>
      <c r="B1227" s="218">
        <v>67129</v>
      </c>
    </row>
    <row r="1228" spans="1:2">
      <c r="A1228" t="s">
        <v>1650</v>
      </c>
      <c r="B1228" s="218">
        <v>58250</v>
      </c>
    </row>
    <row r="1229" spans="1:2">
      <c r="A1229" t="s">
        <v>1651</v>
      </c>
      <c r="B1229" s="218">
        <v>46106</v>
      </c>
    </row>
    <row r="1230" spans="1:2">
      <c r="A1230" t="s">
        <v>1652</v>
      </c>
      <c r="B1230" s="218">
        <v>53992</v>
      </c>
    </row>
    <row r="1231" spans="1:2">
      <c r="A1231" t="s">
        <v>1653</v>
      </c>
      <c r="B1231" s="218">
        <v>53893</v>
      </c>
    </row>
    <row r="1232" spans="1:2">
      <c r="A1232" t="s">
        <v>1654</v>
      </c>
      <c r="B1232" s="218">
        <v>54025</v>
      </c>
    </row>
    <row r="1233" spans="1:2">
      <c r="A1233" t="s">
        <v>1655</v>
      </c>
      <c r="B1233" s="218">
        <v>46199</v>
      </c>
    </row>
    <row r="1234" spans="1:2">
      <c r="A1234" t="s">
        <v>1656</v>
      </c>
      <c r="B1234" s="218">
        <v>54384</v>
      </c>
    </row>
    <row r="1235" spans="1:2">
      <c r="A1235" t="s">
        <v>1657</v>
      </c>
      <c r="B1235" s="218">
        <v>67287</v>
      </c>
    </row>
    <row r="1236" spans="1:2">
      <c r="A1236" t="s">
        <v>1658</v>
      </c>
      <c r="B1236" s="218">
        <v>57159</v>
      </c>
    </row>
    <row r="1237" spans="1:2">
      <c r="A1237" t="s">
        <v>1659</v>
      </c>
      <c r="B1237" s="218">
        <v>65525</v>
      </c>
    </row>
    <row r="1238" spans="1:2">
      <c r="A1238" t="s">
        <v>1660</v>
      </c>
      <c r="B1238" s="218">
        <v>55082</v>
      </c>
    </row>
    <row r="1239" spans="1:2">
      <c r="A1239" t="s">
        <v>1661</v>
      </c>
      <c r="B1239" s="218">
        <v>71016</v>
      </c>
    </row>
    <row r="1240" spans="1:2">
      <c r="A1240" t="s">
        <v>1662</v>
      </c>
      <c r="B1240" s="218">
        <v>66250</v>
      </c>
    </row>
    <row r="1241" spans="1:2">
      <c r="A1241" t="s">
        <v>1663</v>
      </c>
      <c r="B1241" s="218">
        <v>52835</v>
      </c>
    </row>
    <row r="1242" spans="1:2">
      <c r="A1242" t="s">
        <v>1664</v>
      </c>
      <c r="B1242" s="218">
        <v>70403</v>
      </c>
    </row>
    <row r="1243" spans="1:2">
      <c r="A1243" t="s">
        <v>1665</v>
      </c>
      <c r="B1243" s="218">
        <v>55247</v>
      </c>
    </row>
    <row r="1244" spans="1:2">
      <c r="A1244" t="s">
        <v>1666</v>
      </c>
      <c r="B1244" s="218">
        <v>76477</v>
      </c>
    </row>
    <row r="1245" spans="1:2">
      <c r="A1245" t="s">
        <v>1667</v>
      </c>
      <c r="B1245" s="218">
        <v>41611</v>
      </c>
    </row>
    <row r="1246" spans="1:2">
      <c r="A1246" t="s">
        <v>1668</v>
      </c>
      <c r="B1246" s="218">
        <v>56544</v>
      </c>
    </row>
    <row r="1247" spans="1:2">
      <c r="A1247" t="s">
        <v>1669</v>
      </c>
      <c r="B1247" s="218">
        <v>35280</v>
      </c>
    </row>
    <row r="1248" spans="1:2">
      <c r="A1248" t="s">
        <v>1670</v>
      </c>
      <c r="B1248" s="218">
        <v>45078</v>
      </c>
    </row>
    <row r="1249" spans="1:2">
      <c r="A1249" t="s">
        <v>1671</v>
      </c>
      <c r="B1249" s="218">
        <v>52935</v>
      </c>
    </row>
    <row r="1250" spans="1:2">
      <c r="A1250" t="s">
        <v>1672</v>
      </c>
      <c r="B1250" s="218">
        <v>34375</v>
      </c>
    </row>
    <row r="1251" spans="1:2">
      <c r="A1251" t="s">
        <v>1673</v>
      </c>
      <c r="B1251" s="218">
        <v>65096</v>
      </c>
    </row>
    <row r="1252" spans="1:2">
      <c r="A1252" t="s">
        <v>1674</v>
      </c>
      <c r="B1252" s="218">
        <v>58300</v>
      </c>
    </row>
    <row r="1253" spans="1:2">
      <c r="A1253" t="s">
        <v>1675</v>
      </c>
      <c r="B1253" s="218">
        <v>44246</v>
      </c>
    </row>
    <row r="1254" spans="1:2">
      <c r="A1254" t="s">
        <v>1676</v>
      </c>
      <c r="B1254" s="218">
        <v>61823</v>
      </c>
    </row>
    <row r="1255" spans="1:2">
      <c r="A1255" t="s">
        <v>1677</v>
      </c>
      <c r="B1255" s="218">
        <v>68048</v>
      </c>
    </row>
    <row r="1256" spans="1:2">
      <c r="A1256" t="s">
        <v>1678</v>
      </c>
      <c r="B1256" s="218">
        <v>52786</v>
      </c>
    </row>
    <row r="1257" spans="1:2">
      <c r="A1257" t="s">
        <v>1679</v>
      </c>
      <c r="B1257" s="218">
        <v>44743</v>
      </c>
    </row>
    <row r="1258" spans="1:2">
      <c r="A1258" t="s">
        <v>1680</v>
      </c>
      <c r="B1258" s="218">
        <v>75795</v>
      </c>
    </row>
    <row r="1259" spans="1:2">
      <c r="A1259" t="s">
        <v>1681</v>
      </c>
      <c r="B1259" s="218">
        <v>62431</v>
      </c>
    </row>
    <row r="1260" spans="1:2">
      <c r="A1260" t="s">
        <v>1682</v>
      </c>
      <c r="B1260" s="218">
        <v>61700</v>
      </c>
    </row>
    <row r="1261" spans="1:2">
      <c r="A1261" t="s">
        <v>1683</v>
      </c>
      <c r="B1261" s="218">
        <v>56382</v>
      </c>
    </row>
    <row r="1262" spans="1:2">
      <c r="A1262" t="s">
        <v>1684</v>
      </c>
      <c r="B1262" s="218">
        <v>44412</v>
      </c>
    </row>
    <row r="1263" spans="1:2">
      <c r="A1263" t="s">
        <v>1685</v>
      </c>
      <c r="B1263" s="218">
        <v>50753</v>
      </c>
    </row>
    <row r="1264" spans="1:2">
      <c r="A1264" t="s">
        <v>1686</v>
      </c>
      <c r="B1264" s="218">
        <v>44816</v>
      </c>
    </row>
    <row r="1265" spans="1:2">
      <c r="A1265" t="s">
        <v>1687</v>
      </c>
      <c r="B1265" s="218">
        <v>50625</v>
      </c>
    </row>
    <row r="1266" spans="1:2">
      <c r="A1266" t="s">
        <v>1688</v>
      </c>
      <c r="B1266" s="218">
        <v>60536</v>
      </c>
    </row>
    <row r="1267" spans="1:2">
      <c r="A1267" t="s">
        <v>1689</v>
      </c>
      <c r="B1267" s="218">
        <v>55774</v>
      </c>
    </row>
    <row r="1268" spans="1:2">
      <c r="A1268" t="s">
        <v>1690</v>
      </c>
      <c r="B1268" s="218">
        <v>55000</v>
      </c>
    </row>
    <row r="1269" spans="1:2">
      <c r="A1269" t="s">
        <v>1691</v>
      </c>
      <c r="B1269" s="218">
        <v>82159</v>
      </c>
    </row>
    <row r="1270" spans="1:2">
      <c r="A1270" t="s">
        <v>1692</v>
      </c>
      <c r="B1270" s="218">
        <v>71023</v>
      </c>
    </row>
    <row r="1271" spans="1:2">
      <c r="A1271" t="s">
        <v>1693</v>
      </c>
      <c r="B1271" s="218">
        <v>105793</v>
      </c>
    </row>
    <row r="1272" spans="1:2">
      <c r="A1272" t="s">
        <v>1694</v>
      </c>
      <c r="B1272" s="218">
        <v>78208</v>
      </c>
    </row>
    <row r="1273" spans="1:2">
      <c r="A1273" t="s">
        <v>1695</v>
      </c>
      <c r="B1273" s="218">
        <v>67011</v>
      </c>
    </row>
    <row r="1274" spans="1:2">
      <c r="A1274" t="s">
        <v>1696</v>
      </c>
      <c r="B1274" s="218">
        <v>88750</v>
      </c>
    </row>
    <row r="1275" spans="1:2">
      <c r="A1275" t="s">
        <v>1697</v>
      </c>
      <c r="B1275" s="218">
        <v>79800</v>
      </c>
    </row>
    <row r="1276" spans="1:2">
      <c r="A1276" t="s">
        <v>1698</v>
      </c>
      <c r="B1276" s="218">
        <v>84130</v>
      </c>
    </row>
    <row r="1277" spans="1:2">
      <c r="A1277" t="s">
        <v>1699</v>
      </c>
      <c r="B1277" s="218">
        <v>137083</v>
      </c>
    </row>
    <row r="1278" spans="1:2">
      <c r="A1278" t="s">
        <v>1700</v>
      </c>
      <c r="B1278" s="218">
        <v>70824</v>
      </c>
    </row>
    <row r="1279" spans="1:2">
      <c r="A1279" t="s">
        <v>1701</v>
      </c>
      <c r="B1279" s="218">
        <v>73500</v>
      </c>
    </row>
    <row r="1280" spans="1:2">
      <c r="A1280" t="s">
        <v>1702</v>
      </c>
      <c r="B1280" s="218">
        <v>73350</v>
      </c>
    </row>
    <row r="1281" spans="1:2">
      <c r="A1281" t="s">
        <v>1703</v>
      </c>
      <c r="B1281" s="218">
        <v>60278</v>
      </c>
    </row>
    <row r="1282" spans="1:2">
      <c r="A1282" t="s">
        <v>1704</v>
      </c>
      <c r="B1282" s="218">
        <v>57930</v>
      </c>
    </row>
    <row r="1283" spans="1:2">
      <c r="A1283" t="s">
        <v>1705</v>
      </c>
      <c r="B1283" s="218">
        <v>74103</v>
      </c>
    </row>
    <row r="1284" spans="1:2">
      <c r="A1284" t="s">
        <v>1706</v>
      </c>
      <c r="B1284" s="218">
        <v>63393</v>
      </c>
    </row>
    <row r="1285" spans="1:2">
      <c r="A1285" t="s">
        <v>1707</v>
      </c>
      <c r="B1285" s="218">
        <v>55102</v>
      </c>
    </row>
    <row r="1286" spans="1:2">
      <c r="A1286" t="s">
        <v>1708</v>
      </c>
      <c r="B1286" s="218">
        <v>47528</v>
      </c>
    </row>
    <row r="1287" spans="1:2">
      <c r="A1287" t="s">
        <v>1709</v>
      </c>
      <c r="B1287" s="218">
        <v>51888</v>
      </c>
    </row>
    <row r="1288" spans="1:2">
      <c r="A1288" t="s">
        <v>1710</v>
      </c>
      <c r="B1288" s="218">
        <v>62337</v>
      </c>
    </row>
    <row r="1289" spans="1:2">
      <c r="A1289" t="s">
        <v>1711</v>
      </c>
      <c r="B1289" s="218">
        <v>118990</v>
      </c>
    </row>
    <row r="1290" spans="1:2">
      <c r="A1290" t="s">
        <v>1712</v>
      </c>
      <c r="B1290" s="218">
        <v>108158</v>
      </c>
    </row>
    <row r="1291" spans="1:2">
      <c r="A1291" t="s">
        <v>1713</v>
      </c>
      <c r="B1291" s="218">
        <v>104709</v>
      </c>
    </row>
    <row r="1292" spans="1:2">
      <c r="A1292" t="s">
        <v>1714</v>
      </c>
      <c r="B1292" s="218">
        <v>75093</v>
      </c>
    </row>
    <row r="1293" spans="1:2">
      <c r="A1293" t="s">
        <v>1715</v>
      </c>
      <c r="B1293" s="218">
        <v>86413</v>
      </c>
    </row>
    <row r="1294" spans="1:2">
      <c r="A1294" t="s">
        <v>1716</v>
      </c>
      <c r="B1294" s="218">
        <v>42262</v>
      </c>
    </row>
    <row r="1295" spans="1:2">
      <c r="A1295" t="s">
        <v>1717</v>
      </c>
      <c r="B1295" s="218">
        <v>49333</v>
      </c>
    </row>
    <row r="1296" spans="1:2">
      <c r="A1296" t="s">
        <v>1718</v>
      </c>
      <c r="B1296" s="218">
        <v>64856</v>
      </c>
    </row>
    <row r="1297" spans="1:2">
      <c r="A1297" t="s">
        <v>1719</v>
      </c>
      <c r="B1297" s="218">
        <v>44633</v>
      </c>
    </row>
    <row r="1298" spans="1:2">
      <c r="A1298" t="s">
        <v>1720</v>
      </c>
      <c r="B1298" s="218">
        <v>26742</v>
      </c>
    </row>
    <row r="1299" spans="1:2">
      <c r="A1299" t="s">
        <v>1721</v>
      </c>
      <c r="B1299" s="217">
        <v>0</v>
      </c>
    </row>
    <row r="1300" spans="1:2">
      <c r="A1300" t="s">
        <v>1722</v>
      </c>
      <c r="B1300" s="218">
        <v>123403</v>
      </c>
    </row>
    <row r="1301" spans="1:2">
      <c r="A1301" t="s">
        <v>1723</v>
      </c>
      <c r="B1301" s="218">
        <v>72311</v>
      </c>
    </row>
    <row r="1302" spans="1:2">
      <c r="A1302" t="s">
        <v>1724</v>
      </c>
      <c r="B1302" s="218">
        <v>85938</v>
      </c>
    </row>
    <row r="1303" spans="1:2">
      <c r="A1303" t="s">
        <v>1725</v>
      </c>
      <c r="B1303" s="218">
        <v>83137</v>
      </c>
    </row>
    <row r="1304" spans="1:2">
      <c r="A1304" t="s">
        <v>1726</v>
      </c>
      <c r="B1304" s="218">
        <v>94773</v>
      </c>
    </row>
    <row r="1305" spans="1:2">
      <c r="A1305" t="s">
        <v>1727</v>
      </c>
      <c r="B1305" s="218">
        <v>101432</v>
      </c>
    </row>
    <row r="1306" spans="1:2">
      <c r="A1306" t="s">
        <v>1728</v>
      </c>
      <c r="B1306" s="218">
        <v>99453</v>
      </c>
    </row>
    <row r="1307" spans="1:2">
      <c r="A1307" t="s">
        <v>1729</v>
      </c>
      <c r="B1307" s="218">
        <v>71401</v>
      </c>
    </row>
    <row r="1308" spans="1:2">
      <c r="A1308" t="s">
        <v>1730</v>
      </c>
      <c r="B1308" s="218">
        <v>70972</v>
      </c>
    </row>
    <row r="1309" spans="1:2">
      <c r="A1309" t="s">
        <v>1731</v>
      </c>
      <c r="B1309" s="217">
        <v>0</v>
      </c>
    </row>
    <row r="1310" spans="1:2">
      <c r="A1310" t="s">
        <v>1732</v>
      </c>
      <c r="B1310" s="217">
        <v>0</v>
      </c>
    </row>
    <row r="1311" spans="1:2">
      <c r="A1311" t="s">
        <v>1733</v>
      </c>
      <c r="B1311" s="218">
        <v>62500</v>
      </c>
    </row>
    <row r="1312" spans="1:2">
      <c r="A1312" t="s">
        <v>1734</v>
      </c>
      <c r="B1312" s="218">
        <v>63315</v>
      </c>
    </row>
    <row r="1313" spans="1:2">
      <c r="A1313" t="s">
        <v>1735</v>
      </c>
      <c r="B1313" s="218">
        <v>79643</v>
      </c>
    </row>
    <row r="1314" spans="1:2">
      <c r="A1314" t="s">
        <v>1736</v>
      </c>
      <c r="B1314" s="218">
        <v>90541</v>
      </c>
    </row>
    <row r="1315" spans="1:2">
      <c r="A1315" t="s">
        <v>1737</v>
      </c>
      <c r="B1315" s="218">
        <v>84810</v>
      </c>
    </row>
    <row r="1316" spans="1:2">
      <c r="A1316" t="s">
        <v>1738</v>
      </c>
      <c r="B1316" s="218">
        <v>48789</v>
      </c>
    </row>
    <row r="1317" spans="1:2">
      <c r="A1317" t="s">
        <v>1739</v>
      </c>
      <c r="B1317" s="218">
        <v>51851</v>
      </c>
    </row>
    <row r="1318" spans="1:2">
      <c r="A1318" t="s">
        <v>1740</v>
      </c>
      <c r="B1318" s="218">
        <v>48204</v>
      </c>
    </row>
    <row r="1319" spans="1:2">
      <c r="A1319" t="s">
        <v>1741</v>
      </c>
      <c r="B1319" s="218">
        <v>46089</v>
      </c>
    </row>
    <row r="1320" spans="1:2">
      <c r="A1320" t="s">
        <v>1742</v>
      </c>
      <c r="B1320" s="218">
        <v>49144</v>
      </c>
    </row>
    <row r="1321" spans="1:2">
      <c r="A1321" t="s">
        <v>1743</v>
      </c>
      <c r="B1321" s="218">
        <v>58482</v>
      </c>
    </row>
    <row r="1322" spans="1:2">
      <c r="A1322" t="s">
        <v>1744</v>
      </c>
      <c r="B1322" s="218">
        <v>74609</v>
      </c>
    </row>
    <row r="1323" spans="1:2">
      <c r="A1323" t="s">
        <v>1745</v>
      </c>
      <c r="B1323" s="218">
        <v>63182</v>
      </c>
    </row>
    <row r="1324" spans="1:2">
      <c r="A1324" t="s">
        <v>1746</v>
      </c>
      <c r="B1324" s="218">
        <v>54730</v>
      </c>
    </row>
    <row r="1325" spans="1:2">
      <c r="A1325" t="s">
        <v>1747</v>
      </c>
      <c r="B1325" s="218">
        <v>47328</v>
      </c>
    </row>
    <row r="1326" spans="1:2">
      <c r="A1326" t="s">
        <v>1748</v>
      </c>
      <c r="B1326" s="218">
        <v>53003</v>
      </c>
    </row>
    <row r="1327" spans="1:2">
      <c r="A1327" t="s">
        <v>1749</v>
      </c>
      <c r="B1327" s="218">
        <v>70288</v>
      </c>
    </row>
    <row r="1328" spans="1:2">
      <c r="A1328" t="s">
        <v>1750</v>
      </c>
      <c r="B1328" s="218">
        <v>69500</v>
      </c>
    </row>
    <row r="1329" spans="1:2">
      <c r="A1329" t="s">
        <v>1751</v>
      </c>
      <c r="B1329" s="218">
        <v>63393</v>
      </c>
    </row>
    <row r="1330" spans="1:2">
      <c r="A1330" t="s">
        <v>1752</v>
      </c>
      <c r="B1330" s="218">
        <v>67250</v>
      </c>
    </row>
    <row r="1331" spans="1:2">
      <c r="A1331" t="s">
        <v>1753</v>
      </c>
      <c r="B1331" s="218">
        <v>67500</v>
      </c>
    </row>
    <row r="1332" spans="1:2">
      <c r="A1332" t="s">
        <v>1754</v>
      </c>
      <c r="B1332" s="218">
        <v>67974</v>
      </c>
    </row>
    <row r="1333" spans="1:2">
      <c r="A1333" t="s">
        <v>1755</v>
      </c>
      <c r="B1333" s="218">
        <v>35101</v>
      </c>
    </row>
    <row r="1334" spans="1:2">
      <c r="A1334" t="s">
        <v>1756</v>
      </c>
      <c r="B1334" s="218">
        <v>48786</v>
      </c>
    </row>
    <row r="1335" spans="1:2">
      <c r="A1335" t="s">
        <v>1757</v>
      </c>
      <c r="B1335" s="218">
        <v>55748</v>
      </c>
    </row>
    <row r="1336" spans="1:2">
      <c r="A1336" t="s">
        <v>1758</v>
      </c>
      <c r="B1336" s="218">
        <v>52269</v>
      </c>
    </row>
    <row r="1337" spans="1:2">
      <c r="A1337" t="s">
        <v>1759</v>
      </c>
      <c r="B1337" s="218">
        <v>56302</v>
      </c>
    </row>
    <row r="1338" spans="1:2">
      <c r="A1338" t="s">
        <v>1760</v>
      </c>
      <c r="B1338" s="218">
        <v>57273</v>
      </c>
    </row>
    <row r="1339" spans="1:2">
      <c r="A1339" t="s">
        <v>1761</v>
      </c>
      <c r="B1339" s="218">
        <v>63672</v>
      </c>
    </row>
    <row r="1340" spans="1:2">
      <c r="A1340" t="s">
        <v>1762</v>
      </c>
      <c r="B1340" s="218">
        <v>62987</v>
      </c>
    </row>
    <row r="1341" spans="1:2">
      <c r="A1341" t="s">
        <v>1763</v>
      </c>
      <c r="B1341" s="218">
        <v>51000</v>
      </c>
    </row>
    <row r="1342" spans="1:2">
      <c r="A1342" t="s">
        <v>1764</v>
      </c>
      <c r="B1342" s="218">
        <v>55789</v>
      </c>
    </row>
    <row r="1343" spans="1:2">
      <c r="A1343" t="s">
        <v>1765</v>
      </c>
      <c r="B1343" s="218">
        <v>62184</v>
      </c>
    </row>
    <row r="1344" spans="1:2">
      <c r="A1344" t="s">
        <v>1766</v>
      </c>
      <c r="B1344" s="218">
        <v>56618</v>
      </c>
    </row>
    <row r="1345" spans="1:2">
      <c r="A1345" t="s">
        <v>1767</v>
      </c>
      <c r="B1345" s="218">
        <v>64289</v>
      </c>
    </row>
    <row r="1346" spans="1:2">
      <c r="A1346" t="s">
        <v>1768</v>
      </c>
      <c r="B1346" s="218">
        <v>54383</v>
      </c>
    </row>
    <row r="1347" spans="1:2">
      <c r="A1347" t="s">
        <v>1769</v>
      </c>
      <c r="B1347" s="218">
        <v>72014</v>
      </c>
    </row>
    <row r="1348" spans="1:2">
      <c r="A1348" t="s">
        <v>1770</v>
      </c>
      <c r="B1348" s="218">
        <v>55717</v>
      </c>
    </row>
    <row r="1349" spans="1:2">
      <c r="A1349" t="s">
        <v>1771</v>
      </c>
      <c r="B1349" s="218">
        <v>51042</v>
      </c>
    </row>
    <row r="1350" spans="1:2">
      <c r="A1350" t="s">
        <v>1772</v>
      </c>
      <c r="B1350" s="218">
        <v>61146</v>
      </c>
    </row>
    <row r="1351" spans="1:2">
      <c r="A1351" t="s">
        <v>1773</v>
      </c>
      <c r="B1351" s="218">
        <v>32604</v>
      </c>
    </row>
    <row r="1352" spans="1:2">
      <c r="A1352" t="s">
        <v>1774</v>
      </c>
      <c r="B1352" s="218">
        <v>41399</v>
      </c>
    </row>
    <row r="1353" spans="1:2">
      <c r="A1353" t="s">
        <v>1775</v>
      </c>
      <c r="B1353" s="218">
        <v>43500</v>
      </c>
    </row>
    <row r="1354" spans="1:2">
      <c r="A1354" t="s">
        <v>1776</v>
      </c>
      <c r="B1354" s="218">
        <v>36268</v>
      </c>
    </row>
    <row r="1355" spans="1:2">
      <c r="A1355" t="s">
        <v>1777</v>
      </c>
      <c r="B1355" s="218">
        <v>15417</v>
      </c>
    </row>
    <row r="1356" spans="1:2">
      <c r="A1356" t="s">
        <v>1778</v>
      </c>
      <c r="B1356" s="218">
        <v>38380</v>
      </c>
    </row>
    <row r="1357" spans="1:2">
      <c r="A1357" t="s">
        <v>1779</v>
      </c>
      <c r="B1357" s="218">
        <v>31601</v>
      </c>
    </row>
    <row r="1358" spans="1:2">
      <c r="A1358" t="s">
        <v>1780</v>
      </c>
      <c r="B1358" s="218">
        <v>55382</v>
      </c>
    </row>
    <row r="1359" spans="1:2">
      <c r="A1359" t="s">
        <v>1781</v>
      </c>
      <c r="B1359" s="218">
        <v>88750</v>
      </c>
    </row>
    <row r="1360" spans="1:2">
      <c r="A1360" t="s">
        <v>1782</v>
      </c>
      <c r="B1360" s="218">
        <v>51125</v>
      </c>
    </row>
    <row r="1361" spans="1:2">
      <c r="A1361" t="s">
        <v>1783</v>
      </c>
      <c r="B1361" s="218">
        <v>46529</v>
      </c>
    </row>
    <row r="1362" spans="1:2">
      <c r="A1362" t="s">
        <v>1784</v>
      </c>
      <c r="B1362" s="218">
        <v>39330</v>
      </c>
    </row>
    <row r="1363" spans="1:2">
      <c r="A1363" t="s">
        <v>1785</v>
      </c>
      <c r="B1363" s="218">
        <v>91471</v>
      </c>
    </row>
    <row r="1364" spans="1:2">
      <c r="A1364" t="s">
        <v>1786</v>
      </c>
      <c r="B1364" s="218">
        <v>50000</v>
      </c>
    </row>
    <row r="1365" spans="1:2">
      <c r="A1365" t="s">
        <v>1787</v>
      </c>
      <c r="B1365" s="218">
        <v>44526</v>
      </c>
    </row>
    <row r="1366" spans="1:2">
      <c r="A1366" t="s">
        <v>1788</v>
      </c>
      <c r="B1366" s="218">
        <v>35438</v>
      </c>
    </row>
    <row r="1367" spans="1:2">
      <c r="A1367" t="s">
        <v>1789</v>
      </c>
      <c r="B1367" s="218">
        <v>95089</v>
      </c>
    </row>
    <row r="1368" spans="1:2">
      <c r="A1368" t="s">
        <v>1790</v>
      </c>
      <c r="B1368" s="218">
        <v>21932</v>
      </c>
    </row>
    <row r="1369" spans="1:2">
      <c r="A1369" t="s">
        <v>1791</v>
      </c>
      <c r="B1369" s="218">
        <v>36573</v>
      </c>
    </row>
    <row r="1370" spans="1:2">
      <c r="A1370" t="s">
        <v>1792</v>
      </c>
      <c r="B1370" s="218">
        <v>15678</v>
      </c>
    </row>
    <row r="1371" spans="1:2">
      <c r="A1371" t="s">
        <v>1793</v>
      </c>
      <c r="B1371" s="218">
        <v>19511</v>
      </c>
    </row>
    <row r="1372" spans="1:2">
      <c r="A1372" t="s">
        <v>1794</v>
      </c>
      <c r="B1372" s="218">
        <v>40617</v>
      </c>
    </row>
    <row r="1373" spans="1:2">
      <c r="A1373" t="s">
        <v>1795</v>
      </c>
      <c r="B1373" s="218">
        <v>13369</v>
      </c>
    </row>
    <row r="1374" spans="1:2">
      <c r="A1374" t="s">
        <v>1796</v>
      </c>
      <c r="B1374" s="218">
        <v>31742</v>
      </c>
    </row>
    <row r="1375" spans="1:2">
      <c r="A1375" t="s">
        <v>1797</v>
      </c>
      <c r="B1375" s="218">
        <v>46827</v>
      </c>
    </row>
    <row r="1376" spans="1:2">
      <c r="A1376" t="s">
        <v>1798</v>
      </c>
      <c r="B1376" s="218">
        <v>39101</v>
      </c>
    </row>
    <row r="1377" spans="1:2">
      <c r="A1377" t="s">
        <v>1799</v>
      </c>
      <c r="B1377" s="218">
        <v>25125</v>
      </c>
    </row>
    <row r="1378" spans="1:2">
      <c r="A1378" t="s">
        <v>1800</v>
      </c>
      <c r="B1378" s="218">
        <v>42692</v>
      </c>
    </row>
    <row r="1379" spans="1:2">
      <c r="A1379" t="s">
        <v>1801</v>
      </c>
      <c r="B1379" s="218">
        <v>39792</v>
      </c>
    </row>
    <row r="1380" spans="1:2">
      <c r="A1380" t="s">
        <v>1802</v>
      </c>
      <c r="B1380" s="218">
        <v>27305</v>
      </c>
    </row>
    <row r="1381" spans="1:2">
      <c r="A1381" t="s">
        <v>1803</v>
      </c>
      <c r="B1381" s="218">
        <v>37464</v>
      </c>
    </row>
    <row r="1382" spans="1:2">
      <c r="A1382" t="s">
        <v>1804</v>
      </c>
      <c r="B1382" s="218">
        <v>66435</v>
      </c>
    </row>
    <row r="1383" spans="1:2">
      <c r="A1383" t="s">
        <v>1805</v>
      </c>
      <c r="B1383" s="218">
        <v>50403</v>
      </c>
    </row>
    <row r="1384" spans="1:2">
      <c r="A1384" t="s">
        <v>1806</v>
      </c>
      <c r="B1384" s="218">
        <v>39904</v>
      </c>
    </row>
    <row r="1385" spans="1:2">
      <c r="A1385" t="s">
        <v>1807</v>
      </c>
      <c r="B1385" s="218">
        <v>40903</v>
      </c>
    </row>
    <row r="1386" spans="1:2">
      <c r="A1386" t="s">
        <v>1808</v>
      </c>
      <c r="B1386" s="218">
        <v>40779</v>
      </c>
    </row>
    <row r="1387" spans="1:2">
      <c r="A1387" t="s">
        <v>1809</v>
      </c>
      <c r="B1387" s="218">
        <v>43613</v>
      </c>
    </row>
    <row r="1388" spans="1:2">
      <c r="A1388" t="s">
        <v>1810</v>
      </c>
      <c r="B1388" s="218">
        <v>33750</v>
      </c>
    </row>
    <row r="1389" spans="1:2">
      <c r="A1389" t="s">
        <v>1811</v>
      </c>
      <c r="B1389" s="218">
        <v>40166</v>
      </c>
    </row>
    <row r="1390" spans="1:2">
      <c r="A1390" t="s">
        <v>1812</v>
      </c>
      <c r="B1390" s="218">
        <v>52042</v>
      </c>
    </row>
    <row r="1391" spans="1:2">
      <c r="A1391" t="s">
        <v>1813</v>
      </c>
      <c r="B1391" s="218">
        <v>58554</v>
      </c>
    </row>
    <row r="1392" spans="1:2">
      <c r="A1392" t="s">
        <v>1814</v>
      </c>
      <c r="B1392" s="218">
        <v>40123</v>
      </c>
    </row>
    <row r="1393" spans="1:2">
      <c r="A1393" t="s">
        <v>1815</v>
      </c>
      <c r="B1393" s="218">
        <v>58875</v>
      </c>
    </row>
    <row r="1394" spans="1:2">
      <c r="A1394" t="s">
        <v>1816</v>
      </c>
      <c r="B1394" s="218">
        <v>64636</v>
      </c>
    </row>
    <row r="1395" spans="1:2">
      <c r="A1395" t="s">
        <v>1817</v>
      </c>
      <c r="B1395" s="218">
        <v>62305</v>
      </c>
    </row>
    <row r="1396" spans="1:2">
      <c r="A1396" t="s">
        <v>1818</v>
      </c>
      <c r="B1396" s="218">
        <v>90096</v>
      </c>
    </row>
    <row r="1397" spans="1:2">
      <c r="A1397" t="s">
        <v>1819</v>
      </c>
      <c r="B1397" s="218">
        <v>79632</v>
      </c>
    </row>
    <row r="1398" spans="1:2">
      <c r="A1398" t="s">
        <v>1820</v>
      </c>
      <c r="B1398" s="218">
        <v>76429</v>
      </c>
    </row>
    <row r="1399" spans="1:2">
      <c r="A1399" t="s">
        <v>1821</v>
      </c>
      <c r="B1399" s="218">
        <v>43250</v>
      </c>
    </row>
    <row r="1400" spans="1:2">
      <c r="A1400" t="s">
        <v>1822</v>
      </c>
      <c r="B1400" s="218">
        <v>36923</v>
      </c>
    </row>
    <row r="1401" spans="1:2">
      <c r="A1401" t="s">
        <v>1823</v>
      </c>
      <c r="B1401" s="218">
        <v>55616</v>
      </c>
    </row>
    <row r="1402" spans="1:2">
      <c r="A1402" t="s">
        <v>1824</v>
      </c>
      <c r="B1402" s="218">
        <v>126146</v>
      </c>
    </row>
    <row r="1403" spans="1:2">
      <c r="A1403" t="s">
        <v>1825</v>
      </c>
      <c r="B1403" s="218">
        <v>83576</v>
      </c>
    </row>
    <row r="1404" spans="1:2">
      <c r="A1404" t="s">
        <v>1826</v>
      </c>
      <c r="B1404" s="218">
        <v>103627</v>
      </c>
    </row>
    <row r="1405" spans="1:2">
      <c r="A1405" t="s">
        <v>1827</v>
      </c>
      <c r="B1405" s="218">
        <v>64709</v>
      </c>
    </row>
    <row r="1406" spans="1:2">
      <c r="A1406" t="s">
        <v>1828</v>
      </c>
      <c r="B1406" s="218">
        <v>89402</v>
      </c>
    </row>
    <row r="1407" spans="1:2">
      <c r="A1407" t="s">
        <v>1829</v>
      </c>
      <c r="B1407" s="218">
        <v>41890</v>
      </c>
    </row>
    <row r="1408" spans="1:2">
      <c r="A1408" t="s">
        <v>1830</v>
      </c>
      <c r="B1408" s="218">
        <v>45179</v>
      </c>
    </row>
    <row r="1409" spans="1:2">
      <c r="A1409" t="s">
        <v>1831</v>
      </c>
      <c r="B1409" s="218">
        <v>104875</v>
      </c>
    </row>
    <row r="1410" spans="1:2">
      <c r="A1410" t="s">
        <v>1832</v>
      </c>
      <c r="B1410" s="218">
        <v>121937</v>
      </c>
    </row>
    <row r="1411" spans="1:2">
      <c r="A1411" t="s">
        <v>1833</v>
      </c>
      <c r="B1411" s="218">
        <v>101927</v>
      </c>
    </row>
    <row r="1412" spans="1:2">
      <c r="A1412" t="s">
        <v>1834</v>
      </c>
      <c r="B1412" s="218">
        <v>89583</v>
      </c>
    </row>
    <row r="1413" spans="1:2">
      <c r="A1413" t="s">
        <v>1835</v>
      </c>
      <c r="B1413" s="218">
        <v>32616</v>
      </c>
    </row>
    <row r="1414" spans="1:2">
      <c r="A1414" t="s">
        <v>1836</v>
      </c>
      <c r="B1414" s="218">
        <v>70357</v>
      </c>
    </row>
    <row r="1415" spans="1:2">
      <c r="A1415" t="s">
        <v>1837</v>
      </c>
      <c r="B1415" s="218">
        <v>83333</v>
      </c>
    </row>
    <row r="1416" spans="1:2">
      <c r="A1416" t="s">
        <v>1838</v>
      </c>
      <c r="B1416" s="218">
        <v>54225</v>
      </c>
    </row>
    <row r="1417" spans="1:2">
      <c r="A1417" t="s">
        <v>1839</v>
      </c>
      <c r="B1417" s="218">
        <v>39066</v>
      </c>
    </row>
    <row r="1418" spans="1:2">
      <c r="A1418" t="s">
        <v>1840</v>
      </c>
      <c r="B1418" s="218">
        <v>60022</v>
      </c>
    </row>
    <row r="1419" spans="1:2">
      <c r="A1419" t="s">
        <v>1841</v>
      </c>
      <c r="B1419" s="218">
        <v>93068</v>
      </c>
    </row>
    <row r="1420" spans="1:2">
      <c r="A1420" t="s">
        <v>1842</v>
      </c>
      <c r="B1420" s="218">
        <v>93603</v>
      </c>
    </row>
    <row r="1421" spans="1:2">
      <c r="A1421" t="s">
        <v>1843</v>
      </c>
      <c r="B1421" s="218">
        <v>69435</v>
      </c>
    </row>
    <row r="1422" spans="1:2">
      <c r="A1422" t="s">
        <v>1844</v>
      </c>
      <c r="B1422" s="218">
        <v>41092</v>
      </c>
    </row>
    <row r="1423" spans="1:2">
      <c r="A1423" t="s">
        <v>1845</v>
      </c>
      <c r="B1423" s="218">
        <v>64507</v>
      </c>
    </row>
    <row r="1424" spans="1:2">
      <c r="A1424" t="s">
        <v>1846</v>
      </c>
      <c r="B1424" s="218">
        <v>77868</v>
      </c>
    </row>
    <row r="1425" spans="1:2">
      <c r="A1425" t="s">
        <v>1847</v>
      </c>
      <c r="B1425" s="218">
        <v>62382</v>
      </c>
    </row>
    <row r="1426" spans="1:2">
      <c r="A1426" t="s">
        <v>1848</v>
      </c>
      <c r="B1426" s="218">
        <v>69647</v>
      </c>
    </row>
    <row r="1427" spans="1:2">
      <c r="A1427" t="s">
        <v>1849</v>
      </c>
      <c r="B1427" s="218">
        <v>56344</v>
      </c>
    </row>
    <row r="1428" spans="1:2">
      <c r="A1428" t="s">
        <v>1850</v>
      </c>
      <c r="B1428" s="218">
        <v>60455</v>
      </c>
    </row>
    <row r="1429" spans="1:2">
      <c r="A1429" t="s">
        <v>1851</v>
      </c>
      <c r="B1429" s="218">
        <v>61387</v>
      </c>
    </row>
    <row r="1430" spans="1:2">
      <c r="A1430" t="s">
        <v>1852</v>
      </c>
      <c r="B1430" s="218">
        <v>58977</v>
      </c>
    </row>
    <row r="1431" spans="1:2">
      <c r="A1431" t="s">
        <v>1853</v>
      </c>
      <c r="B1431" s="218">
        <v>63104</v>
      </c>
    </row>
    <row r="1432" spans="1:2">
      <c r="A1432" t="s">
        <v>1854</v>
      </c>
      <c r="B1432" s="218">
        <v>89594</v>
      </c>
    </row>
    <row r="1433" spans="1:2">
      <c r="A1433" t="s">
        <v>1855</v>
      </c>
      <c r="B1433" s="218">
        <v>66740</v>
      </c>
    </row>
    <row r="1434" spans="1:2">
      <c r="A1434" t="s">
        <v>1856</v>
      </c>
      <c r="B1434" s="218">
        <v>26051</v>
      </c>
    </row>
    <row r="1435" spans="1:2">
      <c r="A1435" t="s">
        <v>1857</v>
      </c>
      <c r="B1435" s="218">
        <v>53561</v>
      </c>
    </row>
    <row r="1436" spans="1:2">
      <c r="A1436" t="s">
        <v>1858</v>
      </c>
      <c r="B1436" s="218">
        <v>42585</v>
      </c>
    </row>
    <row r="1437" spans="1:2">
      <c r="A1437" t="s">
        <v>1859</v>
      </c>
      <c r="B1437" s="218">
        <v>53393</v>
      </c>
    </row>
    <row r="1438" spans="1:2">
      <c r="A1438" t="s">
        <v>1860</v>
      </c>
      <c r="B1438" s="218">
        <v>64464</v>
      </c>
    </row>
    <row r="1439" spans="1:2">
      <c r="A1439" t="s">
        <v>1861</v>
      </c>
      <c r="B1439" s="218">
        <v>67618</v>
      </c>
    </row>
    <row r="1440" spans="1:2">
      <c r="A1440" t="s">
        <v>1862</v>
      </c>
      <c r="B1440" s="218">
        <v>70759</v>
      </c>
    </row>
    <row r="1441" spans="1:2">
      <c r="A1441" t="s">
        <v>1863</v>
      </c>
      <c r="B1441" s="218">
        <v>49071</v>
      </c>
    </row>
    <row r="1442" spans="1:2">
      <c r="A1442" t="s">
        <v>1864</v>
      </c>
      <c r="B1442" s="218">
        <v>57313</v>
      </c>
    </row>
    <row r="1443" spans="1:2">
      <c r="A1443" t="s">
        <v>1865</v>
      </c>
      <c r="B1443" s="218">
        <v>38299</v>
      </c>
    </row>
    <row r="1444" spans="1:2">
      <c r="A1444" t="s">
        <v>1866</v>
      </c>
      <c r="B1444" s="218">
        <v>46613</v>
      </c>
    </row>
    <row r="1445" spans="1:2">
      <c r="A1445" t="s">
        <v>1867</v>
      </c>
      <c r="B1445" s="218">
        <v>63613</v>
      </c>
    </row>
    <row r="1446" spans="1:2">
      <c r="A1446" t="s">
        <v>1868</v>
      </c>
      <c r="B1446" s="218">
        <v>72857</v>
      </c>
    </row>
    <row r="1447" spans="1:2">
      <c r="A1447" t="s">
        <v>1869</v>
      </c>
      <c r="B1447" s="218">
        <v>71182</v>
      </c>
    </row>
    <row r="1448" spans="1:2">
      <c r="A1448" t="s">
        <v>1870</v>
      </c>
      <c r="B1448" s="218">
        <v>81797</v>
      </c>
    </row>
    <row r="1449" spans="1:2">
      <c r="A1449" t="s">
        <v>1871</v>
      </c>
      <c r="B1449" s="218">
        <v>60385</v>
      </c>
    </row>
    <row r="1450" spans="1:2">
      <c r="A1450" t="s">
        <v>1872</v>
      </c>
      <c r="B1450" s="218">
        <v>57065</v>
      </c>
    </row>
    <row r="1451" spans="1:2">
      <c r="A1451" t="s">
        <v>1873</v>
      </c>
      <c r="B1451" s="218">
        <v>49545</v>
      </c>
    </row>
    <row r="1452" spans="1:2">
      <c r="A1452" t="s">
        <v>1874</v>
      </c>
      <c r="B1452" s="218">
        <v>53464</v>
      </c>
    </row>
    <row r="1453" spans="1:2">
      <c r="A1453" t="s">
        <v>1875</v>
      </c>
      <c r="B1453" s="218">
        <v>44116</v>
      </c>
    </row>
    <row r="1454" spans="1:2">
      <c r="A1454" t="s">
        <v>1876</v>
      </c>
      <c r="B1454" s="218">
        <v>58661</v>
      </c>
    </row>
    <row r="1455" spans="1:2">
      <c r="A1455" t="s">
        <v>1877</v>
      </c>
      <c r="B1455" s="218">
        <v>60875</v>
      </c>
    </row>
    <row r="1456" spans="1:2">
      <c r="A1456" t="s">
        <v>1878</v>
      </c>
      <c r="B1456" s="218">
        <v>40923</v>
      </c>
    </row>
    <row r="1457" spans="1:2">
      <c r="A1457" t="s">
        <v>1879</v>
      </c>
      <c r="B1457" s="218">
        <v>63008</v>
      </c>
    </row>
    <row r="1458" spans="1:2">
      <c r="A1458" t="s">
        <v>1880</v>
      </c>
      <c r="B1458" s="218">
        <v>38240</v>
      </c>
    </row>
    <row r="1459" spans="1:2">
      <c r="A1459" t="s">
        <v>1881</v>
      </c>
      <c r="B1459" s="218">
        <v>53880</v>
      </c>
    </row>
    <row r="1460" spans="1:2">
      <c r="A1460" t="s">
        <v>1882</v>
      </c>
      <c r="B1460" s="218">
        <v>47358</v>
      </c>
    </row>
    <row r="1461" spans="1:2">
      <c r="A1461" t="s">
        <v>1883</v>
      </c>
      <c r="B1461" s="218">
        <v>51845</v>
      </c>
    </row>
    <row r="1462" spans="1:2">
      <c r="A1462" t="s">
        <v>1884</v>
      </c>
      <c r="B1462" s="218">
        <v>66272</v>
      </c>
    </row>
    <row r="1463" spans="1:2">
      <c r="A1463" t="s">
        <v>1885</v>
      </c>
      <c r="B1463" s="218">
        <v>53950</v>
      </c>
    </row>
    <row r="1464" spans="1:2">
      <c r="A1464" t="s">
        <v>1886</v>
      </c>
      <c r="B1464" s="218">
        <v>83484</v>
      </c>
    </row>
    <row r="1465" spans="1:2">
      <c r="A1465" t="s">
        <v>1887</v>
      </c>
      <c r="B1465" s="218">
        <v>62500</v>
      </c>
    </row>
    <row r="1466" spans="1:2">
      <c r="A1466" t="s">
        <v>1888</v>
      </c>
      <c r="B1466" s="218">
        <v>46008</v>
      </c>
    </row>
    <row r="1467" spans="1:2">
      <c r="A1467" t="s">
        <v>1889</v>
      </c>
      <c r="B1467" s="218">
        <v>59205</v>
      </c>
    </row>
    <row r="1468" spans="1:2">
      <c r="A1468" t="s">
        <v>1890</v>
      </c>
      <c r="B1468" s="218">
        <v>58795</v>
      </c>
    </row>
    <row r="1469" spans="1:2">
      <c r="A1469" t="s">
        <v>1891</v>
      </c>
      <c r="B1469" s="218">
        <v>63378</v>
      </c>
    </row>
    <row r="1470" spans="1:2">
      <c r="A1470" t="s">
        <v>1892</v>
      </c>
      <c r="B1470" s="218">
        <v>45652</v>
      </c>
    </row>
    <row r="1471" spans="1:2">
      <c r="A1471" t="s">
        <v>1893</v>
      </c>
      <c r="B1471" s="218">
        <v>45208</v>
      </c>
    </row>
    <row r="1472" spans="1:2">
      <c r="A1472" t="s">
        <v>1894</v>
      </c>
      <c r="B1472" s="218">
        <v>66250</v>
      </c>
    </row>
    <row r="1473" spans="1:2">
      <c r="A1473" t="s">
        <v>1895</v>
      </c>
      <c r="B1473" s="218">
        <v>42857</v>
      </c>
    </row>
    <row r="1474" spans="1:2">
      <c r="A1474" t="s">
        <v>1896</v>
      </c>
      <c r="B1474" s="218">
        <v>46661</v>
      </c>
    </row>
    <row r="1475" spans="1:2">
      <c r="A1475" t="s">
        <v>1897</v>
      </c>
      <c r="B1475" s="218">
        <v>53500</v>
      </c>
    </row>
    <row r="1476" spans="1:2">
      <c r="A1476" t="s">
        <v>1898</v>
      </c>
      <c r="B1476" s="218">
        <v>42138</v>
      </c>
    </row>
    <row r="1477" spans="1:2">
      <c r="A1477" t="s">
        <v>1899</v>
      </c>
      <c r="B1477" s="218">
        <v>66500</v>
      </c>
    </row>
    <row r="1478" spans="1:2">
      <c r="A1478" t="s">
        <v>1900</v>
      </c>
      <c r="B1478" s="218">
        <v>52667</v>
      </c>
    </row>
    <row r="1479" spans="1:2">
      <c r="A1479" t="s">
        <v>1901</v>
      </c>
      <c r="B1479" s="218">
        <v>62847</v>
      </c>
    </row>
    <row r="1480" spans="1:2">
      <c r="A1480" t="s">
        <v>1902</v>
      </c>
      <c r="B1480" s="218">
        <v>41968</v>
      </c>
    </row>
    <row r="1481" spans="1:2">
      <c r="A1481" t="s">
        <v>1903</v>
      </c>
      <c r="B1481" s="218">
        <v>36910</v>
      </c>
    </row>
    <row r="1482" spans="1:2">
      <c r="A1482" t="s">
        <v>1904</v>
      </c>
      <c r="B1482" s="218">
        <v>41063</v>
      </c>
    </row>
    <row r="1483" spans="1:2">
      <c r="A1483" t="s">
        <v>1905</v>
      </c>
      <c r="B1483" s="218">
        <v>41387</v>
      </c>
    </row>
    <row r="1484" spans="1:2">
      <c r="A1484" t="s">
        <v>1906</v>
      </c>
      <c r="B1484" s="218">
        <v>26771</v>
      </c>
    </row>
    <row r="1485" spans="1:2">
      <c r="A1485" t="s">
        <v>1907</v>
      </c>
      <c r="B1485" s="218">
        <v>38019</v>
      </c>
    </row>
    <row r="1486" spans="1:2">
      <c r="A1486" t="s">
        <v>1908</v>
      </c>
      <c r="B1486" s="218">
        <v>41813</v>
      </c>
    </row>
    <row r="1487" spans="1:2">
      <c r="A1487" t="s">
        <v>1909</v>
      </c>
      <c r="B1487" s="218">
        <v>85045</v>
      </c>
    </row>
    <row r="1488" spans="1:2">
      <c r="A1488" t="s">
        <v>1910</v>
      </c>
      <c r="B1488" s="218">
        <v>50982</v>
      </c>
    </row>
    <row r="1489" spans="1:2">
      <c r="A1489" t="s">
        <v>1911</v>
      </c>
      <c r="B1489" s="218">
        <v>38630</v>
      </c>
    </row>
    <row r="1490" spans="1:2">
      <c r="A1490" t="s">
        <v>1912</v>
      </c>
      <c r="B1490" s="218">
        <v>53465</v>
      </c>
    </row>
    <row r="1491" spans="1:2">
      <c r="A1491" t="s">
        <v>1913</v>
      </c>
      <c r="B1491" s="218">
        <v>47614</v>
      </c>
    </row>
    <row r="1492" spans="1:2">
      <c r="A1492" t="s">
        <v>1914</v>
      </c>
      <c r="B1492" s="218">
        <v>41711</v>
      </c>
    </row>
    <row r="1493" spans="1:2">
      <c r="A1493" t="s">
        <v>1915</v>
      </c>
      <c r="B1493" s="218">
        <v>60521</v>
      </c>
    </row>
    <row r="1494" spans="1:2">
      <c r="A1494" t="s">
        <v>1916</v>
      </c>
      <c r="B1494" s="218">
        <v>110898</v>
      </c>
    </row>
    <row r="1495" spans="1:2">
      <c r="A1495" t="s">
        <v>1917</v>
      </c>
      <c r="B1495" s="218">
        <v>51685</v>
      </c>
    </row>
    <row r="1496" spans="1:2">
      <c r="A1496" t="s">
        <v>1918</v>
      </c>
      <c r="B1496" s="218">
        <v>91250</v>
      </c>
    </row>
    <row r="1497" spans="1:2">
      <c r="A1497" t="s">
        <v>1919</v>
      </c>
      <c r="B1497" s="218">
        <v>31053</v>
      </c>
    </row>
    <row r="1498" spans="1:2">
      <c r="A1498" t="s">
        <v>1920</v>
      </c>
      <c r="B1498" s="218">
        <v>45526</v>
      </c>
    </row>
    <row r="1499" spans="1:2">
      <c r="A1499" t="s">
        <v>1921</v>
      </c>
      <c r="B1499" s="218">
        <v>40179</v>
      </c>
    </row>
    <row r="1500" spans="1:2">
      <c r="A1500" t="s">
        <v>1922</v>
      </c>
      <c r="B1500" s="218">
        <v>67679</v>
      </c>
    </row>
    <row r="1501" spans="1:2">
      <c r="A1501" t="s">
        <v>1923</v>
      </c>
      <c r="B1501" s="218">
        <v>47019</v>
      </c>
    </row>
    <row r="1502" spans="1:2">
      <c r="A1502" t="s">
        <v>1924</v>
      </c>
      <c r="B1502" s="218">
        <v>96786</v>
      </c>
    </row>
    <row r="1503" spans="1:2">
      <c r="A1503" t="s">
        <v>1925</v>
      </c>
      <c r="B1503" s="218">
        <v>69703</v>
      </c>
    </row>
    <row r="1504" spans="1:2">
      <c r="A1504" t="s">
        <v>1926</v>
      </c>
      <c r="B1504" s="218">
        <v>18969</v>
      </c>
    </row>
    <row r="1505" spans="1:2">
      <c r="A1505" t="s">
        <v>1927</v>
      </c>
      <c r="B1505" s="218">
        <v>14643</v>
      </c>
    </row>
    <row r="1506" spans="1:2">
      <c r="A1506" t="s">
        <v>1928</v>
      </c>
      <c r="B1506" s="218">
        <v>9992</v>
      </c>
    </row>
    <row r="1507" spans="1:2">
      <c r="A1507" t="s">
        <v>1929</v>
      </c>
      <c r="B1507" s="218">
        <v>80357</v>
      </c>
    </row>
    <row r="1508" spans="1:2">
      <c r="A1508" t="s">
        <v>1930</v>
      </c>
      <c r="B1508" s="218">
        <v>77246</v>
      </c>
    </row>
    <row r="1509" spans="1:2">
      <c r="A1509" t="s">
        <v>1931</v>
      </c>
      <c r="B1509" s="218">
        <v>60793</v>
      </c>
    </row>
    <row r="1510" spans="1:2">
      <c r="A1510" t="s">
        <v>1932</v>
      </c>
      <c r="B1510" s="218">
        <v>40694</v>
      </c>
    </row>
    <row r="1511" spans="1:2">
      <c r="A1511" t="s">
        <v>1933</v>
      </c>
      <c r="B1511" s="218">
        <v>117577</v>
      </c>
    </row>
    <row r="1512" spans="1:2">
      <c r="A1512" t="s">
        <v>1934</v>
      </c>
      <c r="B1512" s="218">
        <v>30283</v>
      </c>
    </row>
    <row r="1513" spans="1:2">
      <c r="A1513" t="s">
        <v>1935</v>
      </c>
      <c r="B1513" s="218">
        <v>56090</v>
      </c>
    </row>
    <row r="1514" spans="1:2">
      <c r="A1514" t="s">
        <v>1936</v>
      </c>
      <c r="B1514" s="217">
        <v>0</v>
      </c>
    </row>
    <row r="1515" spans="1:2">
      <c r="A1515" t="s">
        <v>1937</v>
      </c>
      <c r="B1515" s="217">
        <v>0</v>
      </c>
    </row>
    <row r="1516" spans="1:2">
      <c r="A1516" t="s">
        <v>1938</v>
      </c>
      <c r="B1516" s="218">
        <v>90094</v>
      </c>
    </row>
    <row r="1517" spans="1:2">
      <c r="A1517" t="s">
        <v>1939</v>
      </c>
      <c r="B1517" s="218">
        <v>91844</v>
      </c>
    </row>
    <row r="1518" spans="1:2">
      <c r="A1518" t="s">
        <v>1940</v>
      </c>
      <c r="B1518" s="218">
        <v>72601</v>
      </c>
    </row>
    <row r="1519" spans="1:2">
      <c r="A1519" t="s">
        <v>1941</v>
      </c>
      <c r="B1519" s="218">
        <v>75475</v>
      </c>
    </row>
    <row r="1520" spans="1:2">
      <c r="A1520" t="s">
        <v>1942</v>
      </c>
      <c r="B1520" s="218">
        <v>64274</v>
      </c>
    </row>
    <row r="1521" spans="1:2">
      <c r="A1521" t="s">
        <v>1943</v>
      </c>
      <c r="B1521" s="218">
        <v>65043</v>
      </c>
    </row>
    <row r="1522" spans="1:2">
      <c r="A1522" t="s">
        <v>1944</v>
      </c>
      <c r="B1522" s="218">
        <v>45962</v>
      </c>
    </row>
    <row r="1523" spans="1:2">
      <c r="A1523" t="s">
        <v>1945</v>
      </c>
      <c r="B1523" s="218">
        <v>15918</v>
      </c>
    </row>
    <row r="1524" spans="1:2">
      <c r="A1524" t="s">
        <v>1946</v>
      </c>
      <c r="B1524" s="218">
        <v>66806</v>
      </c>
    </row>
    <row r="1525" spans="1:2">
      <c r="A1525" t="s">
        <v>1947</v>
      </c>
      <c r="B1525" s="218">
        <v>82649</v>
      </c>
    </row>
    <row r="1526" spans="1:2">
      <c r="A1526" t="s">
        <v>1948</v>
      </c>
      <c r="B1526" s="218">
        <v>82500</v>
      </c>
    </row>
    <row r="1527" spans="1:2">
      <c r="A1527" t="s">
        <v>1949</v>
      </c>
      <c r="B1527" s="218">
        <v>63433</v>
      </c>
    </row>
    <row r="1528" spans="1:2">
      <c r="A1528" t="s">
        <v>1950</v>
      </c>
      <c r="B1528" s="218">
        <v>48469</v>
      </c>
    </row>
    <row r="1529" spans="1:2">
      <c r="A1529" t="s">
        <v>1951</v>
      </c>
      <c r="B1529" s="218">
        <v>54972</v>
      </c>
    </row>
    <row r="1530" spans="1:2">
      <c r="A1530" t="s">
        <v>1952</v>
      </c>
      <c r="B1530" s="218">
        <v>55789</v>
      </c>
    </row>
    <row r="1531" spans="1:2">
      <c r="A1531" t="s">
        <v>1953</v>
      </c>
      <c r="B1531" s="218">
        <v>44926</v>
      </c>
    </row>
    <row r="1532" spans="1:2">
      <c r="A1532" t="s">
        <v>1954</v>
      </c>
      <c r="B1532" s="218">
        <v>76875</v>
      </c>
    </row>
    <row r="1533" spans="1:2">
      <c r="A1533" t="s">
        <v>1955</v>
      </c>
      <c r="B1533" s="218">
        <v>46236</v>
      </c>
    </row>
    <row r="1534" spans="1:2">
      <c r="A1534" t="s">
        <v>1956</v>
      </c>
      <c r="B1534" s="218">
        <v>51797</v>
      </c>
    </row>
    <row r="1535" spans="1:2">
      <c r="A1535" t="s">
        <v>1957</v>
      </c>
      <c r="B1535" s="218">
        <v>37212</v>
      </c>
    </row>
    <row r="1536" spans="1:2">
      <c r="A1536" t="s">
        <v>1958</v>
      </c>
      <c r="B1536" s="218">
        <v>66339</v>
      </c>
    </row>
    <row r="1537" spans="1:2">
      <c r="A1537" t="s">
        <v>1959</v>
      </c>
      <c r="B1537" s="218">
        <v>57055</v>
      </c>
    </row>
    <row r="1538" spans="1:2">
      <c r="A1538" t="s">
        <v>1960</v>
      </c>
      <c r="B1538" s="218">
        <v>61131</v>
      </c>
    </row>
    <row r="1539" spans="1:2">
      <c r="A1539" t="s">
        <v>1961</v>
      </c>
      <c r="B1539" s="218">
        <v>53464</v>
      </c>
    </row>
    <row r="1540" spans="1:2">
      <c r="A1540" t="s">
        <v>1962</v>
      </c>
      <c r="B1540" s="218">
        <v>46105</v>
      </c>
    </row>
    <row r="1541" spans="1:2">
      <c r="A1541" t="s">
        <v>1963</v>
      </c>
      <c r="B1541" s="218">
        <v>37632</v>
      </c>
    </row>
    <row r="1542" spans="1:2">
      <c r="A1542" t="s">
        <v>1964</v>
      </c>
      <c r="B1542" s="218">
        <v>29784</v>
      </c>
    </row>
    <row r="1543" spans="1:2">
      <c r="A1543" t="s">
        <v>1965</v>
      </c>
      <c r="B1543" s="218">
        <v>26500</v>
      </c>
    </row>
    <row r="1544" spans="1:2">
      <c r="A1544" t="s">
        <v>1966</v>
      </c>
      <c r="B1544" s="218">
        <v>33011</v>
      </c>
    </row>
    <row r="1545" spans="1:2">
      <c r="A1545" t="s">
        <v>1967</v>
      </c>
      <c r="B1545" s="218">
        <v>27292</v>
      </c>
    </row>
    <row r="1546" spans="1:2">
      <c r="A1546" t="s">
        <v>1968</v>
      </c>
      <c r="B1546" s="218">
        <v>38219</v>
      </c>
    </row>
    <row r="1547" spans="1:2">
      <c r="A1547" t="s">
        <v>1969</v>
      </c>
      <c r="B1547" s="218">
        <v>35250</v>
      </c>
    </row>
    <row r="1548" spans="1:2">
      <c r="A1548" t="s">
        <v>1970</v>
      </c>
      <c r="B1548" s="218">
        <v>77083</v>
      </c>
    </row>
    <row r="1549" spans="1:2">
      <c r="A1549" t="s">
        <v>1971</v>
      </c>
      <c r="B1549" s="218">
        <v>26442</v>
      </c>
    </row>
    <row r="1550" spans="1:2">
      <c r="A1550" t="s">
        <v>1972</v>
      </c>
      <c r="B1550" s="218">
        <v>16912</v>
      </c>
    </row>
    <row r="1551" spans="1:2">
      <c r="A1551" t="s">
        <v>1973</v>
      </c>
      <c r="B1551" s="218">
        <v>37774</v>
      </c>
    </row>
    <row r="1552" spans="1:2">
      <c r="A1552" t="s">
        <v>1974</v>
      </c>
      <c r="B1552" s="218">
        <v>32639</v>
      </c>
    </row>
    <row r="1553" spans="1:2">
      <c r="A1553" t="s">
        <v>1975</v>
      </c>
      <c r="B1553" s="218">
        <v>40114</v>
      </c>
    </row>
    <row r="1554" spans="1:2">
      <c r="A1554" t="s">
        <v>1976</v>
      </c>
      <c r="B1554" s="218">
        <v>29122</v>
      </c>
    </row>
    <row r="1555" spans="1:2">
      <c r="A1555" t="s">
        <v>1977</v>
      </c>
      <c r="B1555" s="218">
        <v>26094</v>
      </c>
    </row>
    <row r="1556" spans="1:2">
      <c r="A1556" t="s">
        <v>1978</v>
      </c>
      <c r="B1556" s="218">
        <v>50032</v>
      </c>
    </row>
    <row r="1557" spans="1:2">
      <c r="A1557" t="s">
        <v>1979</v>
      </c>
      <c r="B1557" s="218">
        <v>52857</v>
      </c>
    </row>
    <row r="1558" spans="1:2">
      <c r="A1558" t="s">
        <v>1980</v>
      </c>
      <c r="B1558" s="218">
        <v>43728</v>
      </c>
    </row>
    <row r="1559" spans="1:2">
      <c r="A1559" t="s">
        <v>1981</v>
      </c>
      <c r="B1559" s="218">
        <v>31950</v>
      </c>
    </row>
    <row r="1560" spans="1:2">
      <c r="A1560" t="s">
        <v>1982</v>
      </c>
      <c r="B1560" s="218">
        <v>49457</v>
      </c>
    </row>
    <row r="1561" spans="1:2">
      <c r="A1561" t="s">
        <v>1983</v>
      </c>
      <c r="B1561" s="218">
        <v>54438</v>
      </c>
    </row>
    <row r="1562" spans="1:2">
      <c r="A1562" t="s">
        <v>1984</v>
      </c>
      <c r="B1562" s="218">
        <v>34572</v>
      </c>
    </row>
    <row r="1563" spans="1:2">
      <c r="A1563" t="s">
        <v>1985</v>
      </c>
      <c r="B1563" s="218">
        <v>65926</v>
      </c>
    </row>
    <row r="1564" spans="1:2">
      <c r="A1564" t="s">
        <v>1986</v>
      </c>
      <c r="B1564" s="218">
        <v>38113</v>
      </c>
    </row>
    <row r="1565" spans="1:2">
      <c r="A1565" t="s">
        <v>1987</v>
      </c>
      <c r="B1565" s="218">
        <v>42576</v>
      </c>
    </row>
    <row r="1566" spans="1:2">
      <c r="A1566" t="s">
        <v>1988</v>
      </c>
      <c r="B1566" s="218">
        <v>78649</v>
      </c>
    </row>
    <row r="1567" spans="1:2">
      <c r="A1567" t="s">
        <v>1989</v>
      </c>
      <c r="B1567" s="218">
        <v>55938</v>
      </c>
    </row>
    <row r="1568" spans="1:2">
      <c r="A1568" t="s">
        <v>1990</v>
      </c>
      <c r="B1568" s="218">
        <v>53809</v>
      </c>
    </row>
    <row r="1569" spans="1:2">
      <c r="A1569" t="s">
        <v>1991</v>
      </c>
      <c r="B1569" s="218">
        <v>38981</v>
      </c>
    </row>
    <row r="1570" spans="1:2">
      <c r="A1570" t="s">
        <v>1992</v>
      </c>
      <c r="B1570" s="218">
        <v>31371</v>
      </c>
    </row>
    <row r="1571" spans="1:2">
      <c r="A1571" t="s">
        <v>1993</v>
      </c>
      <c r="B1571" s="218">
        <v>105658</v>
      </c>
    </row>
    <row r="1572" spans="1:2">
      <c r="A1572" t="s">
        <v>1994</v>
      </c>
      <c r="B1572" s="218">
        <v>38717</v>
      </c>
    </row>
    <row r="1573" spans="1:2">
      <c r="A1573" t="s">
        <v>1995</v>
      </c>
      <c r="B1573" s="218">
        <v>80926</v>
      </c>
    </row>
    <row r="1574" spans="1:2">
      <c r="A1574" t="s">
        <v>1996</v>
      </c>
      <c r="B1574" s="218">
        <v>66786</v>
      </c>
    </row>
    <row r="1575" spans="1:2">
      <c r="A1575" t="s">
        <v>1997</v>
      </c>
      <c r="B1575" s="218">
        <v>89200</v>
      </c>
    </row>
    <row r="1576" spans="1:2">
      <c r="A1576" t="s">
        <v>1998</v>
      </c>
      <c r="B1576" s="218">
        <v>97071</v>
      </c>
    </row>
    <row r="1577" spans="1:2">
      <c r="A1577" t="s">
        <v>1999</v>
      </c>
      <c r="B1577" s="218">
        <v>43955</v>
      </c>
    </row>
    <row r="1578" spans="1:2">
      <c r="A1578" t="s">
        <v>2000</v>
      </c>
      <c r="B1578" s="218">
        <v>64688</v>
      </c>
    </row>
    <row r="1579" spans="1:2">
      <c r="A1579" t="s">
        <v>2001</v>
      </c>
      <c r="B1579" s="218">
        <v>67292</v>
      </c>
    </row>
    <row r="1580" spans="1:2">
      <c r="A1580" t="s">
        <v>2002</v>
      </c>
      <c r="B1580" s="218">
        <v>85189</v>
      </c>
    </row>
    <row r="1581" spans="1:2">
      <c r="A1581" t="s">
        <v>2003</v>
      </c>
      <c r="B1581" s="218">
        <v>72386</v>
      </c>
    </row>
    <row r="1582" spans="1:2">
      <c r="A1582" t="s">
        <v>2004</v>
      </c>
      <c r="B1582" s="218">
        <v>84712</v>
      </c>
    </row>
    <row r="1583" spans="1:2">
      <c r="A1583" t="s">
        <v>2005</v>
      </c>
      <c r="B1583" s="218">
        <v>95996</v>
      </c>
    </row>
    <row r="1584" spans="1:2">
      <c r="A1584" t="s">
        <v>2006</v>
      </c>
      <c r="B1584" s="218">
        <v>40340</v>
      </c>
    </row>
    <row r="1585" spans="1:2">
      <c r="A1585" t="s">
        <v>2007</v>
      </c>
      <c r="B1585" s="217">
        <v>0</v>
      </c>
    </row>
    <row r="1586" spans="1:2">
      <c r="A1586" t="s">
        <v>2008</v>
      </c>
      <c r="B1586" s="217">
        <v>0</v>
      </c>
    </row>
    <row r="1587" spans="1:2">
      <c r="A1587" t="s">
        <v>2009</v>
      </c>
      <c r="B1587" s="217">
        <v>0</v>
      </c>
    </row>
    <row r="1588" spans="1:2">
      <c r="A1588" t="s">
        <v>2010</v>
      </c>
      <c r="B1588" s="217">
        <v>0</v>
      </c>
    </row>
    <row r="1589" spans="1:2">
      <c r="A1589" t="s">
        <v>2011</v>
      </c>
      <c r="B1589" s="217">
        <v>0</v>
      </c>
    </row>
    <row r="1590" spans="1:2">
      <c r="A1590" t="s">
        <v>2012</v>
      </c>
      <c r="B1590" s="218">
        <v>64519</v>
      </c>
    </row>
    <row r="1591" spans="1:2">
      <c r="A1591" t="s">
        <v>2013</v>
      </c>
      <c r="B1591" s="218">
        <v>54643</v>
      </c>
    </row>
    <row r="1592" spans="1:2">
      <c r="A1592" t="s">
        <v>2014</v>
      </c>
      <c r="B1592" s="218">
        <v>56500</v>
      </c>
    </row>
    <row r="1593" spans="1:2">
      <c r="A1593" t="s">
        <v>2015</v>
      </c>
      <c r="B1593" s="218">
        <v>64559</v>
      </c>
    </row>
    <row r="1594" spans="1:2">
      <c r="A1594" t="s">
        <v>2016</v>
      </c>
      <c r="B1594" s="218">
        <v>41114</v>
      </c>
    </row>
    <row r="1595" spans="1:2">
      <c r="A1595" t="s">
        <v>2017</v>
      </c>
      <c r="B1595" s="218">
        <v>24306</v>
      </c>
    </row>
    <row r="1596" spans="1:2">
      <c r="A1596" t="s">
        <v>2018</v>
      </c>
      <c r="B1596" s="218">
        <v>34297</v>
      </c>
    </row>
    <row r="1597" spans="1:2">
      <c r="A1597" t="s">
        <v>2019</v>
      </c>
      <c r="B1597" s="218">
        <v>20561</v>
      </c>
    </row>
    <row r="1598" spans="1:2">
      <c r="A1598" t="s">
        <v>2020</v>
      </c>
      <c r="B1598" s="218">
        <v>23542</v>
      </c>
    </row>
    <row r="1599" spans="1:2">
      <c r="A1599" t="s">
        <v>2021</v>
      </c>
      <c r="B1599" s="218">
        <v>32841</v>
      </c>
    </row>
    <row r="1600" spans="1:2">
      <c r="A1600" t="s">
        <v>2022</v>
      </c>
      <c r="B1600" s="218">
        <v>40938</v>
      </c>
    </row>
    <row r="1601" spans="1:2">
      <c r="A1601" t="s">
        <v>2023</v>
      </c>
      <c r="B1601" s="218">
        <v>49161</v>
      </c>
    </row>
    <row r="1602" spans="1:2">
      <c r="A1602" t="s">
        <v>2024</v>
      </c>
      <c r="B1602" s="218">
        <v>25755</v>
      </c>
    </row>
    <row r="1603" spans="1:2">
      <c r="A1603" t="s">
        <v>2025</v>
      </c>
      <c r="B1603" s="218">
        <v>33323</v>
      </c>
    </row>
    <row r="1604" spans="1:2">
      <c r="A1604" t="s">
        <v>2026</v>
      </c>
      <c r="B1604" s="218">
        <v>40905</v>
      </c>
    </row>
    <row r="1605" spans="1:2">
      <c r="A1605" t="s">
        <v>2027</v>
      </c>
      <c r="B1605" s="218">
        <v>64583</v>
      </c>
    </row>
    <row r="1606" spans="1:2">
      <c r="A1606" t="s">
        <v>2028</v>
      </c>
      <c r="B1606" s="218">
        <v>43059</v>
      </c>
    </row>
    <row r="1607" spans="1:2">
      <c r="A1607" t="s">
        <v>2029</v>
      </c>
      <c r="B1607" s="218">
        <v>75489</v>
      </c>
    </row>
    <row r="1608" spans="1:2">
      <c r="A1608" t="s">
        <v>2030</v>
      </c>
      <c r="B1608" s="218">
        <v>34869</v>
      </c>
    </row>
    <row r="1609" spans="1:2">
      <c r="A1609" t="s">
        <v>2031</v>
      </c>
      <c r="B1609" s="218">
        <v>34408</v>
      </c>
    </row>
    <row r="1610" spans="1:2">
      <c r="A1610" t="s">
        <v>2032</v>
      </c>
      <c r="B1610" s="218">
        <v>22990</v>
      </c>
    </row>
    <row r="1611" spans="1:2">
      <c r="A1611" t="s">
        <v>2033</v>
      </c>
      <c r="B1611" s="218">
        <v>74787</v>
      </c>
    </row>
    <row r="1612" spans="1:2">
      <c r="A1612" t="s">
        <v>2034</v>
      </c>
      <c r="B1612" s="218">
        <v>61489</v>
      </c>
    </row>
    <row r="1613" spans="1:2">
      <c r="A1613" t="s">
        <v>2035</v>
      </c>
      <c r="B1613" s="218">
        <v>51711</v>
      </c>
    </row>
    <row r="1614" spans="1:2">
      <c r="A1614" t="s">
        <v>2036</v>
      </c>
      <c r="B1614" s="218">
        <v>68176</v>
      </c>
    </row>
    <row r="1615" spans="1:2">
      <c r="A1615" t="s">
        <v>2037</v>
      </c>
      <c r="B1615" s="218">
        <v>44113</v>
      </c>
    </row>
    <row r="1616" spans="1:2">
      <c r="A1616" t="s">
        <v>2038</v>
      </c>
      <c r="B1616" s="218">
        <v>45240</v>
      </c>
    </row>
    <row r="1617" spans="1:2">
      <c r="A1617" t="s">
        <v>2039</v>
      </c>
      <c r="B1617" s="218">
        <v>66588</v>
      </c>
    </row>
    <row r="1618" spans="1:2">
      <c r="A1618" t="s">
        <v>2040</v>
      </c>
      <c r="B1618" s="218">
        <v>54671</v>
      </c>
    </row>
    <row r="1619" spans="1:2">
      <c r="A1619" t="s">
        <v>2041</v>
      </c>
      <c r="B1619" s="218">
        <v>64444</v>
      </c>
    </row>
    <row r="1620" spans="1:2">
      <c r="A1620" t="s">
        <v>2042</v>
      </c>
      <c r="B1620" s="218">
        <v>39268</v>
      </c>
    </row>
    <row r="1621" spans="1:2">
      <c r="A1621" t="s">
        <v>2043</v>
      </c>
      <c r="B1621" s="218">
        <v>69620</v>
      </c>
    </row>
    <row r="1622" spans="1:2">
      <c r="A1622" t="s">
        <v>2044</v>
      </c>
      <c r="B1622" s="218">
        <v>67904</v>
      </c>
    </row>
    <row r="1623" spans="1:2">
      <c r="A1623" t="s">
        <v>2045</v>
      </c>
      <c r="B1623" s="218">
        <v>27945</v>
      </c>
    </row>
    <row r="1624" spans="1:2">
      <c r="A1624" t="s">
        <v>2046</v>
      </c>
      <c r="B1624" s="218">
        <v>12982</v>
      </c>
    </row>
    <row r="1625" spans="1:2">
      <c r="A1625" t="s">
        <v>2047</v>
      </c>
      <c r="B1625" s="218">
        <v>52446</v>
      </c>
    </row>
    <row r="1626" spans="1:2">
      <c r="A1626" t="s">
        <v>2048</v>
      </c>
      <c r="B1626" s="218">
        <v>54537</v>
      </c>
    </row>
    <row r="1627" spans="1:2">
      <c r="A1627" t="s">
        <v>2049</v>
      </c>
      <c r="B1627" s="218">
        <v>59189</v>
      </c>
    </row>
    <row r="1628" spans="1:2">
      <c r="A1628" t="s">
        <v>2050</v>
      </c>
      <c r="B1628" s="218">
        <v>57415</v>
      </c>
    </row>
    <row r="1629" spans="1:2">
      <c r="A1629" t="s">
        <v>2051</v>
      </c>
      <c r="B1629" s="218">
        <v>59421</v>
      </c>
    </row>
    <row r="1630" spans="1:2">
      <c r="A1630" t="s">
        <v>2052</v>
      </c>
      <c r="B1630" s="218">
        <v>71301</v>
      </c>
    </row>
    <row r="1631" spans="1:2">
      <c r="A1631" t="s">
        <v>2053</v>
      </c>
      <c r="B1631" s="218">
        <v>46019</v>
      </c>
    </row>
    <row r="1632" spans="1:2">
      <c r="A1632" t="s">
        <v>2054</v>
      </c>
      <c r="B1632" s="218">
        <v>47639</v>
      </c>
    </row>
    <row r="1633" spans="1:2">
      <c r="A1633" t="s">
        <v>2055</v>
      </c>
      <c r="B1633" s="218">
        <v>44663</v>
      </c>
    </row>
    <row r="1634" spans="1:2">
      <c r="A1634" t="s">
        <v>2056</v>
      </c>
      <c r="B1634" s="218">
        <v>61978</v>
      </c>
    </row>
    <row r="1635" spans="1:2">
      <c r="A1635" t="s">
        <v>2057</v>
      </c>
      <c r="B1635" s="218">
        <v>65066</v>
      </c>
    </row>
    <row r="1636" spans="1:2">
      <c r="A1636" t="s">
        <v>2058</v>
      </c>
      <c r="B1636" s="218">
        <v>50357</v>
      </c>
    </row>
    <row r="1637" spans="1:2">
      <c r="A1637" t="s">
        <v>2059</v>
      </c>
      <c r="B1637" s="218">
        <v>72167</v>
      </c>
    </row>
    <row r="1638" spans="1:2">
      <c r="A1638" t="s">
        <v>2060</v>
      </c>
      <c r="B1638" s="218">
        <v>69583</v>
      </c>
    </row>
    <row r="1639" spans="1:2">
      <c r="A1639" t="s">
        <v>2061</v>
      </c>
      <c r="B1639" s="218">
        <v>81932</v>
      </c>
    </row>
    <row r="1640" spans="1:2">
      <c r="A1640" t="s">
        <v>2062</v>
      </c>
      <c r="B1640" s="218">
        <v>66920</v>
      </c>
    </row>
    <row r="1641" spans="1:2">
      <c r="A1641" t="s">
        <v>2063</v>
      </c>
      <c r="B1641" s="218">
        <v>49070</v>
      </c>
    </row>
    <row r="1642" spans="1:2">
      <c r="A1642" t="s">
        <v>2064</v>
      </c>
      <c r="B1642" s="218">
        <v>84375</v>
      </c>
    </row>
    <row r="1643" spans="1:2">
      <c r="A1643" t="s">
        <v>2065</v>
      </c>
      <c r="B1643" s="218">
        <v>80912</v>
      </c>
    </row>
    <row r="1644" spans="1:2">
      <c r="A1644" t="s">
        <v>2066</v>
      </c>
      <c r="B1644" s="218">
        <v>65139</v>
      </c>
    </row>
    <row r="1645" spans="1:2">
      <c r="A1645" t="s">
        <v>2067</v>
      </c>
      <c r="B1645" s="218">
        <v>52353</v>
      </c>
    </row>
    <row r="1646" spans="1:2">
      <c r="A1646" t="s">
        <v>2068</v>
      </c>
      <c r="B1646" s="218">
        <v>78502</v>
      </c>
    </row>
    <row r="1647" spans="1:2">
      <c r="A1647" t="s">
        <v>2069</v>
      </c>
      <c r="B1647" s="218">
        <v>99198</v>
      </c>
    </row>
    <row r="1648" spans="1:2">
      <c r="A1648" t="s">
        <v>2070</v>
      </c>
      <c r="B1648" s="218">
        <v>92163</v>
      </c>
    </row>
    <row r="1649" spans="1:2">
      <c r="A1649" t="s">
        <v>2071</v>
      </c>
      <c r="B1649" s="218">
        <v>91275</v>
      </c>
    </row>
    <row r="1650" spans="1:2">
      <c r="A1650" t="s">
        <v>2072</v>
      </c>
      <c r="B1650" s="218">
        <v>101354</v>
      </c>
    </row>
    <row r="1651" spans="1:2">
      <c r="A1651" t="s">
        <v>2073</v>
      </c>
      <c r="B1651" s="218">
        <v>99063</v>
      </c>
    </row>
    <row r="1652" spans="1:2">
      <c r="A1652" t="s">
        <v>2074</v>
      </c>
      <c r="B1652" s="218">
        <v>90504</v>
      </c>
    </row>
    <row r="1653" spans="1:2">
      <c r="A1653" t="s">
        <v>2075</v>
      </c>
      <c r="B1653" s="218">
        <v>64854</v>
      </c>
    </row>
    <row r="1654" spans="1:2">
      <c r="A1654" t="s">
        <v>2076</v>
      </c>
      <c r="B1654" s="218">
        <v>54191</v>
      </c>
    </row>
    <row r="1655" spans="1:2">
      <c r="A1655" t="s">
        <v>2077</v>
      </c>
      <c r="B1655" s="218">
        <v>48201</v>
      </c>
    </row>
    <row r="1656" spans="1:2">
      <c r="A1656" t="s">
        <v>2078</v>
      </c>
      <c r="B1656" s="218">
        <v>58154</v>
      </c>
    </row>
    <row r="1657" spans="1:2">
      <c r="A1657" t="s">
        <v>2079</v>
      </c>
      <c r="B1657" s="218">
        <v>34028</v>
      </c>
    </row>
    <row r="1658" spans="1:2">
      <c r="A1658" t="s">
        <v>2080</v>
      </c>
      <c r="B1658" s="218">
        <v>58000</v>
      </c>
    </row>
    <row r="1659" spans="1:2">
      <c r="A1659" t="s">
        <v>2081</v>
      </c>
      <c r="B1659" s="218">
        <v>50581</v>
      </c>
    </row>
    <row r="1660" spans="1:2">
      <c r="A1660" t="s">
        <v>2082</v>
      </c>
      <c r="B1660" s="218">
        <v>60189</v>
      </c>
    </row>
    <row r="1661" spans="1:2">
      <c r="A1661" t="s">
        <v>2083</v>
      </c>
      <c r="B1661" s="218">
        <v>24065</v>
      </c>
    </row>
    <row r="1662" spans="1:2">
      <c r="A1662" t="s">
        <v>2084</v>
      </c>
      <c r="B1662" s="218">
        <v>42236</v>
      </c>
    </row>
    <row r="1663" spans="1:2">
      <c r="A1663" t="s">
        <v>2085</v>
      </c>
      <c r="B1663" s="218">
        <v>34179</v>
      </c>
    </row>
    <row r="1664" spans="1:2">
      <c r="A1664" t="s">
        <v>2086</v>
      </c>
      <c r="B1664" s="218">
        <v>28828</v>
      </c>
    </row>
    <row r="1665" spans="1:2">
      <c r="A1665" t="s">
        <v>2087</v>
      </c>
      <c r="B1665" s="218">
        <v>51152</v>
      </c>
    </row>
    <row r="1666" spans="1:2">
      <c r="A1666" t="s">
        <v>2088</v>
      </c>
      <c r="B1666" s="218">
        <v>46517</v>
      </c>
    </row>
    <row r="1667" spans="1:2">
      <c r="A1667" t="s">
        <v>2089</v>
      </c>
      <c r="B1667" s="218">
        <v>37440</v>
      </c>
    </row>
    <row r="1668" spans="1:2">
      <c r="A1668" t="s">
        <v>2090</v>
      </c>
      <c r="B1668" s="218">
        <v>43021</v>
      </c>
    </row>
    <row r="1669" spans="1:2">
      <c r="A1669" t="s">
        <v>2091</v>
      </c>
      <c r="B1669" s="218">
        <v>67368</v>
      </c>
    </row>
    <row r="1670" spans="1:2">
      <c r="A1670" t="s">
        <v>2092</v>
      </c>
      <c r="B1670" s="218">
        <v>61121</v>
      </c>
    </row>
    <row r="1671" spans="1:2">
      <c r="A1671" t="s">
        <v>2093</v>
      </c>
      <c r="B1671" s="218">
        <v>62950</v>
      </c>
    </row>
    <row r="1672" spans="1:2">
      <c r="A1672" t="s">
        <v>2094</v>
      </c>
      <c r="B1672" s="218">
        <v>72120</v>
      </c>
    </row>
    <row r="1673" spans="1:2">
      <c r="A1673" t="s">
        <v>2095</v>
      </c>
      <c r="B1673" s="218">
        <v>65825</v>
      </c>
    </row>
    <row r="1674" spans="1:2">
      <c r="A1674" t="s">
        <v>2096</v>
      </c>
      <c r="B1674" s="218">
        <v>53313</v>
      </c>
    </row>
    <row r="1675" spans="1:2">
      <c r="A1675" t="s">
        <v>2097</v>
      </c>
      <c r="B1675" s="218">
        <v>73412</v>
      </c>
    </row>
    <row r="1676" spans="1:2">
      <c r="A1676" t="s">
        <v>2098</v>
      </c>
      <c r="B1676" s="218">
        <v>42625</v>
      </c>
    </row>
    <row r="1677" spans="1:2">
      <c r="A1677" t="s">
        <v>2099</v>
      </c>
      <c r="B1677" s="218">
        <v>72888</v>
      </c>
    </row>
    <row r="1678" spans="1:2">
      <c r="A1678" t="s">
        <v>2100</v>
      </c>
      <c r="B1678" s="218">
        <v>46786</v>
      </c>
    </row>
    <row r="1679" spans="1:2">
      <c r="A1679" t="s">
        <v>2101</v>
      </c>
      <c r="B1679" s="218">
        <v>59483</v>
      </c>
    </row>
    <row r="1680" spans="1:2">
      <c r="A1680" t="s">
        <v>2102</v>
      </c>
      <c r="B1680" s="218">
        <v>69634</v>
      </c>
    </row>
    <row r="1681" spans="1:2">
      <c r="A1681" t="s">
        <v>2103</v>
      </c>
      <c r="B1681" s="218">
        <v>70045</v>
      </c>
    </row>
    <row r="1682" spans="1:2">
      <c r="A1682" t="s">
        <v>2104</v>
      </c>
      <c r="B1682" s="218">
        <v>45337</v>
      </c>
    </row>
    <row r="1683" spans="1:2">
      <c r="A1683" t="s">
        <v>2105</v>
      </c>
      <c r="B1683" s="218">
        <v>60201</v>
      </c>
    </row>
    <row r="1684" spans="1:2">
      <c r="A1684" t="s">
        <v>2106</v>
      </c>
      <c r="B1684" s="218">
        <v>46359</v>
      </c>
    </row>
    <row r="1685" spans="1:2">
      <c r="A1685" t="s">
        <v>2107</v>
      </c>
      <c r="B1685" s="218">
        <v>75000</v>
      </c>
    </row>
    <row r="1686" spans="1:2">
      <c r="A1686" t="s">
        <v>2108</v>
      </c>
      <c r="B1686" s="218">
        <v>74821</v>
      </c>
    </row>
    <row r="1687" spans="1:2">
      <c r="A1687" t="s">
        <v>2109</v>
      </c>
      <c r="B1687" s="218">
        <v>47448</v>
      </c>
    </row>
    <row r="1688" spans="1:2">
      <c r="A1688" t="s">
        <v>2110</v>
      </c>
      <c r="B1688" s="218">
        <v>66000</v>
      </c>
    </row>
    <row r="1689" spans="1:2">
      <c r="A1689" t="s">
        <v>2111</v>
      </c>
      <c r="B1689" s="218">
        <v>64402</v>
      </c>
    </row>
    <row r="1690" spans="1:2">
      <c r="A1690" t="s">
        <v>2112</v>
      </c>
      <c r="B1690" s="218">
        <v>44728</v>
      </c>
    </row>
    <row r="1691" spans="1:2">
      <c r="A1691" t="s">
        <v>2113</v>
      </c>
      <c r="B1691" s="218">
        <v>61366</v>
      </c>
    </row>
    <row r="1692" spans="1:2">
      <c r="A1692" t="s">
        <v>2114</v>
      </c>
      <c r="B1692" s="218">
        <v>39864</v>
      </c>
    </row>
    <row r="1693" spans="1:2">
      <c r="A1693" t="s">
        <v>2115</v>
      </c>
      <c r="B1693" s="218">
        <v>61422</v>
      </c>
    </row>
    <row r="1694" spans="1:2">
      <c r="A1694" t="s">
        <v>2116</v>
      </c>
      <c r="B1694" s="218">
        <v>64392</v>
      </c>
    </row>
    <row r="1695" spans="1:2">
      <c r="A1695" t="s">
        <v>2117</v>
      </c>
      <c r="B1695" s="218">
        <v>65037</v>
      </c>
    </row>
    <row r="1696" spans="1:2">
      <c r="A1696" t="s">
        <v>2118</v>
      </c>
      <c r="B1696" s="218">
        <v>78618</v>
      </c>
    </row>
    <row r="1697" spans="1:2">
      <c r="A1697" t="s">
        <v>2119</v>
      </c>
      <c r="B1697" s="218">
        <v>66630</v>
      </c>
    </row>
    <row r="1698" spans="1:2">
      <c r="A1698" t="s">
        <v>2120</v>
      </c>
      <c r="B1698" s="218">
        <v>47126</v>
      </c>
    </row>
    <row r="1699" spans="1:2">
      <c r="A1699" t="s">
        <v>2121</v>
      </c>
      <c r="B1699" s="218">
        <v>68951</v>
      </c>
    </row>
    <row r="1700" spans="1:2">
      <c r="A1700" t="s">
        <v>2122</v>
      </c>
      <c r="B1700" s="218">
        <v>48750</v>
      </c>
    </row>
    <row r="1701" spans="1:2">
      <c r="A1701" t="s">
        <v>2123</v>
      </c>
      <c r="B1701" s="218">
        <v>64683</v>
      </c>
    </row>
    <row r="1702" spans="1:2">
      <c r="A1702" t="s">
        <v>2124</v>
      </c>
      <c r="B1702" s="218">
        <v>85795</v>
      </c>
    </row>
  </sheetData>
  <sheetProtection algorithmName="SHA-512" hashValue="DH2hEr51ViYYOWIw5/Gdo0OZmOxywRFFRS6hS4Fqeg5i9huMvSlFi4hwbIeQI+yfSmihtMfnxiyPD+cByja34w==" saltValue="0GE45otIOiC1PNJ+CoiRew==" spinCount="100000" sheet="1" objects="1" scenarios="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5"/>
  <sheetViews>
    <sheetView showGridLines="0" workbookViewId="0">
      <selection activeCell="E23" sqref="E23"/>
    </sheetView>
  </sheetViews>
  <sheetFormatPr defaultRowHeight="15"/>
  <cols>
    <col min="1" max="1" width="5.5703125" customWidth="1"/>
    <col min="2" max="2" width="56.42578125" bestFit="1" customWidth="1"/>
    <col min="3" max="3" width="27.42578125" bestFit="1" customWidth="1"/>
    <col min="4" max="4" width="7.85546875" customWidth="1"/>
    <col min="5" max="5" width="72.42578125" customWidth="1"/>
    <col min="6" max="6" width="26.7109375" bestFit="1" customWidth="1"/>
    <col min="8" max="8" width="21" bestFit="1" customWidth="1"/>
  </cols>
  <sheetData>
    <row r="1" spans="1:8">
      <c r="A1" s="323" t="s">
        <v>2125</v>
      </c>
      <c r="B1" s="389"/>
      <c r="C1" s="390"/>
      <c r="D1" s="314" t="s">
        <v>2126</v>
      </c>
      <c r="E1" s="315"/>
      <c r="F1" s="316"/>
      <c r="H1" s="29" t="s">
        <v>140</v>
      </c>
    </row>
    <row r="2" spans="1:8">
      <c r="A2" s="391"/>
      <c r="B2" s="392"/>
      <c r="C2" s="393"/>
      <c r="D2" s="317"/>
      <c r="E2" s="318"/>
      <c r="F2" s="319"/>
    </row>
    <row r="3" spans="1:8">
      <c r="A3" s="391"/>
      <c r="B3" s="392"/>
      <c r="C3" s="393"/>
      <c r="D3" s="317"/>
      <c r="E3" s="318"/>
      <c r="F3" s="319"/>
    </row>
    <row r="4" spans="1:8">
      <c r="A4" s="391"/>
      <c r="B4" s="392"/>
      <c r="C4" s="393"/>
      <c r="D4" s="317"/>
      <c r="E4" s="318"/>
      <c r="F4" s="319"/>
    </row>
    <row r="5" spans="1:8">
      <c r="A5" s="391"/>
      <c r="B5" s="392"/>
      <c r="C5" s="393"/>
      <c r="D5" s="317"/>
      <c r="E5" s="318"/>
      <c r="F5" s="319"/>
    </row>
    <row r="6" spans="1:8" ht="15.75" thickBot="1">
      <c r="A6" s="394"/>
      <c r="B6" s="395"/>
      <c r="C6" s="396"/>
      <c r="D6" s="320"/>
      <c r="E6" s="321"/>
      <c r="F6" s="322"/>
    </row>
    <row r="7" spans="1:8" ht="15.75" thickBot="1"/>
    <row r="8" spans="1:8" ht="18.75">
      <c r="B8" s="125" t="s">
        <v>2127</v>
      </c>
      <c r="C8" s="165" t="s">
        <v>2128</v>
      </c>
      <c r="E8" s="388" t="s">
        <v>402</v>
      </c>
      <c r="F8" s="388"/>
    </row>
    <row r="9" spans="1:8" ht="19.5" thickBot="1">
      <c r="B9" s="127"/>
      <c r="C9" s="124">
        <f>IFERROR(VLOOKUP(B9,'Factor 7 Calculations'!A1:B6,2,FALSE),0)</f>
        <v>0</v>
      </c>
      <c r="E9" s="109" t="s">
        <v>403</v>
      </c>
      <c r="F9" s="109" t="s">
        <v>2128</v>
      </c>
    </row>
    <row r="10" spans="1:8">
      <c r="B10" s="397" t="str">
        <f>IF(C9&gt;0,"NOTE: Documentation must be uploaded to PW4 as part of project submission","")</f>
        <v/>
      </c>
      <c r="C10" s="397"/>
      <c r="E10" s="113" t="s">
        <v>2129</v>
      </c>
      <c r="F10" s="113">
        <v>0</v>
      </c>
    </row>
    <row r="11" spans="1:8">
      <c r="B11" s="397"/>
      <c r="C11" s="397"/>
      <c r="E11" s="113" t="s">
        <v>2130</v>
      </c>
      <c r="F11" s="113">
        <v>5</v>
      </c>
    </row>
    <row r="12" spans="1:8">
      <c r="E12" s="113" t="s">
        <v>2131</v>
      </c>
      <c r="F12" s="113">
        <v>10</v>
      </c>
    </row>
    <row r="13" spans="1:8">
      <c r="E13" s="113" t="s">
        <v>2132</v>
      </c>
      <c r="F13" s="113">
        <v>15</v>
      </c>
    </row>
    <row r="14" spans="1:8">
      <c r="E14" s="113" t="s">
        <v>2133</v>
      </c>
      <c r="F14" s="113">
        <v>20</v>
      </c>
    </row>
    <row r="15" spans="1:8">
      <c r="E15" s="113" t="s">
        <v>2134</v>
      </c>
      <c r="F15" s="113">
        <v>25</v>
      </c>
    </row>
    <row r="29" spans="1:13">
      <c r="A29" s="14"/>
      <c r="B29" s="14"/>
      <c r="C29" s="14"/>
      <c r="D29" s="14"/>
      <c r="E29" s="14"/>
      <c r="F29" s="14"/>
      <c r="G29" s="14"/>
      <c r="H29" s="14"/>
      <c r="I29" s="14"/>
      <c r="J29" s="14"/>
      <c r="K29" s="14"/>
      <c r="L29" s="14"/>
      <c r="M29" s="14"/>
    </row>
    <row r="30" spans="1:13">
      <c r="A30" s="14"/>
      <c r="B30" s="14"/>
      <c r="C30" s="14"/>
      <c r="D30" s="14"/>
      <c r="E30" s="14"/>
      <c r="F30" s="14"/>
      <c r="G30" s="14"/>
      <c r="H30" s="14"/>
      <c r="I30" s="14"/>
      <c r="J30" s="14"/>
      <c r="K30" s="14"/>
      <c r="L30" s="14"/>
      <c r="M30" s="14"/>
    </row>
    <row r="31" spans="1:13">
      <c r="A31" s="14"/>
      <c r="B31" s="14"/>
      <c r="C31" s="14"/>
      <c r="D31" s="14"/>
      <c r="E31" s="14"/>
      <c r="F31" s="14"/>
      <c r="G31" s="14"/>
      <c r="H31" s="14"/>
      <c r="I31" s="14"/>
      <c r="J31" s="14"/>
      <c r="K31" s="14"/>
      <c r="L31" s="14"/>
      <c r="M31" s="14"/>
    </row>
    <row r="32" spans="1:13">
      <c r="A32" s="14"/>
      <c r="B32" s="14"/>
      <c r="C32" s="14"/>
      <c r="D32" s="14"/>
      <c r="E32" s="14"/>
      <c r="F32" s="14"/>
      <c r="G32" s="14"/>
      <c r="H32" s="14"/>
      <c r="I32" s="14"/>
      <c r="J32" s="14"/>
      <c r="K32" s="14"/>
      <c r="L32" s="14"/>
      <c r="M32" s="14"/>
    </row>
    <row r="33" spans="1:13">
      <c r="A33" s="14"/>
      <c r="B33" s="14"/>
      <c r="C33" s="14"/>
      <c r="D33" s="14"/>
      <c r="E33" s="14"/>
      <c r="F33" s="14"/>
      <c r="G33" s="14"/>
      <c r="H33" s="14"/>
      <c r="I33" s="14"/>
      <c r="J33" s="14"/>
      <c r="K33" s="14"/>
      <c r="L33" s="14"/>
      <c r="M33" s="14"/>
    </row>
    <row r="34" spans="1:13">
      <c r="A34" s="14"/>
      <c r="B34" s="14"/>
      <c r="C34" s="14"/>
      <c r="D34" s="14"/>
      <c r="E34" s="14"/>
      <c r="F34" s="14"/>
      <c r="G34" s="14"/>
      <c r="H34" s="14"/>
      <c r="I34" s="14"/>
      <c r="J34" s="14"/>
      <c r="K34" s="14"/>
      <c r="L34" s="14"/>
      <c r="M34" s="14"/>
    </row>
    <row r="35" spans="1:13">
      <c r="A35" s="14"/>
      <c r="B35" s="14"/>
      <c r="C35" s="14"/>
      <c r="D35" s="14"/>
      <c r="E35" s="14"/>
      <c r="F35" s="14"/>
      <c r="G35" s="14"/>
      <c r="H35" s="14"/>
      <c r="I35" s="14"/>
      <c r="J35" s="14"/>
      <c r="K35" s="14"/>
      <c r="L35" s="14"/>
      <c r="M35" s="14"/>
    </row>
  </sheetData>
  <sheetProtection sheet="1" objects="1" scenarios="1"/>
  <protectedRanges>
    <protectedRange sqref="B9" name="Input"/>
  </protectedRanges>
  <mergeCells count="4">
    <mergeCell ref="E8:F8"/>
    <mergeCell ref="A1:C6"/>
    <mergeCell ref="D1:F6"/>
    <mergeCell ref="B10:C11"/>
  </mergeCells>
  <conditionalFormatting sqref="B10:C11">
    <cfRule type="expression" dxfId="1" priority="1">
      <formula>$C$9&gt;0</formula>
    </cfRule>
  </conditionalFormatting>
  <conditionalFormatting sqref="E10:F15">
    <cfRule type="expression" dxfId="0" priority="35">
      <formula>$E10=$B$9</formula>
    </cfRule>
  </conditionalFormatting>
  <hyperlinks>
    <hyperlink ref="H1" location="'Cover Sheet'!B24" display="BACK TO COVER SHEET" xr:uid="{710C315D-B0B7-45A1-824A-745F91D264DD}"/>
  </hyperlinks>
  <pageMargins left="0.7" right="0.7" top="0.75" bottom="0.75" header="0.3" footer="0.3"/>
  <pageSetup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D7DA2AB-0BF9-40EF-A625-D6E152C78E62}">
          <x14:formula1>
            <xm:f>'Factor 7 Calculations'!$A$1:$A$6</xm:f>
          </x14:formula1>
          <xm:sqref>B9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EDBC9-C6C1-4D43-8639-9EC174CC3A0A}">
  <dimension ref="A1:B6"/>
  <sheetViews>
    <sheetView workbookViewId="0">
      <selection activeCell="M28" sqref="M28"/>
    </sheetView>
  </sheetViews>
  <sheetFormatPr defaultRowHeight="15"/>
  <cols>
    <col min="1" max="1" width="44.85546875" bestFit="1" customWidth="1"/>
  </cols>
  <sheetData>
    <row r="1" spans="1:2">
      <c r="A1" t="s">
        <v>2129</v>
      </c>
      <c r="B1">
        <v>0</v>
      </c>
    </row>
    <row r="2" spans="1:2">
      <c r="A2" t="s">
        <v>2130</v>
      </c>
      <c r="B2">
        <v>5</v>
      </c>
    </row>
    <row r="3" spans="1:2">
      <c r="A3" t="s">
        <v>2131</v>
      </c>
      <c r="B3">
        <v>10</v>
      </c>
    </row>
    <row r="4" spans="1:2">
      <c r="A4" t="s">
        <v>2132</v>
      </c>
      <c r="B4">
        <v>15</v>
      </c>
    </row>
    <row r="5" spans="1:2">
      <c r="A5" t="s">
        <v>2133</v>
      </c>
      <c r="B5">
        <v>20</v>
      </c>
    </row>
    <row r="6" spans="1:2">
      <c r="A6" t="s">
        <v>2134</v>
      </c>
      <c r="B6">
        <v>25</v>
      </c>
    </row>
  </sheetData>
  <sheetProtection algorithmName="SHA-512" hashValue="Twxxx54YLUkupXgBc2uRBx8ZlwEnCl0E/6o/ahqWfgVy1egXhu7SfMn65gvO1UeMLGK5960DbnEnDHVk8eNJBQ==" saltValue="A1YzxpKD7fiWT13x2p/A0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2A9E-46F5-46F5-8CC2-08B0CA4D8894}">
  <dimension ref="A1:Z25"/>
  <sheetViews>
    <sheetView workbookViewId="0">
      <selection activeCell="C29" sqref="C29"/>
    </sheetView>
  </sheetViews>
  <sheetFormatPr defaultRowHeight="15"/>
  <cols>
    <col min="1" max="1" width="14" bestFit="1" customWidth="1"/>
    <col min="2" max="2" width="16" customWidth="1"/>
    <col min="3" max="3" width="12.5703125" customWidth="1"/>
    <col min="4" max="4" width="12.7109375" customWidth="1"/>
    <col min="5" max="5" width="10.28515625" customWidth="1"/>
    <col min="6" max="6" width="11" customWidth="1"/>
    <col min="7" max="7" width="12.42578125" customWidth="1"/>
  </cols>
  <sheetData>
    <row r="1" spans="1:26">
      <c r="A1" t="s">
        <v>37</v>
      </c>
      <c r="B1" t="s">
        <v>38</v>
      </c>
      <c r="C1" t="s">
        <v>39</v>
      </c>
      <c r="D1" t="s">
        <v>40</v>
      </c>
      <c r="E1" t="s">
        <v>41</v>
      </c>
      <c r="F1" t="s">
        <v>42</v>
      </c>
      <c r="G1" t="s">
        <v>43</v>
      </c>
      <c r="Z1" t="s">
        <v>44</v>
      </c>
    </row>
    <row r="2" spans="1:26">
      <c r="A2" t="s">
        <v>38</v>
      </c>
      <c r="B2" t="s">
        <v>45</v>
      </c>
      <c r="C2" t="s">
        <v>46</v>
      </c>
      <c r="D2" t="s">
        <v>47</v>
      </c>
      <c r="E2" t="s">
        <v>48</v>
      </c>
      <c r="F2" t="s">
        <v>49</v>
      </c>
      <c r="G2" t="s">
        <v>50</v>
      </c>
      <c r="I2" t="s">
        <v>37</v>
      </c>
      <c r="J2">
        <f>IF('Cover Sheet'!D4="La Porte","LaPorte",IF('Cover Sheet'!D4="Fort Wayne", "FtWayne",'Cover Sheet'!D4))</f>
        <v>0</v>
      </c>
    </row>
    <row r="3" spans="1:26">
      <c r="A3" t="s">
        <v>39</v>
      </c>
      <c r="B3" t="s">
        <v>51</v>
      </c>
      <c r="C3" t="s">
        <v>52</v>
      </c>
      <c r="D3" t="s">
        <v>51</v>
      </c>
      <c r="E3" t="s">
        <v>53</v>
      </c>
      <c r="F3" t="s">
        <v>54</v>
      </c>
      <c r="G3" t="s">
        <v>55</v>
      </c>
    </row>
    <row r="4" spans="1:26">
      <c r="A4" t="s">
        <v>40</v>
      </c>
      <c r="B4" t="s">
        <v>56</v>
      </c>
      <c r="C4" t="s">
        <v>47</v>
      </c>
      <c r="D4" t="s">
        <v>56</v>
      </c>
      <c r="E4" t="s">
        <v>57</v>
      </c>
      <c r="F4" t="s">
        <v>58</v>
      </c>
      <c r="G4" t="s">
        <v>59</v>
      </c>
    </row>
    <row r="5" spans="1:26">
      <c r="A5" t="s">
        <v>41</v>
      </c>
      <c r="B5" t="s">
        <v>50</v>
      </c>
      <c r="C5" t="s">
        <v>60</v>
      </c>
      <c r="D5" t="s">
        <v>53</v>
      </c>
      <c r="E5" t="s">
        <v>61</v>
      </c>
      <c r="F5" t="s">
        <v>55</v>
      </c>
      <c r="G5" t="s">
        <v>62</v>
      </c>
    </row>
    <row r="6" spans="1:26">
      <c r="A6" t="s">
        <v>42</v>
      </c>
      <c r="B6" t="s">
        <v>57</v>
      </c>
      <c r="C6" t="s">
        <v>61</v>
      </c>
      <c r="D6" t="s">
        <v>63</v>
      </c>
      <c r="E6" t="s">
        <v>64</v>
      </c>
      <c r="F6" t="s">
        <v>65</v>
      </c>
      <c r="G6" t="s">
        <v>66</v>
      </c>
    </row>
    <row r="7" spans="1:26">
      <c r="A7" t="s">
        <v>43</v>
      </c>
      <c r="B7" t="s">
        <v>67</v>
      </c>
      <c r="C7" t="s">
        <v>64</v>
      </c>
      <c r="D7" t="s">
        <v>68</v>
      </c>
      <c r="E7" t="s">
        <v>69</v>
      </c>
      <c r="F7" t="s">
        <v>70</v>
      </c>
      <c r="G7" t="s">
        <v>71</v>
      </c>
    </row>
    <row r="8" spans="1:26">
      <c r="B8" t="s">
        <v>72</v>
      </c>
      <c r="C8" t="s">
        <v>73</v>
      </c>
      <c r="D8" t="s">
        <v>74</v>
      </c>
      <c r="E8" t="s">
        <v>75</v>
      </c>
      <c r="F8" t="s">
        <v>76</v>
      </c>
      <c r="G8" t="s">
        <v>77</v>
      </c>
    </row>
    <row r="9" spans="1:26">
      <c r="B9" t="s">
        <v>78</v>
      </c>
      <c r="C9" t="s">
        <v>79</v>
      </c>
      <c r="D9" t="s">
        <v>73</v>
      </c>
      <c r="E9" t="s">
        <v>80</v>
      </c>
      <c r="F9" t="s">
        <v>74</v>
      </c>
      <c r="G9" t="s">
        <v>81</v>
      </c>
    </row>
    <row r="10" spans="1:26">
      <c r="B10" t="s">
        <v>82</v>
      </c>
      <c r="C10" t="s">
        <v>83</v>
      </c>
      <c r="D10" t="s">
        <v>84</v>
      </c>
      <c r="E10" t="s">
        <v>85</v>
      </c>
      <c r="F10" t="s">
        <v>71</v>
      </c>
      <c r="G10" t="s">
        <v>86</v>
      </c>
    </row>
    <row r="11" spans="1:26">
      <c r="B11" t="s">
        <v>87</v>
      </c>
      <c r="C11" t="s">
        <v>75</v>
      </c>
      <c r="D11" t="s">
        <v>88</v>
      </c>
      <c r="E11" t="s">
        <v>89</v>
      </c>
      <c r="F11" t="s">
        <v>90</v>
      </c>
      <c r="G11" t="s">
        <v>91</v>
      </c>
    </row>
    <row r="12" spans="1:26">
      <c r="B12" t="s">
        <v>92</v>
      </c>
      <c r="C12" t="s">
        <v>93</v>
      </c>
      <c r="D12" t="s">
        <v>72</v>
      </c>
      <c r="E12" t="s">
        <v>94</v>
      </c>
      <c r="F12" t="s">
        <v>95</v>
      </c>
      <c r="G12" t="s">
        <v>96</v>
      </c>
    </row>
    <row r="13" spans="1:26">
      <c r="B13" t="s">
        <v>97</v>
      </c>
      <c r="C13" t="s">
        <v>94</v>
      </c>
      <c r="D13" t="s">
        <v>98</v>
      </c>
      <c r="E13" t="s">
        <v>99</v>
      </c>
      <c r="F13" t="s">
        <v>100</v>
      </c>
      <c r="G13" t="s">
        <v>87</v>
      </c>
    </row>
    <row r="14" spans="1:26">
      <c r="B14" t="s">
        <v>101</v>
      </c>
      <c r="C14" t="s">
        <v>102</v>
      </c>
      <c r="D14" t="s">
        <v>103</v>
      </c>
      <c r="E14" t="s">
        <v>104</v>
      </c>
      <c r="F14" t="s">
        <v>105</v>
      </c>
      <c r="G14" t="s">
        <v>106</v>
      </c>
    </row>
    <row r="15" spans="1:26">
      <c r="B15" t="s">
        <v>107</v>
      </c>
      <c r="C15" t="s">
        <v>108</v>
      </c>
      <c r="D15" t="s">
        <v>83</v>
      </c>
      <c r="E15" t="s">
        <v>109</v>
      </c>
      <c r="F15" t="s">
        <v>110</v>
      </c>
      <c r="G15" t="s">
        <v>111</v>
      </c>
    </row>
    <row r="16" spans="1:26">
      <c r="B16" t="s">
        <v>112</v>
      </c>
      <c r="C16" t="s">
        <v>113</v>
      </c>
      <c r="D16" t="s">
        <v>114</v>
      </c>
      <c r="E16" t="s">
        <v>108</v>
      </c>
      <c r="F16" t="s">
        <v>81</v>
      </c>
      <c r="G16" t="s">
        <v>115</v>
      </c>
    </row>
    <row r="17" spans="2:7">
      <c r="B17" t="s">
        <v>116</v>
      </c>
      <c r="C17" t="s">
        <v>117</v>
      </c>
      <c r="D17" t="s">
        <v>118</v>
      </c>
      <c r="E17" t="s">
        <v>119</v>
      </c>
      <c r="F17" t="s">
        <v>91</v>
      </c>
      <c r="G17" t="s">
        <v>120</v>
      </c>
    </row>
    <row r="18" spans="2:7">
      <c r="B18" t="s">
        <v>121</v>
      </c>
      <c r="C18" t="s">
        <v>122</v>
      </c>
      <c r="D18" t="s">
        <v>94</v>
      </c>
      <c r="E18" t="s">
        <v>121</v>
      </c>
      <c r="F18" t="s">
        <v>82</v>
      </c>
      <c r="G18" t="s">
        <v>123</v>
      </c>
    </row>
    <row r="19" spans="2:7">
      <c r="C19" t="s">
        <v>124</v>
      </c>
      <c r="D19" t="s">
        <v>125</v>
      </c>
      <c r="F19" t="s">
        <v>126</v>
      </c>
      <c r="G19" t="s">
        <v>127</v>
      </c>
    </row>
    <row r="20" spans="2:7">
      <c r="D20" t="s">
        <v>128</v>
      </c>
      <c r="F20" t="s">
        <v>87</v>
      </c>
      <c r="G20" t="s">
        <v>112</v>
      </c>
    </row>
    <row r="21" spans="2:7">
      <c r="D21" t="s">
        <v>129</v>
      </c>
      <c r="F21" t="s">
        <v>130</v>
      </c>
      <c r="G21" t="s">
        <v>131</v>
      </c>
    </row>
    <row r="22" spans="2:7">
      <c r="D22" t="s">
        <v>132</v>
      </c>
      <c r="F22" t="s">
        <v>133</v>
      </c>
      <c r="G22" t="s">
        <v>134</v>
      </c>
    </row>
    <row r="23" spans="2:7">
      <c r="D23" t="s">
        <v>135</v>
      </c>
      <c r="F23" t="s">
        <v>129</v>
      </c>
    </row>
    <row r="24" spans="2:7">
      <c r="D24" t="s">
        <v>136</v>
      </c>
      <c r="F24" t="s">
        <v>137</v>
      </c>
    </row>
    <row r="25" spans="2:7">
      <c r="F25" t="s">
        <v>134</v>
      </c>
    </row>
  </sheetData>
  <sortState xmlns:xlrd2="http://schemas.microsoft.com/office/spreadsheetml/2017/richdata2" ref="Q10:Q101">
    <sortCondition ref="Q10:Q101"/>
  </sortState>
  <pageMargins left="0.7" right="0.7" top="0.75" bottom="0.75" header="0.3" footer="0.3"/>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8"/>
  <sheetViews>
    <sheetView showGridLines="0" workbookViewId="0">
      <selection activeCell="B32" sqref="B32"/>
    </sheetView>
  </sheetViews>
  <sheetFormatPr defaultRowHeight="15"/>
  <cols>
    <col min="1" max="1" width="6.28515625" customWidth="1"/>
    <col min="2" max="2" width="24" customWidth="1"/>
    <col min="3" max="3" width="26.42578125" customWidth="1"/>
    <col min="18" max="18" width="21" bestFit="1" customWidth="1"/>
  </cols>
  <sheetData>
    <row r="1" spans="1:26">
      <c r="A1" s="323" t="s">
        <v>138</v>
      </c>
      <c r="B1" s="324"/>
      <c r="C1" s="325"/>
      <c r="D1" s="314" t="s">
        <v>139</v>
      </c>
      <c r="E1" s="315"/>
      <c r="F1" s="315"/>
      <c r="G1" s="315"/>
      <c r="H1" s="315"/>
      <c r="I1" s="315"/>
      <c r="J1" s="315"/>
      <c r="K1" s="315"/>
      <c r="L1" s="315"/>
      <c r="M1" s="315"/>
      <c r="N1" s="315"/>
      <c r="O1" s="315"/>
      <c r="P1" s="316"/>
      <c r="R1" s="29" t="s">
        <v>140</v>
      </c>
    </row>
    <row r="2" spans="1:26" ht="15" customHeight="1">
      <c r="A2" s="326"/>
      <c r="B2" s="327"/>
      <c r="C2" s="328"/>
      <c r="D2" s="317"/>
      <c r="E2" s="318"/>
      <c r="F2" s="318"/>
      <c r="G2" s="318"/>
      <c r="H2" s="318"/>
      <c r="I2" s="318"/>
      <c r="J2" s="318"/>
      <c r="K2" s="318"/>
      <c r="L2" s="318"/>
      <c r="M2" s="318"/>
      <c r="N2" s="318"/>
      <c r="O2" s="318"/>
      <c r="P2" s="319"/>
    </row>
    <row r="3" spans="1:26" ht="15" customHeight="1">
      <c r="A3" s="326"/>
      <c r="B3" s="327"/>
      <c r="C3" s="328"/>
      <c r="D3" s="317"/>
      <c r="E3" s="318"/>
      <c r="F3" s="318"/>
      <c r="G3" s="318"/>
      <c r="H3" s="318"/>
      <c r="I3" s="318"/>
      <c r="J3" s="318"/>
      <c r="K3" s="318"/>
      <c r="L3" s="318"/>
      <c r="M3" s="318"/>
      <c r="N3" s="318"/>
      <c r="O3" s="318"/>
      <c r="P3" s="319"/>
    </row>
    <row r="4" spans="1:26" ht="15" customHeight="1">
      <c r="A4" s="326"/>
      <c r="B4" s="327"/>
      <c r="C4" s="328"/>
      <c r="D4" s="317"/>
      <c r="E4" s="318"/>
      <c r="F4" s="318"/>
      <c r="G4" s="318"/>
      <c r="H4" s="318"/>
      <c r="I4" s="318"/>
      <c r="J4" s="318"/>
      <c r="K4" s="318"/>
      <c r="L4" s="318"/>
      <c r="M4" s="318"/>
      <c r="N4" s="318"/>
      <c r="O4" s="318"/>
      <c r="P4" s="319"/>
    </row>
    <row r="5" spans="1:26" ht="15" customHeight="1">
      <c r="A5" s="326"/>
      <c r="B5" s="327"/>
      <c r="C5" s="328"/>
      <c r="D5" s="317"/>
      <c r="E5" s="318"/>
      <c r="F5" s="318"/>
      <c r="G5" s="318"/>
      <c r="H5" s="318"/>
      <c r="I5" s="318"/>
      <c r="J5" s="318"/>
      <c r="K5" s="318"/>
      <c r="L5" s="318"/>
      <c r="M5" s="318"/>
      <c r="N5" s="318"/>
      <c r="O5" s="318"/>
      <c r="P5" s="319"/>
    </row>
    <row r="6" spans="1:26" ht="33" customHeight="1" thickBot="1">
      <c r="A6" s="329"/>
      <c r="B6" s="330"/>
      <c r="C6" s="331"/>
      <c r="D6" s="320"/>
      <c r="E6" s="321"/>
      <c r="F6" s="321"/>
      <c r="G6" s="321"/>
      <c r="H6" s="321"/>
      <c r="I6" s="321"/>
      <c r="J6" s="321"/>
      <c r="K6" s="321"/>
      <c r="L6" s="321"/>
      <c r="M6" s="321"/>
      <c r="N6" s="321"/>
      <c r="O6" s="321"/>
      <c r="P6" s="322"/>
    </row>
    <row r="7" spans="1:26" ht="15.75" thickBot="1"/>
    <row r="8" spans="1:26" ht="18.75">
      <c r="B8" s="116" t="s">
        <v>141</v>
      </c>
      <c r="C8" s="117" t="s">
        <v>14</v>
      </c>
    </row>
    <row r="9" spans="1:26" ht="18" thickBot="1">
      <c r="B9" s="114"/>
      <c r="C9" s="115">
        <f>IF(B9="",0,IF(B9&lt;0,0,IF(B9&gt;2.05,40,42/(1+EXP(-3*(B9-1.055111))))))</f>
        <v>0</v>
      </c>
    </row>
    <row r="10" spans="1:26">
      <c r="N10" s="313"/>
      <c r="O10" s="313"/>
      <c r="P10" s="313"/>
    </row>
    <row r="11" spans="1:26">
      <c r="N11" s="14"/>
      <c r="O11" s="14"/>
      <c r="P11" s="14"/>
      <c r="Q11" s="14"/>
      <c r="R11" s="14"/>
      <c r="S11" s="14"/>
      <c r="T11" s="14"/>
      <c r="U11" s="14"/>
      <c r="V11" s="14"/>
      <c r="W11" s="14"/>
      <c r="X11" s="14"/>
      <c r="Y11" s="14"/>
      <c r="Z11" s="14"/>
    </row>
    <row r="12" spans="1:26">
      <c r="N12" s="14"/>
      <c r="O12" s="14"/>
      <c r="P12" s="14"/>
      <c r="Q12" s="14"/>
      <c r="R12" s="14"/>
      <c r="S12" s="14"/>
      <c r="T12" s="14"/>
      <c r="U12" s="14"/>
      <c r="V12" s="14"/>
      <c r="W12" s="14"/>
      <c r="X12" s="14"/>
      <c r="Y12" s="14"/>
      <c r="Z12" s="14"/>
    </row>
    <row r="13" spans="1:26">
      <c r="N13" s="14"/>
      <c r="O13" s="14"/>
      <c r="P13" s="14"/>
      <c r="Q13" s="14"/>
      <c r="R13" s="14"/>
      <c r="S13" s="14"/>
      <c r="T13" s="14"/>
      <c r="U13" s="14"/>
      <c r="V13" s="14"/>
      <c r="W13" s="14"/>
      <c r="X13" s="14"/>
      <c r="Y13" s="14"/>
      <c r="Z13" s="14"/>
    </row>
    <row r="14" spans="1:26" ht="17.25">
      <c r="A14" s="108"/>
      <c r="N14" s="14"/>
      <c r="O14" s="14"/>
      <c r="P14" s="14"/>
      <c r="Q14" s="14"/>
      <c r="R14" s="14"/>
      <c r="S14" s="14"/>
      <c r="T14" s="14"/>
      <c r="U14" s="14"/>
      <c r="V14" s="14"/>
      <c r="W14" s="14"/>
      <c r="X14" s="14"/>
      <c r="Y14" s="14"/>
      <c r="Z14" s="14"/>
    </row>
    <row r="15" spans="1:26">
      <c r="A15" s="30"/>
      <c r="B15" s="30"/>
      <c r="N15" s="14"/>
      <c r="O15" s="14"/>
      <c r="P15" s="14"/>
      <c r="Q15" s="14"/>
      <c r="R15" s="14"/>
      <c r="S15" s="14"/>
      <c r="T15" s="14"/>
      <c r="U15" s="14"/>
      <c r="V15" s="14"/>
      <c r="W15" s="14"/>
      <c r="X15" s="14"/>
      <c r="Y15" s="14"/>
      <c r="Z15" s="14"/>
    </row>
    <row r="16" spans="1:26">
      <c r="A16" s="30"/>
      <c r="B16" s="30"/>
      <c r="N16" s="14"/>
      <c r="O16" s="14"/>
      <c r="P16" s="14"/>
      <c r="Q16" s="14"/>
      <c r="R16" s="14"/>
      <c r="S16" s="14"/>
      <c r="T16" s="14"/>
      <c r="U16" s="14"/>
      <c r="V16" s="14"/>
      <c r="W16" s="14"/>
      <c r="X16" s="14"/>
      <c r="Y16" s="14"/>
      <c r="Z16" s="14"/>
    </row>
    <row r="17" spans="1:2">
      <c r="A17" s="30"/>
      <c r="B17" s="30"/>
    </row>
    <row r="18" spans="1:2">
      <c r="A18" s="30"/>
      <c r="B18" s="30"/>
    </row>
    <row r="19" spans="1:2">
      <c r="A19" s="30"/>
      <c r="B19" s="30"/>
    </row>
    <row r="20" spans="1:2">
      <c r="A20" s="30"/>
      <c r="B20" s="30"/>
    </row>
    <row r="21" spans="1:2">
      <c r="A21" s="30"/>
      <c r="B21" s="30"/>
    </row>
    <row r="22" spans="1:2">
      <c r="A22" s="30"/>
      <c r="B22" s="30"/>
    </row>
    <row r="23" spans="1:2">
      <c r="A23" s="30"/>
      <c r="B23" s="30"/>
    </row>
    <row r="24" spans="1:2">
      <c r="A24" s="30"/>
      <c r="B24" s="30"/>
    </row>
    <row r="25" spans="1:2">
      <c r="A25" s="30"/>
      <c r="B25" s="30"/>
    </row>
    <row r="26" spans="1:2">
      <c r="A26" s="30"/>
      <c r="B26" s="30"/>
    </row>
    <row r="27" spans="1:2">
      <c r="A27" s="30"/>
      <c r="B27" s="30"/>
    </row>
    <row r="28" spans="1:2">
      <c r="A28" s="30"/>
      <c r="B28" s="30"/>
    </row>
    <row r="29" spans="1:2">
      <c r="A29" s="30"/>
      <c r="B29" s="30"/>
    </row>
    <row r="30" spans="1:2">
      <c r="A30" s="30"/>
      <c r="B30" s="30"/>
    </row>
    <row r="31" spans="1:2">
      <c r="A31" s="30"/>
      <c r="B31" s="30"/>
    </row>
    <row r="32" spans="1:2">
      <c r="A32" s="30"/>
      <c r="B32" s="30"/>
    </row>
    <row r="33" spans="1:2">
      <c r="A33" s="30"/>
      <c r="B33" s="30"/>
    </row>
    <row r="34" spans="1:2">
      <c r="A34" s="30"/>
      <c r="B34" s="30"/>
    </row>
    <row r="35" spans="1:2">
      <c r="A35" s="30"/>
      <c r="B35" s="30"/>
    </row>
    <row r="36" spans="1:2">
      <c r="A36" s="30"/>
      <c r="B36" s="30"/>
    </row>
    <row r="37" spans="1:2">
      <c r="A37" s="30"/>
      <c r="B37" s="30"/>
    </row>
    <row r="38" spans="1:2">
      <c r="A38" s="30"/>
      <c r="B38" s="30"/>
    </row>
    <row r="39" spans="1:2">
      <c r="A39" s="30"/>
      <c r="B39" s="30"/>
    </row>
    <row r="40" spans="1:2">
      <c r="A40" s="30"/>
      <c r="B40" s="30"/>
    </row>
    <row r="41" spans="1:2">
      <c r="A41" s="30"/>
      <c r="B41" s="30"/>
    </row>
    <row r="42" spans="1:2">
      <c r="A42" s="30"/>
      <c r="B42" s="30"/>
    </row>
    <row r="43" spans="1:2">
      <c r="A43" s="30"/>
      <c r="B43" s="30"/>
    </row>
    <row r="44" spans="1:2">
      <c r="A44" s="30"/>
      <c r="B44" s="30"/>
    </row>
    <row r="45" spans="1:2">
      <c r="A45" s="30"/>
      <c r="B45" s="30"/>
    </row>
    <row r="46" spans="1:2">
      <c r="A46" s="30"/>
      <c r="B46" s="30"/>
    </row>
    <row r="47" spans="1:2">
      <c r="A47" s="30"/>
      <c r="B47" s="30"/>
    </row>
    <row r="48" spans="1:2">
      <c r="A48" s="30"/>
      <c r="B48" s="30"/>
    </row>
    <row r="49" spans="1:2">
      <c r="A49" s="30"/>
      <c r="B49" s="30"/>
    </row>
    <row r="50" spans="1:2">
      <c r="A50" s="30"/>
      <c r="B50" s="30"/>
    </row>
    <row r="51" spans="1:2">
      <c r="A51" s="30"/>
      <c r="B51" s="30"/>
    </row>
    <row r="52" spans="1:2">
      <c r="A52" s="30"/>
      <c r="B52" s="30"/>
    </row>
    <row r="53" spans="1:2">
      <c r="A53" s="30"/>
      <c r="B53" s="30"/>
    </row>
    <row r="54" spans="1:2">
      <c r="A54" s="30"/>
      <c r="B54" s="30"/>
    </row>
    <row r="55" spans="1:2">
      <c r="A55" s="30"/>
      <c r="B55" s="30"/>
    </row>
    <row r="56" spans="1:2">
      <c r="A56" s="30"/>
      <c r="B56" s="30"/>
    </row>
    <row r="57" spans="1:2">
      <c r="A57" s="30"/>
      <c r="B57" s="30"/>
    </row>
    <row r="58" spans="1:2">
      <c r="A58" s="30"/>
      <c r="B58" s="30"/>
    </row>
  </sheetData>
  <sheetProtection sheet="1" objects="1" scenarios="1"/>
  <protectedRanges>
    <protectedRange sqref="B9" name="Input"/>
  </protectedRanges>
  <mergeCells count="3">
    <mergeCell ref="N10:P10"/>
    <mergeCell ref="D1:P6"/>
    <mergeCell ref="A1:C6"/>
  </mergeCells>
  <hyperlinks>
    <hyperlink ref="R1" location="'Cover Sheet'!B12" display="BACK TO COVER SHEET" xr:uid="{ECEAD6A2-F112-4BC4-8650-8020A3BE0F76}"/>
  </hyperlinks>
  <pageMargins left="0.7" right="0.7" top="0.75" bottom="0.75" header="0.3" footer="0.3"/>
  <pageSetup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47B28-6458-4655-8366-3719378BA60A}">
  <dimension ref="A1:B60"/>
  <sheetViews>
    <sheetView topLeftCell="A16" workbookViewId="0">
      <selection activeCell="F49" sqref="F49"/>
    </sheetView>
  </sheetViews>
  <sheetFormatPr defaultRowHeight="15"/>
  <cols>
    <col min="1" max="1" width="5" bestFit="1" customWidth="1"/>
    <col min="2" max="2" width="18.140625" bestFit="1" customWidth="1"/>
  </cols>
  <sheetData>
    <row r="1" spans="1:2">
      <c r="A1" t="s">
        <v>142</v>
      </c>
      <c r="B1" t="s">
        <v>143</v>
      </c>
    </row>
    <row r="2" spans="1:2">
      <c r="A2">
        <v>-0.2</v>
      </c>
      <c r="B2">
        <v>0.95069768355184747</v>
      </c>
    </row>
    <row r="3" spans="1:2">
      <c r="A3">
        <v>0</v>
      </c>
      <c r="B3">
        <v>1.7006366338561165</v>
      </c>
    </row>
    <row r="4" spans="1:2">
      <c r="A4">
        <v>0.2</v>
      </c>
      <c r="B4">
        <v>2.9989314572010177</v>
      </c>
    </row>
    <row r="5" spans="1:2">
      <c r="A5">
        <v>0.25</v>
      </c>
      <c r="B5">
        <v>3.4444589119152798</v>
      </c>
    </row>
    <row r="6" spans="1:2">
      <c r="A6">
        <v>0.3</v>
      </c>
      <c r="B6">
        <v>3.9494722204010948</v>
      </c>
    </row>
    <row r="7" spans="1:2">
      <c r="A7">
        <v>0.35</v>
      </c>
      <c r="B7">
        <v>4.5198485965387434</v>
      </c>
    </row>
    <row r="8" spans="1:2">
      <c r="A8">
        <v>0.4</v>
      </c>
      <c r="B8">
        <v>5.1614242109163433</v>
      </c>
    </row>
    <row r="9" spans="1:2">
      <c r="A9">
        <v>0.45</v>
      </c>
      <c r="B9">
        <v>5.8797823922675141</v>
      </c>
    </row>
    <row r="10" spans="1:2">
      <c r="A10">
        <v>0.5</v>
      </c>
      <c r="B10">
        <v>6.6799909455468223</v>
      </c>
    </row>
    <row r="11" spans="1:2">
      <c r="A11">
        <v>0.55000000000000004</v>
      </c>
      <c r="B11">
        <v>7.5662910642607963</v>
      </c>
    </row>
    <row r="12" spans="1:2">
      <c r="A12">
        <v>0.6</v>
      </c>
      <c r="B12">
        <v>8.541746516708054</v>
      </c>
    </row>
    <row r="13" spans="1:2">
      <c r="A13">
        <v>0.65</v>
      </c>
      <c r="B13">
        <v>9.6078695388294175</v>
      </c>
    </row>
    <row r="14" spans="1:2">
      <c r="A14">
        <v>0.7</v>
      </c>
      <c r="B14">
        <v>10.764248511153289</v>
      </c>
    </row>
    <row r="15" spans="1:2">
      <c r="A15">
        <v>0.75</v>
      </c>
      <c r="B15">
        <v>12.008210814813514</v>
      </c>
    </row>
    <row r="16" spans="1:2">
      <c r="A16">
        <v>0.8</v>
      </c>
      <c r="B16">
        <v>13.334560498352117</v>
      </c>
    </row>
    <row r="17" spans="1:2">
      <c r="A17">
        <v>0.85</v>
      </c>
      <c r="B17">
        <v>14.735432478785766</v>
      </c>
    </row>
    <row r="18" spans="1:2">
      <c r="A18">
        <v>0.9</v>
      </c>
      <c r="B18">
        <v>16.200301028662384</v>
      </c>
    </row>
    <row r="19" spans="1:2">
      <c r="A19">
        <v>0.95</v>
      </c>
      <c r="B19">
        <v>17.716169128187413</v>
      </c>
    </row>
    <row r="20" spans="1:2">
      <c r="A20">
        <v>1</v>
      </c>
      <c r="B20">
        <v>19.267947175801773</v>
      </c>
    </row>
    <row r="21" spans="1:2">
      <c r="A21">
        <v>1.05</v>
      </c>
      <c r="B21">
        <v>20.839006654127541</v>
      </c>
    </row>
    <row r="22" spans="1:2">
      <c r="A22">
        <v>1.1000000000000001</v>
      </c>
      <c r="B22">
        <v>22.41187043181765</v>
      </c>
    </row>
    <row r="23" spans="1:2">
      <c r="A23">
        <v>1.1499999999999999</v>
      </c>
      <c r="B23">
        <v>23.968981169421472</v>
      </c>
    </row>
    <row r="24" spans="1:2">
      <c r="A24">
        <v>1.2</v>
      </c>
      <c r="B24">
        <v>25.493477206364844</v>
      </c>
    </row>
    <row r="25" spans="1:2">
      <c r="A25">
        <v>1.25</v>
      </c>
      <c r="B25">
        <v>26.969904128704751</v>
      </c>
    </row>
    <row r="26" spans="1:2">
      <c r="A26">
        <v>1.3</v>
      </c>
      <c r="B26">
        <v>28.38480023073279</v>
      </c>
    </row>
    <row r="27" spans="1:2">
      <c r="A27">
        <v>1.35</v>
      </c>
      <c r="B27">
        <v>29.727112959819401</v>
      </c>
    </row>
    <row r="28" spans="1:2">
      <c r="A28">
        <v>1.4</v>
      </c>
      <c r="B28">
        <v>30.988426987369738</v>
      </c>
    </row>
    <row r="29" spans="1:2">
      <c r="A29">
        <v>1.45</v>
      </c>
      <c r="B29">
        <v>32.16300800752564</v>
      </c>
    </row>
    <row r="30" spans="1:2">
      <c r="A30">
        <v>1.5</v>
      </c>
      <c r="B30">
        <v>33.247685666428005</v>
      </c>
    </row>
    <row r="31" spans="1:2">
      <c r="A31">
        <v>1.55</v>
      </c>
      <c r="B31">
        <v>34.24161169039575</v>
      </c>
    </row>
    <row r="32" spans="1:2">
      <c r="A32">
        <v>1.6</v>
      </c>
      <c r="B32">
        <v>35.145934670653354</v>
      </c>
    </row>
    <row r="33" spans="1:2">
      <c r="A33">
        <v>1.65</v>
      </c>
      <c r="B33">
        <v>35.963431969535094</v>
      </c>
    </row>
    <row r="34" spans="1:2">
      <c r="A34">
        <v>1.7</v>
      </c>
      <c r="B34">
        <v>36.698133652484316</v>
      </c>
    </row>
    <row r="35" spans="1:2">
      <c r="A35">
        <v>1.75</v>
      </c>
      <c r="B35">
        <v>37.35496530055368</v>
      </c>
    </row>
    <row r="36" spans="1:2">
      <c r="A36">
        <v>1.8</v>
      </c>
      <c r="B36">
        <v>37.93942786220375</v>
      </c>
    </row>
    <row r="37" spans="1:2">
      <c r="A37">
        <v>1.85</v>
      </c>
      <c r="B37">
        <v>38.457324696842775</v>
      </c>
    </row>
    <row r="38" spans="1:2">
      <c r="A38">
        <v>1.9</v>
      </c>
      <c r="B38">
        <v>38.914539414304834</v>
      </c>
    </row>
    <row r="39" spans="1:2">
      <c r="A39">
        <v>1.95</v>
      </c>
      <c r="B39">
        <v>39.316863305348441</v>
      </c>
    </row>
    <row r="40" spans="1:2">
      <c r="A40">
        <v>2</v>
      </c>
      <c r="B40">
        <v>39.669868024790929</v>
      </c>
    </row>
    <row r="41" spans="1:2">
      <c r="A41">
        <v>2.0499999999999998</v>
      </c>
      <c r="B41">
        <v>39.978817470812466</v>
      </c>
    </row>
    <row r="42" spans="1:2">
      <c r="A42">
        <v>2.1</v>
      </c>
      <c r="B42">
        <v>40</v>
      </c>
    </row>
    <row r="43" spans="1:2">
      <c r="A43">
        <v>2.15</v>
      </c>
      <c r="B43">
        <v>40</v>
      </c>
    </row>
    <row r="44" spans="1:2">
      <c r="A44">
        <v>2.2000000000000002</v>
      </c>
      <c r="B44">
        <v>40</v>
      </c>
    </row>
    <row r="45" spans="1:2">
      <c r="A45">
        <v>2.25</v>
      </c>
      <c r="B45">
        <v>40</v>
      </c>
    </row>
    <row r="46" spans="1:2">
      <c r="A46">
        <v>2.2999999999999998</v>
      </c>
      <c r="B46">
        <v>40</v>
      </c>
    </row>
    <row r="47" spans="1:2">
      <c r="A47">
        <v>2.35</v>
      </c>
      <c r="B47">
        <v>40</v>
      </c>
    </row>
    <row r="48" spans="1:2">
      <c r="A48">
        <v>2.4</v>
      </c>
      <c r="B48">
        <v>40</v>
      </c>
    </row>
    <row r="49" spans="1:2">
      <c r="A49">
        <v>2.4500000000000002</v>
      </c>
      <c r="B49">
        <v>40</v>
      </c>
    </row>
    <row r="50" spans="1:2">
      <c r="A50">
        <v>2.5</v>
      </c>
      <c r="B50">
        <v>40</v>
      </c>
    </row>
    <row r="51" spans="1:2">
      <c r="A51">
        <v>2.5499999999999998</v>
      </c>
      <c r="B51">
        <v>40</v>
      </c>
    </row>
    <row r="52" spans="1:2">
      <c r="A52">
        <v>2.6</v>
      </c>
      <c r="B52">
        <v>40</v>
      </c>
    </row>
    <row r="53" spans="1:2">
      <c r="A53">
        <v>2.65</v>
      </c>
      <c r="B53">
        <v>40</v>
      </c>
    </row>
    <row r="54" spans="1:2">
      <c r="A54">
        <v>2.7</v>
      </c>
      <c r="B54">
        <v>40</v>
      </c>
    </row>
    <row r="55" spans="1:2">
      <c r="A55">
        <v>2.75</v>
      </c>
      <c r="B55">
        <v>40</v>
      </c>
    </row>
    <row r="56" spans="1:2">
      <c r="A56">
        <v>2.8</v>
      </c>
      <c r="B56">
        <v>40</v>
      </c>
    </row>
    <row r="57" spans="1:2">
      <c r="A57">
        <v>2.85</v>
      </c>
      <c r="B57">
        <v>40</v>
      </c>
    </row>
    <row r="58" spans="1:2">
      <c r="A58">
        <v>2.9</v>
      </c>
      <c r="B58">
        <v>40</v>
      </c>
    </row>
    <row r="59" spans="1:2">
      <c r="A59">
        <v>2.95</v>
      </c>
      <c r="B59">
        <v>40</v>
      </c>
    </row>
    <row r="60" spans="1:2">
      <c r="A60">
        <v>3</v>
      </c>
      <c r="B60">
        <v>40</v>
      </c>
    </row>
  </sheetData>
  <sheetProtection algorithmName="SHA-512" hashValue="qckzyqMquKqu3i95yM2N3X/IxsM6IDFOM+ELrjqw9VYhMAKDhI10+AsCJSF1a6TaR5wXNWAOjXUqlirS0rUQbg==" saltValue="OQJm8JGPVfiEChumI8hoB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2"/>
  <sheetViews>
    <sheetView showGridLines="0" workbookViewId="0">
      <selection activeCell="C23" sqref="C23"/>
    </sheetView>
  </sheetViews>
  <sheetFormatPr defaultColWidth="9.140625" defaultRowHeight="15"/>
  <cols>
    <col min="1" max="1" width="6.85546875" style="30" customWidth="1"/>
    <col min="2" max="2" width="30.42578125" style="30" bestFit="1" customWidth="1"/>
    <col min="3" max="3" width="19.5703125" style="30" bestFit="1" customWidth="1"/>
    <col min="4" max="17" width="9.140625" style="30"/>
    <col min="18" max="18" width="21" style="30" bestFit="1" customWidth="1"/>
    <col min="19" max="16384" width="9.140625" style="30"/>
  </cols>
  <sheetData>
    <row r="1" spans="1:28">
      <c r="A1" s="323" t="s">
        <v>144</v>
      </c>
      <c r="B1" s="324"/>
      <c r="C1" s="325"/>
      <c r="D1" s="314" t="s">
        <v>145</v>
      </c>
      <c r="E1" s="315"/>
      <c r="F1" s="315"/>
      <c r="G1" s="315"/>
      <c r="H1" s="315"/>
      <c r="I1" s="315"/>
      <c r="J1" s="315"/>
      <c r="K1" s="315"/>
      <c r="L1" s="315"/>
      <c r="M1" s="315"/>
      <c r="N1" s="315"/>
      <c r="O1" s="315"/>
      <c r="P1" s="316"/>
      <c r="R1" s="29" t="s">
        <v>140</v>
      </c>
    </row>
    <row r="2" spans="1:28">
      <c r="A2" s="326"/>
      <c r="B2" s="327"/>
      <c r="C2" s="328"/>
      <c r="D2" s="317"/>
      <c r="E2" s="318"/>
      <c r="F2" s="318"/>
      <c r="G2" s="318"/>
      <c r="H2" s="318"/>
      <c r="I2" s="318"/>
      <c r="J2" s="318"/>
      <c r="K2" s="318"/>
      <c r="L2" s="318"/>
      <c r="M2" s="318"/>
      <c r="N2" s="318"/>
      <c r="O2" s="318"/>
      <c r="P2" s="319"/>
    </row>
    <row r="3" spans="1:28">
      <c r="A3" s="326"/>
      <c r="B3" s="327"/>
      <c r="C3" s="328"/>
      <c r="D3" s="317"/>
      <c r="E3" s="318"/>
      <c r="F3" s="318"/>
      <c r="G3" s="318"/>
      <c r="H3" s="318"/>
      <c r="I3" s="318"/>
      <c r="J3" s="318"/>
      <c r="K3" s="318"/>
      <c r="L3" s="318"/>
      <c r="M3" s="318"/>
      <c r="N3" s="318"/>
      <c r="O3" s="318"/>
      <c r="P3" s="319"/>
    </row>
    <row r="4" spans="1:28">
      <c r="A4" s="326"/>
      <c r="B4" s="327"/>
      <c r="C4" s="328"/>
      <c r="D4" s="317"/>
      <c r="E4" s="318"/>
      <c r="F4" s="318"/>
      <c r="G4" s="318"/>
      <c r="H4" s="318"/>
      <c r="I4" s="318"/>
      <c r="J4" s="318"/>
      <c r="K4" s="318"/>
      <c r="L4" s="318"/>
      <c r="M4" s="318"/>
      <c r="N4" s="318"/>
      <c r="O4" s="318"/>
      <c r="P4" s="319"/>
    </row>
    <row r="5" spans="1:28">
      <c r="A5" s="326"/>
      <c r="B5" s="327"/>
      <c r="C5" s="328"/>
      <c r="D5" s="317"/>
      <c r="E5" s="318"/>
      <c r="F5" s="318"/>
      <c r="G5" s="318"/>
      <c r="H5" s="318"/>
      <c r="I5" s="318"/>
      <c r="J5" s="318"/>
      <c r="K5" s="318"/>
      <c r="L5" s="318"/>
      <c r="M5" s="318"/>
      <c r="N5" s="318"/>
      <c r="O5" s="318"/>
      <c r="P5" s="319"/>
    </row>
    <row r="6" spans="1:28" ht="40.5" customHeight="1" thickBot="1">
      <c r="A6" s="329"/>
      <c r="B6" s="330"/>
      <c r="C6" s="331"/>
      <c r="D6" s="320"/>
      <c r="E6" s="321"/>
      <c r="F6" s="321"/>
      <c r="G6" s="321"/>
      <c r="H6" s="321"/>
      <c r="I6" s="321"/>
      <c r="J6" s="321"/>
      <c r="K6" s="321"/>
      <c r="L6" s="321"/>
      <c r="M6" s="321"/>
      <c r="N6" s="321"/>
      <c r="O6" s="321"/>
      <c r="P6" s="322"/>
    </row>
    <row r="7" spans="1:28" ht="15.75" thickBot="1"/>
    <row r="8" spans="1:28" ht="18.75">
      <c r="B8" s="119" t="s">
        <v>146</v>
      </c>
      <c r="C8" s="120" t="s">
        <v>14</v>
      </c>
    </row>
    <row r="9" spans="1:28" ht="18" thickBot="1">
      <c r="B9" s="114"/>
      <c r="C9" s="115">
        <f>IF(B9="",0,IF(B9&lt;0,0,IF(B9&gt;2.47,10,10.6/(1+EXP(-2*(B9-1.066875))))))</f>
        <v>0</v>
      </c>
    </row>
    <row r="12" spans="1:28" ht="18.75">
      <c r="D12" s="107"/>
    </row>
    <row r="14" spans="1:28" ht="17.25">
      <c r="A14" s="108"/>
    </row>
    <row r="16" spans="1:28">
      <c r="P16" s="129"/>
      <c r="Q16" s="129"/>
      <c r="R16" s="129"/>
      <c r="S16" s="129"/>
      <c r="T16" s="129"/>
      <c r="U16" s="129"/>
      <c r="V16" s="129"/>
      <c r="W16" s="129"/>
      <c r="X16" s="129"/>
      <c r="Y16" s="129"/>
      <c r="Z16" s="129"/>
      <c r="AA16" s="129"/>
      <c r="AB16" s="129"/>
    </row>
    <row r="17" spans="16:28">
      <c r="P17" s="129"/>
      <c r="Q17" s="129"/>
      <c r="R17" s="129"/>
      <c r="S17" s="129"/>
      <c r="T17" s="129"/>
      <c r="U17" s="129"/>
      <c r="V17" s="129"/>
      <c r="W17" s="129"/>
      <c r="X17" s="129"/>
      <c r="Y17" s="129"/>
      <c r="Z17" s="129"/>
      <c r="AA17" s="129"/>
      <c r="AB17" s="129"/>
    </row>
    <row r="18" spans="16:28">
      <c r="P18" s="129"/>
      <c r="Q18" s="129"/>
      <c r="R18" s="129"/>
      <c r="S18" s="129"/>
      <c r="T18" s="129"/>
      <c r="U18" s="129"/>
      <c r="V18" s="129"/>
      <c r="W18" s="129"/>
      <c r="X18" s="129"/>
      <c r="Y18" s="129"/>
      <c r="Z18" s="129"/>
      <c r="AA18" s="129"/>
      <c r="AB18" s="129"/>
    </row>
    <row r="19" spans="16:28">
      <c r="P19" s="129"/>
      <c r="Q19" s="129"/>
      <c r="R19" s="129"/>
      <c r="S19" s="129"/>
      <c r="T19" s="129"/>
      <c r="U19" s="129"/>
      <c r="V19" s="129"/>
      <c r="W19" s="129"/>
      <c r="X19" s="129"/>
      <c r="Y19" s="129"/>
      <c r="Z19" s="129"/>
      <c r="AA19" s="129"/>
      <c r="AB19" s="129"/>
    </row>
    <row r="20" spans="16:28">
      <c r="P20" s="129"/>
      <c r="Q20" s="129"/>
      <c r="R20" s="129"/>
      <c r="S20" s="129"/>
      <c r="T20" s="129"/>
      <c r="U20" s="129"/>
      <c r="V20" s="129"/>
      <c r="W20" s="129"/>
      <c r="X20" s="129"/>
      <c r="Y20" s="129"/>
      <c r="Z20" s="129"/>
      <c r="AA20" s="129"/>
      <c r="AB20" s="129"/>
    </row>
    <row r="21" spans="16:28">
      <c r="P21" s="129"/>
      <c r="Q21" s="129"/>
      <c r="R21" s="129"/>
      <c r="S21" s="129"/>
      <c r="T21" s="129"/>
      <c r="U21" s="129"/>
      <c r="V21" s="129"/>
      <c r="W21" s="129"/>
      <c r="X21" s="129"/>
      <c r="Y21" s="129"/>
      <c r="Z21" s="129"/>
      <c r="AA21" s="129"/>
      <c r="AB21" s="129"/>
    </row>
    <row r="22" spans="16:28">
      <c r="P22" s="129"/>
      <c r="Q22" s="129"/>
      <c r="R22" s="129"/>
      <c r="S22" s="129"/>
      <c r="T22" s="129"/>
      <c r="U22" s="129"/>
      <c r="V22" s="129"/>
      <c r="W22" s="129"/>
      <c r="X22" s="129"/>
      <c r="Y22" s="129"/>
      <c r="Z22" s="129"/>
      <c r="AA22" s="129"/>
      <c r="AB22" s="129"/>
    </row>
  </sheetData>
  <sheetProtection sheet="1" objects="1" scenarios="1"/>
  <protectedRanges>
    <protectedRange sqref="B9" name="Input"/>
  </protectedRanges>
  <mergeCells count="2">
    <mergeCell ref="A1:C6"/>
    <mergeCell ref="D1:P6"/>
  </mergeCells>
  <hyperlinks>
    <hyperlink ref="R1" location="'Cover Sheet'!B13" display="BACK TO COVER SHEET" xr:uid="{11C0D0BF-2DCB-4C14-B8C2-44139D12D5D5}"/>
  </hyperlinks>
  <pageMargins left="0.7" right="0.7" top="0.75" bottom="0.75" header="0.3" footer="0.3"/>
  <pageSetup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1F3A-E250-4EF5-8A80-21FCE7ED6AA4}">
  <dimension ref="A1:B113"/>
  <sheetViews>
    <sheetView workbookViewId="0">
      <selection activeCell="B50" sqref="B50"/>
    </sheetView>
  </sheetViews>
  <sheetFormatPr defaultRowHeight="15"/>
  <sheetData>
    <row r="1" spans="1:2">
      <c r="A1" t="s">
        <v>142</v>
      </c>
      <c r="B1" t="s">
        <v>147</v>
      </c>
    </row>
    <row r="2" spans="1:2">
      <c r="A2">
        <v>-0.55000000000000004</v>
      </c>
      <c r="B2">
        <v>0.40190131695562997</v>
      </c>
    </row>
    <row r="3" spans="1:2">
      <c r="A3">
        <v>-0.5</v>
      </c>
      <c r="B3">
        <v>0.44240552076041129</v>
      </c>
    </row>
    <row r="4" spans="1:2">
      <c r="A4">
        <v>-0.45</v>
      </c>
      <c r="B4">
        <v>0.48679694355860786</v>
      </c>
    </row>
    <row r="5" spans="1:2">
      <c r="A5">
        <v>-0.4</v>
      </c>
      <c r="B5">
        <v>0.53540786155489828</v>
      </c>
    </row>
    <row r="6" spans="1:2">
      <c r="A6">
        <v>-0.35</v>
      </c>
      <c r="B6">
        <v>0.58859048660900581</v>
      </c>
    </row>
    <row r="7" spans="1:2">
      <c r="A7">
        <v>-0.3</v>
      </c>
      <c r="B7">
        <v>0.64671635027333485</v>
      </c>
    </row>
    <row r="8" spans="1:2">
      <c r="A8">
        <v>-0.25</v>
      </c>
      <c r="B8">
        <v>0.71017520625356489</v>
      </c>
    </row>
    <row r="9" spans="1:2">
      <c r="A9">
        <v>-0.2</v>
      </c>
      <c r="B9">
        <v>0.77937335982524281</v>
      </c>
    </row>
    <row r="10" spans="1:2">
      <c r="A10">
        <v>-0.15</v>
      </c>
      <c r="B10">
        <v>0.85473132682589481</v>
      </c>
    </row>
    <row r="11" spans="1:2">
      <c r="A11">
        <v>-0.1</v>
      </c>
      <c r="B11">
        <v>0.93668072157640403</v>
      </c>
    </row>
    <row r="12" spans="1:2">
      <c r="A12">
        <v>-0.05</v>
      </c>
      <c r="B12">
        <v>1.0256602736393419</v>
      </c>
    </row>
    <row r="13" spans="1:2">
      <c r="A13">
        <v>0</v>
      </c>
      <c r="B13">
        <v>1.1221108790560397</v>
      </c>
    </row>
    <row r="14" spans="1:2">
      <c r="A14">
        <v>5.0000000000000898E-2</v>
      </c>
      <c r="B14">
        <v>1.226469604124103</v>
      </c>
    </row>
    <row r="15" spans="1:2">
      <c r="A15">
        <v>0.100000000000001</v>
      </c>
      <c r="B15">
        <v>1.3391625804524443</v>
      </c>
    </row>
    <row r="16" spans="1:2">
      <c r="A16">
        <v>0.15000000000000099</v>
      </c>
      <c r="B16">
        <v>1.4605967604673606</v>
      </c>
    </row>
    <row r="17" spans="1:2">
      <c r="A17">
        <v>0.20000000000000101</v>
      </c>
      <c r="B17">
        <v>1.5911505439994185</v>
      </c>
    </row>
    <row r="18" spans="1:2">
      <c r="A18">
        <v>0.250000000000001</v>
      </c>
      <c r="B18">
        <v>1.7311633398317163</v>
      </c>
    </row>
    <row r="19" spans="1:2">
      <c r="A19">
        <v>0.30000000000000099</v>
      </c>
      <c r="B19">
        <v>1.8809241911386014</v>
      </c>
    </row>
    <row r="20" spans="1:2">
      <c r="A20">
        <v>0.35000000000000098</v>
      </c>
      <c r="B20">
        <v>2.0406596695066139</v>
      </c>
    </row>
    <row r="21" spans="1:2">
      <c r="A21">
        <v>0.40000000000000102</v>
      </c>
      <c r="B21">
        <v>2.2105213262251886</v>
      </c>
    </row>
    <row r="22" spans="1:2">
      <c r="A22">
        <v>0.45</v>
      </c>
      <c r="B22">
        <v>2.3905730776326992</v>
      </c>
    </row>
    <row r="23" spans="1:2">
      <c r="A23">
        <v>0.5</v>
      </c>
      <c r="B23">
        <v>2.5807789875967302</v>
      </c>
    </row>
    <row r="24" spans="1:2">
      <c r="A24">
        <v>0.55000000000000004</v>
      </c>
      <c r="B24">
        <v>2.7809919870885791</v>
      </c>
    </row>
    <row r="25" spans="1:2">
      <c r="A25">
        <v>0.6</v>
      </c>
      <c r="B25">
        <v>2.9909441293260719</v>
      </c>
    </row>
    <row r="26" spans="1:2">
      <c r="A26">
        <v>0.65</v>
      </c>
      <c r="B26">
        <v>3.210239009482029</v>
      </c>
    </row>
    <row r="27" spans="1:2">
      <c r="A27">
        <v>0.7</v>
      </c>
      <c r="B27">
        <v>3.4383469712121877</v>
      </c>
    </row>
    <row r="28" spans="1:2">
      <c r="A28">
        <v>0.75</v>
      </c>
      <c r="B28">
        <v>3.6746036706086374</v>
      </c>
    </row>
    <row r="29" spans="1:2">
      <c r="A29">
        <v>0.8</v>
      </c>
      <c r="B29">
        <v>3.9182124670667529</v>
      </c>
    </row>
    <row r="30" spans="1:2">
      <c r="A30">
        <v>0.85</v>
      </c>
      <c r="B30">
        <v>4.1682509598271187</v>
      </c>
    </row>
    <row r="31" spans="1:2">
      <c r="A31">
        <v>0.9</v>
      </c>
      <c r="B31">
        <v>4.4236817939213369</v>
      </c>
    </row>
    <row r="32" spans="1:2">
      <c r="A32">
        <v>0.95</v>
      </c>
      <c r="B32">
        <v>4.6833676310464165</v>
      </c>
    </row>
    <row r="33" spans="1:2">
      <c r="A33">
        <v>1</v>
      </c>
      <c r="B33">
        <v>4.9460899360356221</v>
      </c>
    </row>
    <row r="34" spans="1:2">
      <c r="A34">
        <v>1.05</v>
      </c>
      <c r="B34">
        <v>5.2105709886082918</v>
      </c>
    </row>
    <row r="35" spans="1:2">
      <c r="A35">
        <v>1.1000000000000001</v>
      </c>
      <c r="B35">
        <v>5.4754983152721683</v>
      </c>
    </row>
    <row r="36" spans="1:2">
      <c r="A36">
        <v>1.1499999999999999</v>
      </c>
      <c r="B36">
        <v>5.7395505689179203</v>
      </c>
    </row>
    <row r="37" spans="1:2">
      <c r="A37">
        <v>1.2</v>
      </c>
      <c r="B37">
        <v>6.0014237811690876</v>
      </c>
    </row>
    <row r="38" spans="1:2">
      <c r="A38">
        <v>1.25</v>
      </c>
      <c r="B38">
        <v>6.2598568858855179</v>
      </c>
    </row>
    <row r="39" spans="1:2">
      <c r="A39">
        <v>1.3</v>
      </c>
      <c r="B39">
        <v>6.5136554642507418</v>
      </c>
    </row>
    <row r="40" spans="1:2">
      <c r="A40">
        <v>1.35</v>
      </c>
      <c r="B40">
        <v>6.7617127869849076</v>
      </c>
    </row>
    <row r="41" spans="1:2">
      <c r="A41">
        <v>1.4</v>
      </c>
      <c r="B41">
        <v>7.0030274141415711</v>
      </c>
    </row>
    <row r="42" spans="1:2">
      <c r="A42">
        <v>1.45</v>
      </c>
      <c r="B42">
        <v>7.2367168387078262</v>
      </c>
    </row>
    <row r="43" spans="1:2">
      <c r="A43">
        <v>1.5</v>
      </c>
      <c r="B43">
        <v>7.4620269048839418</v>
      </c>
    </row>
    <row r="44" spans="1:2">
      <c r="A44">
        <v>1.55</v>
      </c>
      <c r="B44">
        <v>7.6783369734586433</v>
      </c>
    </row>
    <row r="45" spans="1:2">
      <c r="A45">
        <v>1.6</v>
      </c>
      <c r="B45">
        <v>7.885161025689734</v>
      </c>
    </row>
    <row r="46" spans="1:2">
      <c r="A46">
        <v>1.65</v>
      </c>
      <c r="B46">
        <v>8.0821450786721982</v>
      </c>
    </row>
    <row r="47" spans="1:2">
      <c r="A47">
        <v>1.7</v>
      </c>
      <c r="B47">
        <v>8.269061420082755</v>
      </c>
    </row>
    <row r="48" spans="1:2">
      <c r="A48">
        <v>1.75</v>
      </c>
      <c r="B48">
        <v>8.4458002549753921</v>
      </c>
    </row>
    <row r="49" spans="1:2">
      <c r="A49">
        <v>1.8</v>
      </c>
      <c r="B49">
        <v>8.6123593936774459</v>
      </c>
    </row>
    <row r="50" spans="1:2">
      <c r="A50">
        <v>1.85</v>
      </c>
      <c r="B50">
        <v>8.7688326035218953</v>
      </c>
    </row>
    <row r="51" spans="1:2">
      <c r="A51">
        <v>1.9</v>
      </c>
      <c r="B51">
        <v>8.9153972064730294</v>
      </c>
    </row>
    <row r="52" spans="1:2">
      <c r="A52">
        <v>1.95</v>
      </c>
      <c r="B52">
        <v>9.0523014391785157</v>
      </c>
    </row>
    <row r="53" spans="1:2">
      <c r="A53">
        <v>2</v>
      </c>
      <c r="B53">
        <v>9.1798520111133559</v>
      </c>
    </row>
    <row r="54" spans="1:2">
      <c r="A54">
        <v>2.0499999999999998</v>
      </c>
      <c r="B54">
        <v>9.2984022088449301</v>
      </c>
    </row>
    <row r="55" spans="1:2">
      <c r="A55">
        <v>2.1</v>
      </c>
      <c r="B55">
        <v>9.4083408071224888</v>
      </c>
    </row>
    <row r="56" spans="1:2">
      <c r="A56">
        <v>2.15</v>
      </c>
      <c r="B56">
        <v>9.5100819658052025</v>
      </c>
    </row>
    <row r="57" spans="1:2">
      <c r="A57">
        <v>2.2000000000000002</v>
      </c>
      <c r="B57">
        <v>9.6040562191638834</v>
      </c>
    </row>
    <row r="58" spans="1:2">
      <c r="A58">
        <v>2.25</v>
      </c>
      <c r="B58">
        <v>9.6907026028174563</v>
      </c>
    </row>
    <row r="59" spans="1:2">
      <c r="A59">
        <v>2.2999999999999998</v>
      </c>
      <c r="B59">
        <v>9.770461914191781</v>
      </c>
    </row>
    <row r="60" spans="1:2">
      <c r="A60">
        <v>2.35</v>
      </c>
      <c r="B60">
        <v>9.8437710646273633</v>
      </c>
    </row>
    <row r="61" spans="1:2">
      <c r="A61">
        <v>2.4</v>
      </c>
      <c r="B61">
        <v>9.9110584541527533</v>
      </c>
    </row>
    <row r="62" spans="1:2">
      <c r="A62">
        <v>2.4500000000000002</v>
      </c>
      <c r="B62">
        <v>9.9727402821195419</v>
      </c>
    </row>
    <row r="63" spans="1:2">
      <c r="A63">
        <v>2.5</v>
      </c>
      <c r="B63">
        <v>10</v>
      </c>
    </row>
    <row r="64" spans="1:2">
      <c r="A64">
        <v>2.5499999999999998</v>
      </c>
      <c r="B64">
        <v>10</v>
      </c>
    </row>
    <row r="65" spans="1:2">
      <c r="A65">
        <v>2.6</v>
      </c>
      <c r="B65">
        <v>10</v>
      </c>
    </row>
    <row r="66" spans="1:2">
      <c r="A66">
        <v>2.65</v>
      </c>
      <c r="B66">
        <v>10</v>
      </c>
    </row>
    <row r="67" spans="1:2">
      <c r="A67">
        <v>2.7</v>
      </c>
      <c r="B67">
        <v>10</v>
      </c>
    </row>
    <row r="68" spans="1:2">
      <c r="A68">
        <v>2.75</v>
      </c>
      <c r="B68">
        <v>10</v>
      </c>
    </row>
    <row r="69" spans="1:2">
      <c r="A69">
        <v>2.8</v>
      </c>
      <c r="B69">
        <v>10</v>
      </c>
    </row>
    <row r="70" spans="1:2">
      <c r="A70">
        <v>2.85</v>
      </c>
      <c r="B70">
        <v>10</v>
      </c>
    </row>
    <row r="71" spans="1:2">
      <c r="A71">
        <v>2.9</v>
      </c>
      <c r="B71">
        <v>10</v>
      </c>
    </row>
    <row r="72" spans="1:2">
      <c r="A72">
        <v>2.95</v>
      </c>
      <c r="B72">
        <v>10</v>
      </c>
    </row>
    <row r="73" spans="1:2">
      <c r="A73">
        <v>3</v>
      </c>
      <c r="B73">
        <v>10</v>
      </c>
    </row>
    <row r="74" spans="1:2">
      <c r="A74">
        <v>3.05</v>
      </c>
      <c r="B74">
        <v>10</v>
      </c>
    </row>
    <row r="75" spans="1:2">
      <c r="A75">
        <v>3.1</v>
      </c>
      <c r="B75">
        <v>10</v>
      </c>
    </row>
    <row r="76" spans="1:2">
      <c r="A76">
        <v>3.15</v>
      </c>
      <c r="B76">
        <v>10</v>
      </c>
    </row>
    <row r="77" spans="1:2">
      <c r="A77">
        <v>3.2</v>
      </c>
      <c r="B77">
        <v>10</v>
      </c>
    </row>
    <row r="78" spans="1:2">
      <c r="A78">
        <v>3.25</v>
      </c>
      <c r="B78">
        <v>10</v>
      </c>
    </row>
    <row r="79" spans="1:2">
      <c r="A79">
        <v>3.3</v>
      </c>
      <c r="B79">
        <v>10</v>
      </c>
    </row>
    <row r="80" spans="1:2">
      <c r="A80">
        <v>3.35</v>
      </c>
      <c r="B80">
        <v>10</v>
      </c>
    </row>
    <row r="81" spans="1:2">
      <c r="A81">
        <v>3.4</v>
      </c>
      <c r="B81">
        <v>10</v>
      </c>
    </row>
    <row r="82" spans="1:2">
      <c r="A82">
        <v>3.45</v>
      </c>
      <c r="B82">
        <v>10</v>
      </c>
    </row>
    <row r="83" spans="1:2">
      <c r="A83">
        <v>3.5</v>
      </c>
      <c r="B83">
        <v>10</v>
      </c>
    </row>
    <row r="84" spans="1:2">
      <c r="A84">
        <v>3.55</v>
      </c>
      <c r="B84">
        <v>10</v>
      </c>
    </row>
    <row r="85" spans="1:2">
      <c r="A85">
        <v>3.6</v>
      </c>
      <c r="B85">
        <v>10</v>
      </c>
    </row>
    <row r="86" spans="1:2">
      <c r="A86">
        <v>3.65</v>
      </c>
      <c r="B86">
        <v>10</v>
      </c>
    </row>
    <row r="87" spans="1:2">
      <c r="A87">
        <v>3.7</v>
      </c>
      <c r="B87">
        <v>10</v>
      </c>
    </row>
    <row r="88" spans="1:2">
      <c r="A88">
        <v>3.75</v>
      </c>
      <c r="B88">
        <v>10</v>
      </c>
    </row>
    <row r="89" spans="1:2">
      <c r="A89">
        <v>3.8</v>
      </c>
      <c r="B89">
        <v>10</v>
      </c>
    </row>
    <row r="90" spans="1:2">
      <c r="A90">
        <v>3.85</v>
      </c>
      <c r="B90">
        <v>10</v>
      </c>
    </row>
    <row r="91" spans="1:2">
      <c r="A91">
        <v>3.9</v>
      </c>
      <c r="B91">
        <v>10</v>
      </c>
    </row>
    <row r="92" spans="1:2">
      <c r="A92">
        <v>3.95</v>
      </c>
      <c r="B92">
        <v>10</v>
      </c>
    </row>
    <row r="93" spans="1:2">
      <c r="A93">
        <v>4</v>
      </c>
      <c r="B93">
        <v>10</v>
      </c>
    </row>
    <row r="94" spans="1:2">
      <c r="A94">
        <v>4.05</v>
      </c>
      <c r="B94">
        <v>10</v>
      </c>
    </row>
    <row r="95" spans="1:2">
      <c r="A95">
        <v>4.0999999999999996</v>
      </c>
      <c r="B95">
        <v>10</v>
      </c>
    </row>
    <row r="96" spans="1:2">
      <c r="A96">
        <v>4.1500000000000004</v>
      </c>
      <c r="B96">
        <v>10</v>
      </c>
    </row>
    <row r="97" spans="1:2">
      <c r="A97">
        <v>4.2</v>
      </c>
      <c r="B97">
        <v>10</v>
      </c>
    </row>
    <row r="98" spans="1:2">
      <c r="A98">
        <v>4.25</v>
      </c>
      <c r="B98">
        <v>10</v>
      </c>
    </row>
    <row r="99" spans="1:2">
      <c r="A99">
        <v>4.3</v>
      </c>
      <c r="B99">
        <v>10</v>
      </c>
    </row>
    <row r="100" spans="1:2">
      <c r="A100">
        <v>4.3499999999999996</v>
      </c>
      <c r="B100">
        <v>10</v>
      </c>
    </row>
    <row r="101" spans="1:2">
      <c r="A101">
        <v>4.3999999999999897</v>
      </c>
      <c r="B101">
        <v>10</v>
      </c>
    </row>
    <row r="102" spans="1:2">
      <c r="A102">
        <v>4.4499999999999904</v>
      </c>
      <c r="B102">
        <v>10</v>
      </c>
    </row>
    <row r="103" spans="1:2">
      <c r="A103">
        <v>4.4999999999999902</v>
      </c>
      <c r="B103">
        <v>10</v>
      </c>
    </row>
    <row r="104" spans="1:2">
      <c r="A104">
        <v>4.5499999999999901</v>
      </c>
      <c r="B104">
        <v>10</v>
      </c>
    </row>
    <row r="105" spans="1:2">
      <c r="A105">
        <v>4.5999999999999899</v>
      </c>
      <c r="B105">
        <v>10</v>
      </c>
    </row>
    <row r="106" spans="1:2">
      <c r="A106">
        <v>4.6499999999999897</v>
      </c>
      <c r="B106">
        <v>10</v>
      </c>
    </row>
    <row r="107" spans="1:2">
      <c r="A107">
        <v>4.6999999999999904</v>
      </c>
      <c r="B107">
        <v>10</v>
      </c>
    </row>
    <row r="108" spans="1:2">
      <c r="A108">
        <v>4.7499999999999902</v>
      </c>
      <c r="B108">
        <v>10</v>
      </c>
    </row>
    <row r="109" spans="1:2">
      <c r="A109">
        <v>4.7999999999999901</v>
      </c>
      <c r="B109">
        <v>10</v>
      </c>
    </row>
    <row r="110" spans="1:2">
      <c r="A110">
        <v>4.8499999999999899</v>
      </c>
      <c r="B110">
        <v>10</v>
      </c>
    </row>
    <row r="111" spans="1:2">
      <c r="A111">
        <v>4.8999999999999897</v>
      </c>
      <c r="B111">
        <v>10</v>
      </c>
    </row>
    <row r="112" spans="1:2">
      <c r="A112">
        <v>4.9499999999999904</v>
      </c>
      <c r="B112">
        <v>10</v>
      </c>
    </row>
    <row r="113" spans="1:2">
      <c r="A113">
        <v>4.9999999999999902</v>
      </c>
      <c r="B113">
        <v>10</v>
      </c>
    </row>
  </sheetData>
  <sheetProtection algorithmName="SHA-512" hashValue="2uZMDEcaTrsnif6+W2deQo8m8PVjUBaG7BWXYpVGCypAV94D58n7R4fEsapXk1K3UoaYlXAd3jTeXGTsR0zIIA==" saltValue="QypFP+5GKCSe1gAGF4dUg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F117"/>
  <sheetViews>
    <sheetView showGridLines="0" zoomScaleNormal="100" workbookViewId="0">
      <selection activeCell="E29" sqref="E29:I34"/>
    </sheetView>
  </sheetViews>
  <sheetFormatPr defaultColWidth="9.5703125" defaultRowHeight="15"/>
  <cols>
    <col min="1" max="1" width="5.7109375" customWidth="1"/>
    <col min="2" max="2" width="46.28515625" customWidth="1"/>
    <col min="3" max="3" width="4.5703125" hidden="1" customWidth="1"/>
    <col min="4" max="4" width="50.7109375" bestFit="1" customWidth="1"/>
    <col min="5" max="5" width="9.85546875" customWidth="1"/>
    <col min="6" max="8" width="13" customWidth="1"/>
    <col min="9" max="9" width="13.140625" customWidth="1"/>
    <col min="10" max="11" width="11.7109375" customWidth="1"/>
    <col min="12" max="14" width="12.28515625" customWidth="1"/>
    <col min="15" max="16" width="9.85546875" customWidth="1"/>
    <col min="17" max="17" width="11.7109375" customWidth="1"/>
    <col min="18" max="18" width="21" bestFit="1" customWidth="1"/>
    <col min="19" max="19" width="11.7109375" customWidth="1"/>
    <col min="20" max="24" width="9.85546875" customWidth="1"/>
    <col min="25" max="25" width="17" bestFit="1" customWidth="1"/>
    <col min="26" max="26" width="6" bestFit="1" customWidth="1"/>
    <col min="27" max="27" width="2.28515625" bestFit="1" customWidth="1"/>
    <col min="28" max="28" width="5" bestFit="1" customWidth="1"/>
    <col min="29" max="29" width="9.5703125" bestFit="1" customWidth="1"/>
    <col min="30" max="30" width="10.42578125" bestFit="1" customWidth="1"/>
    <col min="31" max="31" width="9.140625" bestFit="1" customWidth="1"/>
    <col min="32" max="33" width="9.85546875" customWidth="1"/>
    <col min="34" max="38" width="5.140625" customWidth="1"/>
    <col min="39" max="39" width="3.28515625" customWidth="1"/>
    <col min="40" max="40" width="44.7109375" bestFit="1" customWidth="1"/>
    <col min="41" max="41" width="6.85546875" bestFit="1" customWidth="1"/>
    <col min="42" max="42" width="40.140625" bestFit="1" customWidth="1"/>
    <col min="43" max="43" width="14.140625" bestFit="1" customWidth="1"/>
    <col min="44" max="44" width="10.42578125" bestFit="1" customWidth="1"/>
    <col min="45" max="45" width="9.140625" bestFit="1" customWidth="1"/>
    <col min="46" max="47" width="8.5703125" bestFit="1" customWidth="1"/>
    <col min="48" max="48" width="10.140625" bestFit="1" customWidth="1"/>
    <col min="49" max="49" width="8.5703125" bestFit="1" customWidth="1"/>
    <col min="50" max="50" width="10.140625" bestFit="1" customWidth="1"/>
    <col min="51" max="52" width="8.5703125" bestFit="1" customWidth="1"/>
    <col min="53" max="53" width="21.5703125" bestFit="1" customWidth="1"/>
    <col min="54" max="62" width="8.5703125" bestFit="1" customWidth="1"/>
    <col min="63" max="84" width="3" bestFit="1" customWidth="1"/>
    <col min="85" max="88" width="3" customWidth="1"/>
    <col min="89" max="92" width="3" bestFit="1" customWidth="1"/>
  </cols>
  <sheetData>
    <row r="1" spans="1:266">
      <c r="A1" s="323" t="s">
        <v>148</v>
      </c>
      <c r="B1" s="324"/>
      <c r="C1" s="325"/>
      <c r="D1" s="314" t="s">
        <v>149</v>
      </c>
      <c r="E1" s="315"/>
      <c r="F1" s="315"/>
      <c r="G1" s="315"/>
      <c r="H1" s="315"/>
      <c r="I1" s="315"/>
      <c r="J1" s="315"/>
      <c r="K1" s="315"/>
      <c r="L1" s="315"/>
      <c r="M1" s="315"/>
      <c r="N1" s="315"/>
      <c r="O1" s="315"/>
      <c r="P1" s="316"/>
      <c r="Q1" s="1"/>
      <c r="R1" s="29" t="s">
        <v>140</v>
      </c>
      <c r="S1" s="1"/>
      <c r="T1" s="1"/>
      <c r="U1" s="1"/>
      <c r="V1" s="1"/>
      <c r="Y1" s="13"/>
      <c r="Z1" s="13"/>
      <c r="AA1" s="13" t="s">
        <v>150</v>
      </c>
      <c r="AB1" s="13">
        <v>-2.5</v>
      </c>
      <c r="AC1" s="13"/>
      <c r="AD1" s="13"/>
      <c r="AE1" s="13"/>
    </row>
    <row r="2" spans="1:266">
      <c r="A2" s="326"/>
      <c r="B2" s="327"/>
      <c r="C2" s="328"/>
      <c r="D2" s="317"/>
      <c r="E2" s="318"/>
      <c r="F2" s="318"/>
      <c r="G2" s="318"/>
      <c r="H2" s="318"/>
      <c r="I2" s="318"/>
      <c r="J2" s="318"/>
      <c r="K2" s="318"/>
      <c r="L2" s="318"/>
      <c r="M2" s="318"/>
      <c r="N2" s="318"/>
      <c r="O2" s="318"/>
      <c r="P2" s="319"/>
      <c r="Q2" s="1"/>
      <c r="R2" s="1"/>
      <c r="S2" s="1"/>
      <c r="T2" s="1"/>
      <c r="U2" s="1"/>
      <c r="V2" s="1"/>
      <c r="Y2" s="13"/>
      <c r="Z2" s="13"/>
      <c r="AA2" s="13"/>
      <c r="AB2" s="13"/>
      <c r="AC2" s="13"/>
      <c r="AD2" s="13"/>
      <c r="AE2" s="13"/>
    </row>
    <row r="3" spans="1:266">
      <c r="A3" s="326"/>
      <c r="B3" s="327"/>
      <c r="C3" s="328"/>
      <c r="D3" s="317"/>
      <c r="E3" s="318"/>
      <c r="F3" s="318"/>
      <c r="G3" s="318"/>
      <c r="H3" s="318"/>
      <c r="I3" s="318"/>
      <c r="J3" s="318"/>
      <c r="K3" s="318"/>
      <c r="L3" s="318"/>
      <c r="M3" s="318"/>
      <c r="N3" s="318"/>
      <c r="O3" s="318"/>
      <c r="P3" s="319"/>
      <c r="Q3" s="1"/>
      <c r="R3" s="1"/>
      <c r="S3" s="1"/>
      <c r="T3" s="1"/>
      <c r="U3" s="1"/>
      <c r="V3" s="1"/>
      <c r="Y3" s="13"/>
      <c r="Z3" s="13"/>
      <c r="AA3" s="13"/>
      <c r="AB3" s="13"/>
      <c r="AC3" s="13"/>
      <c r="AD3" s="13"/>
      <c r="AE3" s="13"/>
    </row>
    <row r="4" spans="1:266">
      <c r="A4" s="326"/>
      <c r="B4" s="327"/>
      <c r="C4" s="328"/>
      <c r="D4" s="317"/>
      <c r="E4" s="318"/>
      <c r="F4" s="318"/>
      <c r="G4" s="318"/>
      <c r="H4" s="318"/>
      <c r="I4" s="318"/>
      <c r="J4" s="318"/>
      <c r="K4" s="318"/>
      <c r="L4" s="318"/>
      <c r="M4" s="318"/>
      <c r="N4" s="318"/>
      <c r="O4" s="318"/>
      <c r="P4" s="319"/>
      <c r="Q4" s="1"/>
      <c r="R4" s="29"/>
      <c r="S4" s="1"/>
      <c r="T4" s="1"/>
      <c r="U4" s="1"/>
      <c r="V4" s="1"/>
      <c r="Y4" s="13"/>
      <c r="Z4" s="13"/>
      <c r="AA4" s="13"/>
      <c r="AB4" s="13"/>
      <c r="AC4" s="13"/>
      <c r="AD4" s="13"/>
      <c r="AE4" s="13"/>
    </row>
    <row r="5" spans="1:266">
      <c r="A5" s="326"/>
      <c r="B5" s="327"/>
      <c r="C5" s="328"/>
      <c r="D5" s="317"/>
      <c r="E5" s="318"/>
      <c r="F5" s="318"/>
      <c r="G5" s="318"/>
      <c r="H5" s="318"/>
      <c r="I5" s="318"/>
      <c r="J5" s="318"/>
      <c r="K5" s="318"/>
      <c r="L5" s="318"/>
      <c r="M5" s="318"/>
      <c r="N5" s="318"/>
      <c r="O5" s="318"/>
      <c r="P5" s="319"/>
      <c r="Q5" s="1"/>
      <c r="R5" s="1"/>
      <c r="S5" s="1"/>
      <c r="T5" s="1"/>
      <c r="U5" s="1"/>
      <c r="V5" s="1"/>
      <c r="Y5" s="13"/>
      <c r="Z5" s="13"/>
      <c r="AA5" s="13"/>
      <c r="AB5" s="13"/>
      <c r="AC5" s="13"/>
      <c r="AD5" s="13"/>
      <c r="AE5" s="13"/>
    </row>
    <row r="6" spans="1:266" ht="15.75" thickBot="1">
      <c r="A6" s="329"/>
      <c r="B6" s="330"/>
      <c r="C6" s="331"/>
      <c r="D6" s="320"/>
      <c r="E6" s="321"/>
      <c r="F6" s="321"/>
      <c r="G6" s="321"/>
      <c r="H6" s="321"/>
      <c r="I6" s="321"/>
      <c r="J6" s="321"/>
      <c r="K6" s="321"/>
      <c r="L6" s="321"/>
      <c r="M6" s="321"/>
      <c r="N6" s="321"/>
      <c r="O6" s="321"/>
      <c r="P6" s="322"/>
      <c r="Q6" s="1"/>
      <c r="R6" s="1"/>
      <c r="S6" s="1"/>
      <c r="T6" s="1"/>
      <c r="U6" s="1"/>
      <c r="V6" s="1"/>
      <c r="Y6" s="13"/>
      <c r="Z6" s="13"/>
      <c r="AA6" s="13"/>
      <c r="AB6" s="13"/>
      <c r="AC6" s="13"/>
      <c r="AD6" s="13"/>
      <c r="AE6" s="13"/>
    </row>
    <row r="7" spans="1:266" ht="15.75" thickBot="1">
      <c r="A7" s="2"/>
      <c r="B7" s="1"/>
      <c r="C7" s="1"/>
      <c r="D7" s="1"/>
      <c r="E7" s="1"/>
      <c r="F7" s="1"/>
      <c r="G7" s="1"/>
      <c r="H7" s="1"/>
      <c r="I7" s="1"/>
      <c r="P7" s="1"/>
      <c r="Q7" s="1"/>
      <c r="R7" s="1"/>
      <c r="S7" s="1"/>
      <c r="T7" s="1"/>
      <c r="U7" s="27"/>
      <c r="V7" s="27"/>
      <c r="W7" s="28"/>
      <c r="X7" s="28"/>
      <c r="Y7" s="13"/>
      <c r="Z7" s="13"/>
      <c r="AA7" s="13" t="s">
        <v>151</v>
      </c>
      <c r="AB7" s="13">
        <v>21.3</v>
      </c>
      <c r="AC7" s="13"/>
      <c r="AD7" s="13"/>
      <c r="AE7" s="13"/>
      <c r="AF7" s="28"/>
      <c r="AG7" s="28"/>
      <c r="AH7" s="28"/>
      <c r="AI7" s="28"/>
      <c r="AJ7" s="28"/>
      <c r="AK7" s="28"/>
      <c r="AL7" s="28"/>
      <c r="BE7" s="7"/>
      <c r="BF7" s="238"/>
    </row>
    <row r="8" spans="1:266" ht="18.75" thickBot="1">
      <c r="A8" s="1"/>
      <c r="B8" s="334" t="s">
        <v>152</v>
      </c>
      <c r="C8" s="335"/>
      <c r="D8" s="336"/>
      <c r="E8" s="26"/>
      <c r="L8" s="337" t="s">
        <v>153</v>
      </c>
      <c r="M8" s="338"/>
      <c r="N8" s="339"/>
      <c r="P8" s="215"/>
      <c r="Q8" s="215"/>
      <c r="R8" s="215"/>
      <c r="S8" s="215"/>
      <c r="T8" s="201"/>
      <c r="U8" s="201"/>
      <c r="V8" s="201"/>
      <c r="W8" s="202"/>
      <c r="X8" s="202"/>
      <c r="Y8" s="203"/>
      <c r="Z8" s="203"/>
      <c r="AA8" s="203"/>
      <c r="AB8" s="203"/>
      <c r="AC8" s="203"/>
      <c r="AD8" s="203"/>
      <c r="AE8" s="203"/>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204"/>
      <c r="BF8" s="20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c r="II8" s="134"/>
      <c r="IJ8" s="134"/>
      <c r="IK8" s="134"/>
      <c r="IL8" s="134"/>
      <c r="IM8" s="134"/>
      <c r="IN8" s="134"/>
      <c r="IO8" s="134"/>
      <c r="IP8" s="134"/>
      <c r="IQ8" s="134"/>
      <c r="IR8" s="134"/>
      <c r="IS8" s="134"/>
      <c r="IT8" s="134"/>
      <c r="IU8" s="134"/>
      <c r="IV8" s="134"/>
      <c r="IW8" s="134"/>
      <c r="IX8" s="134"/>
      <c r="IY8" s="134"/>
      <c r="IZ8" s="134"/>
      <c r="JA8" s="134"/>
      <c r="JB8" s="134"/>
      <c r="JC8" s="134"/>
      <c r="JD8" s="134"/>
      <c r="JE8" s="134"/>
      <c r="JF8" s="134"/>
    </row>
    <row r="9" spans="1:266" ht="15" customHeight="1">
      <c r="A9" s="1"/>
      <c r="B9" s="102" t="s">
        <v>154</v>
      </c>
      <c r="C9" s="3"/>
      <c r="D9" s="103">
        <f>'Cover Sheet'!H3</f>
        <v>100000000</v>
      </c>
      <c r="E9" s="239"/>
      <c r="L9" s="55"/>
      <c r="M9" s="56"/>
      <c r="N9" s="57"/>
      <c r="P9" s="216"/>
      <c r="Q9" s="216"/>
      <c r="R9" s="216"/>
      <c r="S9" s="216"/>
      <c r="T9" s="200"/>
      <c r="U9" s="200"/>
      <c r="V9" s="200"/>
      <c r="W9" s="202"/>
      <c r="X9" s="202"/>
      <c r="Y9" s="203"/>
      <c r="Z9" s="203"/>
      <c r="AA9" s="203"/>
      <c r="AB9" s="203"/>
      <c r="AC9" s="203"/>
      <c r="AD9" s="203"/>
      <c r="AE9" s="203"/>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204"/>
      <c r="BF9" s="20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4"/>
      <c r="HS9" s="134"/>
      <c r="HT9" s="134"/>
      <c r="HU9" s="134"/>
      <c r="HV9" s="134"/>
      <c r="HW9" s="134"/>
      <c r="HX9" s="134"/>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row>
    <row r="10" spans="1:266" ht="17.25">
      <c r="A10" s="1"/>
      <c r="B10" s="110" t="s">
        <v>155</v>
      </c>
      <c r="C10" s="3"/>
      <c r="D10" s="111">
        <v>0</v>
      </c>
      <c r="E10" s="239"/>
      <c r="L10" s="369" t="s">
        <v>156</v>
      </c>
      <c r="M10" s="342"/>
      <c r="N10" s="370"/>
      <c r="P10" s="216"/>
      <c r="Q10" s="216"/>
      <c r="R10" s="216"/>
      <c r="S10" s="216"/>
      <c r="T10" s="200"/>
      <c r="U10" s="200"/>
      <c r="V10" s="200"/>
      <c r="W10" s="202"/>
      <c r="X10" s="202"/>
      <c r="Y10" s="203"/>
      <c r="Z10" s="203"/>
      <c r="AA10" s="203"/>
      <c r="AB10" s="203"/>
      <c r="AC10" s="203"/>
      <c r="AD10" s="203"/>
      <c r="AE10" s="203"/>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204"/>
      <c r="BF10" s="20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4"/>
      <c r="HS10" s="134"/>
      <c r="HT10" s="134"/>
      <c r="HU10" s="134"/>
      <c r="HV10" s="134"/>
      <c r="HW10" s="134"/>
      <c r="HX10" s="134"/>
      <c r="HY10" s="134"/>
      <c r="HZ10" s="134"/>
      <c r="IA10" s="134"/>
      <c r="IB10" s="134"/>
      <c r="IC10" s="134"/>
      <c r="ID10" s="134"/>
      <c r="IE10" s="134"/>
      <c r="IF10" s="134"/>
      <c r="IG10" s="134"/>
      <c r="IH10" s="134"/>
      <c r="II10" s="134"/>
      <c r="IJ10" s="134"/>
      <c r="IK10" s="134"/>
      <c r="IL10" s="134"/>
      <c r="IM10" s="134"/>
      <c r="IN10" s="134"/>
      <c r="IO10" s="134"/>
      <c r="IP10" s="134"/>
      <c r="IQ10" s="134"/>
      <c r="IR10" s="134"/>
      <c r="IS10" s="134"/>
      <c r="IT10" s="134"/>
      <c r="IU10" s="134"/>
      <c r="IV10" s="134"/>
      <c r="IW10" s="134"/>
      <c r="IX10" s="134"/>
      <c r="IY10" s="134"/>
      <c r="IZ10" s="134"/>
      <c r="JA10" s="134"/>
      <c r="JB10" s="134"/>
      <c r="JC10" s="134"/>
      <c r="JD10" s="134"/>
      <c r="JE10" s="134"/>
      <c r="JF10" s="134"/>
    </row>
    <row r="11" spans="1:266" ht="17.25">
      <c r="A11" s="1"/>
      <c r="B11" s="110" t="s">
        <v>157</v>
      </c>
      <c r="C11" s="3"/>
      <c r="D11" s="111"/>
      <c r="E11" s="239"/>
      <c r="L11" s="371">
        <f ca="1">'Factor 3 Calculations'!B38</f>
        <v>0</v>
      </c>
      <c r="M11" s="372"/>
      <c r="N11" s="373"/>
      <c r="P11" s="216"/>
      <c r="Q11" s="216"/>
      <c r="R11" s="216"/>
      <c r="S11" s="216"/>
      <c r="T11" s="200"/>
      <c r="U11" s="200"/>
      <c r="V11" s="200"/>
      <c r="W11" s="202"/>
      <c r="X11" s="202"/>
      <c r="Y11" s="203"/>
      <c r="Z11" s="203"/>
      <c r="AA11" s="203"/>
      <c r="AB11" s="203"/>
      <c r="AC11" s="203"/>
      <c r="AD11" s="203"/>
      <c r="AE11" s="203"/>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204"/>
      <c r="BF11" s="20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row>
    <row r="12" spans="1:266" ht="15" customHeight="1">
      <c r="A12" s="1"/>
      <c r="B12" s="180" t="s">
        <v>158</v>
      </c>
      <c r="C12" s="3"/>
      <c r="D12" s="103">
        <f>D9-D10</f>
        <v>100000000</v>
      </c>
      <c r="E12" s="239"/>
      <c r="L12" s="17"/>
      <c r="M12" s="54"/>
      <c r="N12" s="18"/>
      <c r="P12" s="216"/>
      <c r="Q12" s="216"/>
      <c r="R12" s="216"/>
      <c r="S12" s="216"/>
      <c r="T12" s="200"/>
      <c r="U12" s="200"/>
      <c r="V12" s="200"/>
      <c r="W12" s="202"/>
      <c r="X12" s="202"/>
      <c r="Y12" s="203"/>
      <c r="Z12" s="203"/>
      <c r="AA12" s="203"/>
      <c r="AB12" s="203"/>
      <c r="AC12" s="203"/>
      <c r="AD12" s="203"/>
      <c r="AE12" s="203"/>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204"/>
      <c r="BF12" s="20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c r="II12" s="134"/>
      <c r="IJ12" s="134"/>
      <c r="IK12" s="134"/>
      <c r="IL12" s="134"/>
      <c r="IM12" s="134"/>
      <c r="IN12" s="134"/>
      <c r="IO12" s="134"/>
      <c r="IP12" s="134"/>
      <c r="IQ12" s="134"/>
      <c r="IR12" s="134"/>
      <c r="IS12" s="134"/>
      <c r="IT12" s="134"/>
      <c r="IU12" s="134"/>
      <c r="IV12" s="134"/>
      <c r="IW12" s="134"/>
      <c r="IX12" s="134"/>
      <c r="IY12" s="134"/>
      <c r="IZ12" s="134"/>
      <c r="JA12" s="134"/>
      <c r="JB12" s="134"/>
      <c r="JC12" s="134"/>
      <c r="JD12" s="134"/>
      <c r="JE12" s="134"/>
      <c r="JF12" s="134"/>
    </row>
    <row r="13" spans="1:266" ht="17.25">
      <c r="A13" s="1"/>
      <c r="B13" s="20" t="s">
        <v>159</v>
      </c>
      <c r="C13" s="67"/>
      <c r="D13" s="93">
        <f ca="1">YEAR(TODAY())</f>
        <v>2026</v>
      </c>
      <c r="E13" s="23"/>
      <c r="L13" s="369" t="s">
        <v>160</v>
      </c>
      <c r="M13" s="342"/>
      <c r="N13" s="370"/>
      <c r="P13" s="216"/>
      <c r="Q13" s="216"/>
      <c r="R13" s="216"/>
      <c r="S13" s="216"/>
      <c r="T13" s="200"/>
      <c r="U13" s="200"/>
      <c r="V13" s="200"/>
      <c r="W13" s="202"/>
      <c r="X13" s="202"/>
      <c r="Y13" s="203"/>
      <c r="Z13" s="203"/>
      <c r="AA13" s="203"/>
      <c r="AB13" s="203"/>
      <c r="AC13" s="203"/>
      <c r="AD13" s="203"/>
      <c r="AE13" s="203"/>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204"/>
      <c r="BF13" s="20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c r="IW13" s="134"/>
      <c r="IX13" s="134"/>
      <c r="IY13" s="134"/>
      <c r="IZ13" s="134"/>
      <c r="JA13" s="134"/>
      <c r="JB13" s="134"/>
      <c r="JC13" s="134"/>
      <c r="JD13" s="134"/>
      <c r="JE13" s="134"/>
      <c r="JF13" s="134"/>
    </row>
    <row r="14" spans="1:266" ht="17.25">
      <c r="A14" s="1"/>
      <c r="B14" s="20" t="s">
        <v>161</v>
      </c>
      <c r="C14" s="67"/>
      <c r="D14" s="93">
        <f ca="1">D13+6</f>
        <v>2032</v>
      </c>
      <c r="E14" s="23"/>
      <c r="L14" s="371">
        <f ca="1">'Factor 3 Calculations'!B39</f>
        <v>0</v>
      </c>
      <c r="M14" s="372"/>
      <c r="N14" s="373"/>
      <c r="P14" s="216"/>
      <c r="Q14" s="216"/>
      <c r="R14" s="216"/>
      <c r="S14" s="216"/>
      <c r="T14" s="200"/>
      <c r="U14" s="200"/>
      <c r="V14" s="200"/>
      <c r="W14" s="202"/>
      <c r="X14" s="202"/>
      <c r="Y14" s="203"/>
      <c r="Z14" s="203"/>
      <c r="AA14" s="203"/>
      <c r="AB14" s="203"/>
      <c r="AC14" s="203"/>
      <c r="AD14" s="203"/>
      <c r="AE14" s="203"/>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204"/>
      <c r="BF14" s="20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c r="IW14" s="134"/>
      <c r="IX14" s="134"/>
      <c r="IY14" s="134"/>
      <c r="IZ14" s="134"/>
      <c r="JA14" s="134"/>
      <c r="JB14" s="134"/>
      <c r="JC14" s="134"/>
      <c r="JD14" s="134"/>
      <c r="JE14" s="134"/>
      <c r="JF14" s="134"/>
    </row>
    <row r="15" spans="1:266" ht="17.25">
      <c r="A15" s="1"/>
      <c r="B15" s="102" t="s">
        <v>162</v>
      </c>
      <c r="C15" s="3"/>
      <c r="D15" s="104">
        <v>20</v>
      </c>
      <c r="E15" s="23"/>
      <c r="L15" s="17"/>
      <c r="M15" s="54"/>
      <c r="N15" s="18"/>
      <c r="P15" s="216"/>
      <c r="Q15" s="216"/>
      <c r="R15" s="216"/>
      <c r="S15" s="216"/>
      <c r="T15" s="200"/>
      <c r="U15" s="200"/>
      <c r="V15" s="200"/>
      <c r="W15" s="202"/>
      <c r="X15" s="202"/>
      <c r="Y15" s="203"/>
      <c r="Z15" s="203"/>
      <c r="AA15" s="203"/>
      <c r="AB15" s="203"/>
      <c r="AC15" s="203"/>
      <c r="AD15" s="203"/>
      <c r="AE15" s="203"/>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204"/>
      <c r="BF15" s="20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c r="II15" s="134"/>
      <c r="IJ15" s="134"/>
      <c r="IK15" s="134"/>
      <c r="IL15" s="134"/>
      <c r="IM15" s="134"/>
      <c r="IN15" s="134"/>
      <c r="IO15" s="134"/>
      <c r="IP15" s="134"/>
      <c r="IQ15" s="134"/>
      <c r="IR15" s="134"/>
      <c r="IS15" s="134"/>
      <c r="IT15" s="134"/>
      <c r="IU15" s="134"/>
      <c r="IV15" s="134"/>
      <c r="IW15" s="134"/>
      <c r="IX15" s="134"/>
      <c r="IY15" s="134"/>
      <c r="IZ15" s="134"/>
      <c r="JA15" s="134"/>
      <c r="JB15" s="134"/>
      <c r="JC15" s="134"/>
      <c r="JD15" s="134"/>
      <c r="JE15" s="134"/>
      <c r="JF15" s="134"/>
    </row>
    <row r="16" spans="1:266" ht="17.25">
      <c r="A16" s="1"/>
      <c r="B16" s="20" t="s">
        <v>163</v>
      </c>
      <c r="C16" s="67"/>
      <c r="D16" s="105">
        <v>7.0000000000000001E-3</v>
      </c>
      <c r="E16" s="23"/>
      <c r="L16" s="369" t="s">
        <v>164</v>
      </c>
      <c r="M16" s="342"/>
      <c r="N16" s="370"/>
      <c r="P16" s="216"/>
      <c r="Q16" s="216"/>
      <c r="R16" s="216"/>
      <c r="S16" s="216"/>
      <c r="T16" s="200"/>
      <c r="U16" s="200"/>
      <c r="V16" s="200"/>
      <c r="W16" s="202"/>
      <c r="X16" s="202"/>
      <c r="Y16" s="203"/>
      <c r="Z16" s="203"/>
      <c r="AA16" s="203"/>
      <c r="AB16" s="203"/>
      <c r="AC16" s="203"/>
      <c r="AD16" s="203"/>
      <c r="AE16" s="203"/>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204"/>
      <c r="BF16" s="20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c r="IP16" s="134"/>
      <c r="IQ16" s="134"/>
      <c r="IR16" s="134"/>
      <c r="IS16" s="134"/>
      <c r="IT16" s="134"/>
      <c r="IU16" s="134"/>
      <c r="IV16" s="134"/>
      <c r="IW16" s="134"/>
      <c r="IX16" s="134"/>
      <c r="IY16" s="134"/>
      <c r="IZ16" s="134"/>
      <c r="JA16" s="134"/>
      <c r="JB16" s="134"/>
      <c r="JC16" s="134"/>
      <c r="JD16" s="134"/>
      <c r="JE16" s="134"/>
      <c r="JF16" s="134"/>
    </row>
    <row r="17" spans="1:266" ht="18.75" thickBot="1">
      <c r="A17" s="1"/>
      <c r="B17" s="343" t="s">
        <v>165</v>
      </c>
      <c r="C17" s="344"/>
      <c r="D17" s="345"/>
      <c r="E17" s="24"/>
      <c r="I17" s="24"/>
      <c r="L17" s="371">
        <f ca="1">'Factor 3 Calculations'!B41</f>
        <v>0</v>
      </c>
      <c r="M17" s="372"/>
      <c r="N17" s="373"/>
      <c r="P17" s="216"/>
      <c r="Q17" s="216"/>
      <c r="R17" s="216"/>
      <c r="S17" s="216"/>
      <c r="T17" s="200"/>
      <c r="U17" s="200"/>
      <c r="V17" s="200"/>
      <c r="W17" s="202"/>
      <c r="X17" s="202"/>
      <c r="Y17" s="203"/>
      <c r="Z17" s="203"/>
      <c r="AA17" s="203"/>
      <c r="AB17" s="203"/>
      <c r="AC17" s="203"/>
      <c r="AD17" s="203"/>
      <c r="AE17" s="203"/>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204"/>
      <c r="BF17" s="204"/>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4"/>
      <c r="CX17" s="134"/>
      <c r="CY17" s="134"/>
      <c r="CZ17" s="134"/>
      <c r="DA17" s="134"/>
      <c r="DB17" s="134"/>
      <c r="DC17" s="134"/>
      <c r="DD17" s="134"/>
      <c r="DE17" s="134"/>
      <c r="DF17" s="134"/>
      <c r="DG17" s="134"/>
      <c r="DH17" s="134"/>
      <c r="DI17" s="134"/>
      <c r="DJ17" s="134"/>
      <c r="DK17" s="134"/>
      <c r="DL17" s="134"/>
      <c r="DM17" s="134"/>
      <c r="DN17" s="134"/>
      <c r="DO17" s="134"/>
      <c r="DP17" s="134"/>
      <c r="DQ17" s="134"/>
      <c r="DR17" s="134"/>
      <c r="DS17" s="134"/>
      <c r="DT17" s="134"/>
      <c r="DU17" s="134"/>
      <c r="DV17" s="134"/>
      <c r="DW17" s="134"/>
      <c r="DX17" s="134"/>
      <c r="DY17" s="134"/>
      <c r="DZ17" s="134"/>
      <c r="EA17" s="134"/>
      <c r="EB17" s="134"/>
      <c r="EC17" s="134"/>
      <c r="ED17" s="134"/>
      <c r="EE17" s="134"/>
      <c r="EF17" s="134"/>
      <c r="EG17" s="134"/>
      <c r="EH17" s="134"/>
      <c r="EI17" s="134"/>
      <c r="EJ17" s="134"/>
      <c r="EK17" s="134"/>
      <c r="EL17" s="134"/>
      <c r="EM17" s="134"/>
      <c r="EN17" s="134"/>
      <c r="EO17" s="134"/>
      <c r="EP17" s="134"/>
      <c r="EQ17" s="134"/>
      <c r="ER17" s="134"/>
      <c r="ES17" s="134"/>
      <c r="ET17" s="134"/>
      <c r="EU17" s="134"/>
      <c r="EV17" s="134"/>
      <c r="EW17" s="134"/>
      <c r="EX17" s="134"/>
      <c r="EY17" s="134"/>
      <c r="EZ17" s="134"/>
      <c r="FA17" s="134"/>
      <c r="FB17" s="134"/>
      <c r="FC17" s="134"/>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c r="II17" s="134"/>
      <c r="IJ17" s="134"/>
      <c r="IK17" s="134"/>
      <c r="IL17" s="134"/>
      <c r="IM17" s="134"/>
      <c r="IN17" s="134"/>
      <c r="IO17" s="134"/>
      <c r="IP17" s="134"/>
      <c r="IQ17" s="134"/>
      <c r="IR17" s="134"/>
      <c r="IS17" s="134"/>
      <c r="IT17" s="134"/>
      <c r="IU17" s="134"/>
      <c r="IV17" s="134"/>
      <c r="IW17" s="134"/>
      <c r="IX17" s="134"/>
      <c r="IY17" s="134"/>
      <c r="IZ17" s="134"/>
      <c r="JA17" s="134"/>
      <c r="JB17" s="134"/>
      <c r="JC17" s="134"/>
      <c r="JD17" s="134"/>
      <c r="JE17" s="134"/>
      <c r="JF17" s="134"/>
    </row>
    <row r="18" spans="1:266" ht="17.25">
      <c r="A18" s="1"/>
      <c r="B18" s="32" t="s">
        <v>166</v>
      </c>
      <c r="C18" s="63"/>
      <c r="D18" s="194">
        <f>IF(AND(D19&lt;1,D20&lt;1),1000,(0.3*D19)+(2000*D20)+1000)</f>
        <v>1000</v>
      </c>
      <c r="E18" s="25"/>
      <c r="I18" s="25"/>
      <c r="L18" s="99"/>
      <c r="M18" s="100"/>
      <c r="N18" s="101"/>
      <c r="P18" s="216"/>
      <c r="Q18" s="216"/>
      <c r="R18" s="216"/>
      <c r="S18" s="216"/>
      <c r="T18" s="200"/>
      <c r="U18" s="200"/>
      <c r="V18" s="200"/>
      <c r="W18" s="202"/>
      <c r="X18" s="202"/>
      <c r="Y18" s="203"/>
      <c r="Z18" s="203"/>
      <c r="AA18" s="203"/>
      <c r="AB18" s="203"/>
      <c r="AC18" s="203"/>
      <c r="AD18" s="203"/>
      <c r="AE18" s="203"/>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204"/>
      <c r="BF18" s="20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4"/>
      <c r="IP18" s="134"/>
      <c r="IQ18" s="134"/>
      <c r="IR18" s="134"/>
      <c r="IS18" s="134"/>
      <c r="IT18" s="134"/>
      <c r="IU18" s="134"/>
      <c r="IV18" s="134"/>
      <c r="IW18" s="134"/>
      <c r="IX18" s="134"/>
      <c r="IY18" s="134"/>
      <c r="IZ18" s="134"/>
      <c r="JA18" s="134"/>
      <c r="JB18" s="134"/>
      <c r="JC18" s="134"/>
      <c r="JD18" s="134"/>
      <c r="JE18" s="134"/>
      <c r="JF18" s="134"/>
    </row>
    <row r="19" spans="1:266" ht="17.25">
      <c r="A19" s="1"/>
      <c r="B19" s="106" t="s">
        <v>167</v>
      </c>
      <c r="C19" s="61"/>
      <c r="D19" s="64"/>
      <c r="E19" s="240"/>
      <c r="I19" s="240"/>
      <c r="L19" s="369" t="s">
        <v>168</v>
      </c>
      <c r="M19" s="342"/>
      <c r="N19" s="370"/>
      <c r="P19" s="216"/>
      <c r="Q19" s="216"/>
      <c r="R19" s="216"/>
      <c r="S19" s="216"/>
      <c r="T19" s="200"/>
      <c r="U19" s="200"/>
      <c r="V19" s="200"/>
      <c r="W19" s="202"/>
      <c r="X19" s="202"/>
      <c r="Y19" s="203"/>
      <c r="Z19" s="203"/>
      <c r="AA19" s="203"/>
      <c r="AB19" s="203"/>
      <c r="AC19" s="203"/>
      <c r="AD19" s="203"/>
      <c r="AE19" s="203"/>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204"/>
      <c r="BF19" s="20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c r="EC19" s="134"/>
      <c r="ED19" s="134"/>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c r="IM19" s="134"/>
      <c r="IN19" s="134"/>
      <c r="IO19" s="134"/>
      <c r="IP19" s="134"/>
      <c r="IQ19" s="134"/>
      <c r="IR19" s="134"/>
      <c r="IS19" s="134"/>
      <c r="IT19" s="134"/>
      <c r="IU19" s="134"/>
      <c r="IV19" s="134"/>
      <c r="IW19" s="134"/>
      <c r="IX19" s="134"/>
      <c r="IY19" s="134"/>
      <c r="IZ19" s="134"/>
      <c r="JA19" s="134"/>
      <c r="JB19" s="134"/>
      <c r="JC19" s="134"/>
      <c r="JD19" s="134"/>
      <c r="JE19" s="134"/>
      <c r="JF19" s="134"/>
    </row>
    <row r="20" spans="1:266" ht="17.25">
      <c r="A20" s="1"/>
      <c r="B20" s="106" t="s">
        <v>169</v>
      </c>
      <c r="C20" s="61"/>
      <c r="D20" s="65"/>
      <c r="E20" s="6"/>
      <c r="I20" s="6"/>
      <c r="L20" s="371">
        <f ca="1">'Factor 3 Calculations'!B36</f>
        <v>112639891.33720446</v>
      </c>
      <c r="M20" s="372"/>
      <c r="N20" s="373"/>
      <c r="P20" s="216"/>
      <c r="Q20" s="216"/>
      <c r="R20" s="216"/>
      <c r="S20" s="216"/>
      <c r="T20" s="200"/>
      <c r="U20" s="200"/>
      <c r="V20" s="200"/>
      <c r="W20" s="202"/>
      <c r="X20" s="202"/>
      <c r="Y20" s="203"/>
      <c r="Z20" s="203"/>
      <c r="AA20" s="203"/>
      <c r="AB20" s="203"/>
      <c r="AC20" s="203"/>
      <c r="AD20" s="203"/>
      <c r="AE20" s="203"/>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204"/>
      <c r="BF20" s="20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4"/>
      <c r="IP20" s="134"/>
      <c r="IQ20" s="134"/>
      <c r="IR20" s="134"/>
      <c r="IS20" s="134"/>
      <c r="IT20" s="134"/>
      <c r="IU20" s="134"/>
      <c r="IV20" s="134"/>
      <c r="IW20" s="134"/>
      <c r="IX20" s="134"/>
      <c r="IY20" s="134"/>
      <c r="IZ20" s="134"/>
      <c r="JA20" s="134"/>
      <c r="JB20" s="134"/>
      <c r="JC20" s="134"/>
      <c r="JD20" s="134"/>
      <c r="JE20" s="134"/>
      <c r="JF20" s="134"/>
    </row>
    <row r="21" spans="1:266" ht="15" customHeight="1">
      <c r="A21" s="1"/>
      <c r="B21" s="346" t="s">
        <v>170</v>
      </c>
      <c r="C21" s="347"/>
      <c r="D21" s="348"/>
      <c r="E21" s="23"/>
      <c r="L21" s="19"/>
      <c r="M21" s="240"/>
      <c r="N21" s="241"/>
      <c r="P21" s="216"/>
      <c r="Q21" s="216"/>
      <c r="R21" s="216"/>
      <c r="S21" s="216"/>
      <c r="T21" s="200"/>
      <c r="U21" s="200"/>
      <c r="V21" s="200"/>
      <c r="W21" s="202"/>
      <c r="X21" s="202"/>
      <c r="Y21" s="203"/>
      <c r="Z21" s="203"/>
      <c r="AA21" s="203"/>
      <c r="AB21" s="203"/>
      <c r="AC21" s="203"/>
      <c r="AD21" s="203"/>
      <c r="AE21" s="203"/>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204"/>
      <c r="BF21" s="20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c r="IP21" s="134"/>
      <c r="IQ21" s="134"/>
      <c r="IR21" s="134"/>
      <c r="IS21" s="134"/>
      <c r="IT21" s="134"/>
      <c r="IU21" s="134"/>
      <c r="IV21" s="134"/>
      <c r="IW21" s="134"/>
      <c r="IX21" s="134"/>
      <c r="IY21" s="134"/>
      <c r="IZ21" s="134"/>
      <c r="JA21" s="134"/>
      <c r="JB21" s="134"/>
      <c r="JC21" s="134"/>
      <c r="JD21" s="134"/>
      <c r="JE21" s="134"/>
      <c r="JF21" s="134"/>
    </row>
    <row r="22" spans="1:266" ht="17.25">
      <c r="A22" s="1"/>
      <c r="B22" s="20" t="s">
        <v>171</v>
      </c>
      <c r="C22" s="61"/>
      <c r="D22" s="64"/>
      <c r="E22" s="196"/>
      <c r="L22" s="369" t="s">
        <v>172</v>
      </c>
      <c r="M22" s="342"/>
      <c r="N22" s="370"/>
      <c r="S22" s="216"/>
      <c r="T22" s="200"/>
      <c r="U22" s="200"/>
      <c r="V22" s="200"/>
      <c r="W22" s="202"/>
      <c r="X22" s="202"/>
      <c r="Y22" s="203"/>
      <c r="Z22" s="203"/>
      <c r="AA22" s="203"/>
      <c r="AB22" s="203"/>
      <c r="AC22" s="203"/>
      <c r="AD22" s="203"/>
      <c r="AE22" s="203"/>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204"/>
      <c r="BF22" s="20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4"/>
      <c r="IQ22" s="134"/>
      <c r="IR22" s="134"/>
      <c r="IS22" s="134"/>
      <c r="IT22" s="134"/>
      <c r="IU22" s="134"/>
      <c r="IV22" s="134"/>
      <c r="IW22" s="134"/>
      <c r="IX22" s="134"/>
      <c r="IY22" s="134"/>
      <c r="IZ22" s="134"/>
      <c r="JA22" s="134"/>
      <c r="JB22" s="134"/>
      <c r="JC22" s="134"/>
      <c r="JD22" s="134"/>
      <c r="JE22" s="134"/>
      <c r="JF22" s="134"/>
    </row>
    <row r="23" spans="1:266" ht="18" customHeight="1">
      <c r="A23" s="1"/>
      <c r="B23" s="20" t="s">
        <v>173</v>
      </c>
      <c r="C23" s="61"/>
      <c r="D23" s="64"/>
      <c r="E23" s="239"/>
      <c r="L23" s="186">
        <f ca="1">IFERROR('Factor 3 Calculations'!B42,0)</f>
        <v>0</v>
      </c>
      <c r="M23" s="187"/>
      <c r="N23" s="188"/>
      <c r="S23" s="216"/>
      <c r="T23" s="200"/>
      <c r="U23" s="200"/>
      <c r="V23" s="200"/>
      <c r="W23" s="202"/>
      <c r="X23" s="202"/>
      <c r="Y23" s="203"/>
      <c r="Z23" s="203"/>
      <c r="AA23" s="203"/>
      <c r="AB23" s="203"/>
      <c r="AC23" s="203"/>
      <c r="AD23" s="203"/>
      <c r="AE23" s="203"/>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204"/>
      <c r="BF23" s="20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c r="IP23" s="134"/>
      <c r="IQ23" s="134"/>
      <c r="IR23" s="134"/>
      <c r="IS23" s="134"/>
      <c r="IT23" s="134"/>
      <c r="IU23" s="134"/>
      <c r="IV23" s="134"/>
      <c r="IW23" s="134"/>
      <c r="IX23" s="134"/>
      <c r="IY23" s="134"/>
      <c r="IZ23" s="134"/>
      <c r="JA23" s="134"/>
      <c r="JB23" s="134"/>
      <c r="JC23" s="134"/>
      <c r="JD23" s="134"/>
      <c r="JE23" s="134"/>
      <c r="JF23" s="134"/>
    </row>
    <row r="24" spans="1:266" ht="18" customHeight="1" thickBot="1">
      <c r="A24" s="1"/>
      <c r="B24" s="21" t="s">
        <v>174</v>
      </c>
      <c r="C24" s="62"/>
      <c r="D24" s="66"/>
      <c r="E24" s="239"/>
      <c r="F24" s="239"/>
      <c r="G24" s="239"/>
      <c r="L24" s="17"/>
      <c r="M24" s="239"/>
      <c r="N24" s="18"/>
      <c r="S24" s="216"/>
      <c r="T24" s="200"/>
      <c r="U24" s="200"/>
      <c r="V24" s="200"/>
      <c r="W24" s="202"/>
      <c r="X24" s="202"/>
      <c r="Y24" s="203"/>
      <c r="Z24" s="203"/>
      <c r="AA24" s="203"/>
      <c r="AB24" s="203"/>
      <c r="AC24" s="203"/>
      <c r="AD24" s="203"/>
      <c r="AE24" s="203"/>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204"/>
      <c r="BF24" s="20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c r="IP24" s="134"/>
      <c r="IQ24" s="134"/>
      <c r="IR24" s="134"/>
      <c r="IS24" s="134"/>
      <c r="IT24" s="134"/>
      <c r="IU24" s="134"/>
      <c r="IV24" s="134"/>
      <c r="IW24" s="134"/>
      <c r="IX24" s="134"/>
      <c r="IY24" s="134"/>
      <c r="IZ24" s="134"/>
      <c r="JA24" s="134"/>
      <c r="JB24" s="134"/>
      <c r="JC24" s="134"/>
      <c r="JD24" s="134"/>
      <c r="JE24" s="134"/>
      <c r="JF24" s="134"/>
    </row>
    <row r="25" spans="1:266" ht="17.25" customHeight="1">
      <c r="A25" s="1"/>
      <c r="B25" s="349" t="s">
        <v>175</v>
      </c>
      <c r="C25" s="350"/>
      <c r="D25" s="351"/>
      <c r="E25" s="239"/>
      <c r="F25" s="239"/>
      <c r="G25" s="239"/>
      <c r="L25" s="363" t="s">
        <v>14</v>
      </c>
      <c r="M25" s="364"/>
      <c r="N25" s="365"/>
      <c r="S25" s="216"/>
      <c r="T25" s="200"/>
      <c r="U25" s="200"/>
      <c r="V25" s="200"/>
      <c r="W25" s="202"/>
      <c r="X25" s="202"/>
      <c r="Y25" s="203"/>
      <c r="Z25" s="203"/>
      <c r="AA25" s="203"/>
      <c r="AB25" s="203"/>
      <c r="AC25" s="203"/>
      <c r="AD25" s="203"/>
      <c r="AE25" s="203"/>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204"/>
      <c r="BF25" s="205"/>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4"/>
      <c r="IP25" s="134"/>
      <c r="IQ25" s="134"/>
      <c r="IR25" s="134"/>
      <c r="IS25" s="134"/>
      <c r="IT25" s="134"/>
      <c r="IU25" s="134"/>
      <c r="IV25" s="134"/>
      <c r="IW25" s="134"/>
      <c r="IX25" s="134"/>
      <c r="IY25" s="134"/>
      <c r="IZ25" s="134"/>
      <c r="JA25" s="134"/>
      <c r="JB25" s="134"/>
      <c r="JC25" s="134"/>
      <c r="JD25" s="134"/>
      <c r="JE25" s="134"/>
      <c r="JF25" s="134"/>
    </row>
    <row r="26" spans="1:266" ht="18" customHeight="1" thickBot="1">
      <c r="A26" s="1"/>
      <c r="B26" s="20" t="s">
        <v>176</v>
      </c>
      <c r="C26" s="61"/>
      <c r="D26" s="64"/>
      <c r="E26" s="332" t="str">
        <f>IF(D26="Other", "Note: Raw crash data will be used since there is no SPF for the chosen facility type","")</f>
        <v/>
      </c>
      <c r="F26" s="332"/>
      <c r="G26" s="332"/>
      <c r="H26" s="332"/>
      <c r="I26" s="332"/>
      <c r="L26" s="92">
        <f ca="1">IF(L23="",0,IF(L23&gt;6,35,IF(L23&lt;1,0,((7*L23)-7))))</f>
        <v>0</v>
      </c>
      <c r="M26" s="58" t="s">
        <v>177</v>
      </c>
      <c r="N26" s="59">
        <v>35</v>
      </c>
      <c r="S26" s="216"/>
      <c r="T26" s="200"/>
      <c r="U26" s="200"/>
      <c r="V26" s="200"/>
      <c r="W26" s="202"/>
      <c r="X26" s="202"/>
      <c r="Y26" s="203"/>
      <c r="Z26" s="203"/>
      <c r="AA26" s="203"/>
      <c r="AB26" s="203"/>
      <c r="AC26" s="203"/>
      <c r="AD26" s="203"/>
      <c r="AE26" s="203"/>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204"/>
      <c r="BF26" s="20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4"/>
      <c r="DV26" s="134"/>
      <c r="DW26" s="134"/>
      <c r="DX26" s="134"/>
      <c r="DY26" s="134"/>
      <c r="DZ26" s="134"/>
      <c r="EA26" s="134"/>
      <c r="EB26" s="134"/>
      <c r="EC26" s="134"/>
      <c r="ED26" s="134"/>
      <c r="EE26" s="134"/>
      <c r="EF26" s="134"/>
      <c r="EG26" s="134"/>
      <c r="EH26" s="134"/>
      <c r="EI26" s="134"/>
      <c r="EJ26" s="134"/>
      <c r="EK26" s="134"/>
      <c r="EL26" s="134"/>
      <c r="EM26" s="134"/>
      <c r="EN26" s="134"/>
      <c r="EO26" s="134"/>
      <c r="EP26" s="134"/>
      <c r="EQ26" s="134"/>
      <c r="ER26" s="134"/>
      <c r="ES26" s="134"/>
      <c r="ET26" s="134"/>
      <c r="EU26" s="134"/>
      <c r="EV26" s="134"/>
      <c r="EW26" s="134"/>
      <c r="EX26" s="134"/>
      <c r="EY26" s="134"/>
      <c r="EZ26" s="134"/>
      <c r="FA26" s="134"/>
      <c r="FB26" s="134"/>
      <c r="FC26" s="134"/>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4"/>
      <c r="IP26" s="134"/>
      <c r="IQ26" s="134"/>
      <c r="IR26" s="134"/>
      <c r="IS26" s="134"/>
      <c r="IT26" s="134"/>
      <c r="IU26" s="134"/>
      <c r="IV26" s="134"/>
      <c r="IW26" s="134"/>
      <c r="IX26" s="134"/>
      <c r="IY26" s="134"/>
      <c r="IZ26" s="134"/>
      <c r="JA26" s="134"/>
      <c r="JB26" s="134"/>
      <c r="JC26" s="134"/>
      <c r="JD26" s="134"/>
      <c r="JE26" s="134"/>
      <c r="JF26" s="134"/>
    </row>
    <row r="27" spans="1:266" ht="17.25" customHeight="1">
      <c r="A27" s="1"/>
      <c r="B27" s="20" t="s">
        <v>178</v>
      </c>
      <c r="C27" s="61" t="e">
        <f>VLOOKUP($D$26,'Factor 3 Calculations'!$A$53:$I$73,2,FALSE)</f>
        <v>#N/A</v>
      </c>
      <c r="D27" s="197"/>
      <c r="E27" s="332"/>
      <c r="F27" s="332"/>
      <c r="G27" s="332"/>
      <c r="H27" s="332"/>
      <c r="I27" s="332"/>
      <c r="O27" s="199"/>
      <c r="S27" s="216"/>
      <c r="T27" s="200"/>
      <c r="U27" s="200"/>
      <c r="V27" s="200"/>
      <c r="W27" s="202"/>
      <c r="X27" s="202"/>
      <c r="Y27" s="203"/>
      <c r="Z27" s="203"/>
      <c r="AA27" s="203"/>
      <c r="AB27" s="203"/>
      <c r="AC27" s="203"/>
      <c r="AD27" s="203"/>
      <c r="AE27" s="203"/>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204"/>
      <c r="BF27" s="20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c r="IM27" s="134"/>
      <c r="IN27" s="134"/>
      <c r="IO27" s="134"/>
      <c r="IP27" s="134"/>
      <c r="IQ27" s="134"/>
      <c r="IR27" s="134"/>
      <c r="IS27" s="134"/>
      <c r="IT27" s="134"/>
      <c r="IU27" s="134"/>
      <c r="IV27" s="134"/>
      <c r="IW27" s="134"/>
      <c r="IX27" s="134"/>
      <c r="IY27" s="134"/>
      <c r="IZ27" s="134"/>
      <c r="JA27" s="134"/>
      <c r="JB27" s="134"/>
      <c r="JC27" s="134"/>
      <c r="JD27" s="134"/>
      <c r="JE27" s="134"/>
      <c r="JF27" s="134"/>
    </row>
    <row r="28" spans="1:266" ht="17.25">
      <c r="A28" s="1"/>
      <c r="B28" s="20" t="s">
        <v>179</v>
      </c>
      <c r="C28" s="61" t="e">
        <f>VLOOKUP($D$26,'Factor 3 Calculations'!$A$53:$I$73,3,FALSE)</f>
        <v>#N/A</v>
      </c>
      <c r="D28" s="197"/>
      <c r="E28" s="340" t="str">
        <f>IF(D26="Other","Facility Type Notes:","")</f>
        <v/>
      </c>
      <c r="F28" s="340"/>
      <c r="G28" s="340"/>
      <c r="H28" s="340"/>
      <c r="I28" s="340"/>
      <c r="K28" s="1"/>
      <c r="O28" s="199"/>
      <c r="S28" s="216"/>
      <c r="T28" s="200"/>
      <c r="U28" s="200"/>
      <c r="V28" s="200"/>
      <c r="W28" s="202"/>
      <c r="X28" s="202"/>
      <c r="Y28" s="203"/>
      <c r="Z28" s="203"/>
      <c r="AA28" s="203"/>
      <c r="AB28" s="203"/>
      <c r="AC28" s="203"/>
      <c r="AD28" s="203"/>
      <c r="AE28" s="203"/>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204"/>
      <c r="BF28" s="20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4"/>
      <c r="DV28" s="134"/>
      <c r="DW28" s="134"/>
      <c r="DX28" s="134"/>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4"/>
      <c r="IP28" s="134"/>
      <c r="IQ28" s="134"/>
      <c r="IR28" s="134"/>
      <c r="IS28" s="134"/>
      <c r="IT28" s="134"/>
      <c r="IU28" s="134"/>
      <c r="IV28" s="134"/>
      <c r="IW28" s="134"/>
      <c r="IX28" s="134"/>
      <c r="IY28" s="134"/>
      <c r="IZ28" s="134"/>
      <c r="JA28" s="134"/>
      <c r="JB28" s="134"/>
      <c r="JC28" s="134"/>
      <c r="JD28" s="134"/>
      <c r="JE28" s="134"/>
      <c r="JF28" s="134"/>
    </row>
    <row r="29" spans="1:266" ht="17.25" customHeight="1">
      <c r="A29" s="1"/>
      <c r="B29" s="20" t="s">
        <v>180</v>
      </c>
      <c r="C29" s="61" t="e">
        <f>VLOOKUP($D$26,'Factor 3 Calculations'!$A$53:$I$73,4,FALSE)</f>
        <v>#N/A</v>
      </c>
      <c r="D29" s="197"/>
      <c r="E29" s="341"/>
      <c r="F29" s="341"/>
      <c r="G29" s="341"/>
      <c r="H29" s="341"/>
      <c r="I29" s="341"/>
      <c r="K29" s="1"/>
      <c r="O29" s="199"/>
      <c r="S29" s="216"/>
      <c r="T29" s="200"/>
      <c r="U29" s="200"/>
      <c r="V29" s="200"/>
      <c r="W29" s="202"/>
      <c r="X29" s="202"/>
      <c r="Y29" s="203"/>
      <c r="Z29" s="203"/>
      <c r="AA29" s="203"/>
      <c r="AB29" s="203"/>
      <c r="AC29" s="203"/>
      <c r="AD29" s="203"/>
      <c r="AE29" s="203"/>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204"/>
      <c r="BF29" s="20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c r="DO29" s="134"/>
      <c r="DP29" s="134"/>
      <c r="DQ29" s="134"/>
      <c r="DR29" s="134"/>
      <c r="DS29" s="134"/>
      <c r="DT29" s="134"/>
      <c r="DU29" s="134"/>
      <c r="DV29" s="134"/>
      <c r="DW29" s="134"/>
      <c r="DX29" s="134"/>
      <c r="DY29" s="134"/>
      <c r="DZ29" s="134"/>
      <c r="EA29" s="134"/>
      <c r="EB29" s="134"/>
      <c r="EC29" s="134"/>
      <c r="ED29" s="134"/>
      <c r="EE29" s="134"/>
      <c r="EF29" s="134"/>
      <c r="EG29" s="134"/>
      <c r="EH29" s="134"/>
      <c r="EI29" s="134"/>
      <c r="EJ29" s="134"/>
      <c r="EK29" s="134"/>
      <c r="EL29" s="134"/>
      <c r="EM29" s="134"/>
      <c r="EN29" s="134"/>
      <c r="EO29" s="134"/>
      <c r="EP29" s="134"/>
      <c r="EQ29" s="134"/>
      <c r="ER29" s="134"/>
      <c r="ES29" s="134"/>
      <c r="ET29" s="134"/>
      <c r="EU29" s="134"/>
      <c r="EV29" s="134"/>
      <c r="EW29" s="134"/>
      <c r="EX29" s="134"/>
      <c r="EY29" s="134"/>
      <c r="EZ29" s="134"/>
      <c r="FA29" s="134"/>
      <c r="FB29" s="134"/>
      <c r="FC29" s="134"/>
      <c r="FD29" s="134"/>
      <c r="FE29" s="134"/>
      <c r="FF29" s="134"/>
      <c r="FG29" s="134"/>
      <c r="FH29" s="134"/>
      <c r="FI29" s="134"/>
      <c r="FJ29" s="134"/>
      <c r="FK29" s="134"/>
      <c r="FL29" s="134"/>
      <c r="FM29" s="134"/>
      <c r="FN29" s="134"/>
      <c r="FO29" s="134"/>
      <c r="FP29" s="134"/>
      <c r="FQ29" s="134"/>
      <c r="FR29" s="134"/>
      <c r="FS29" s="134"/>
      <c r="FT29" s="134"/>
      <c r="FU29" s="134"/>
      <c r="FV29" s="134"/>
      <c r="FW29" s="134"/>
      <c r="FX29" s="134"/>
      <c r="FY29" s="134"/>
      <c r="FZ29" s="134"/>
      <c r="GA29" s="134"/>
      <c r="GB29" s="134"/>
      <c r="GC29" s="134"/>
      <c r="GD29" s="134"/>
      <c r="GE29" s="134"/>
      <c r="GF29" s="134"/>
      <c r="GG29" s="134"/>
      <c r="GH29" s="134"/>
      <c r="GI29" s="134"/>
      <c r="GJ29" s="134"/>
      <c r="GK29" s="134"/>
      <c r="GL29" s="134"/>
      <c r="GM29" s="134"/>
      <c r="GN29" s="134"/>
      <c r="GO29" s="134"/>
      <c r="GP29" s="134"/>
      <c r="GQ29" s="134"/>
      <c r="GR29" s="134"/>
      <c r="GS29" s="134"/>
      <c r="GT29" s="134"/>
      <c r="GU29" s="134"/>
      <c r="GV29" s="134"/>
      <c r="GW29" s="134"/>
      <c r="GX29" s="134"/>
      <c r="GY29" s="134"/>
      <c r="GZ29" s="134"/>
      <c r="HA29" s="134"/>
      <c r="HB29" s="134"/>
      <c r="HC29" s="134"/>
      <c r="HD29" s="134"/>
      <c r="HE29" s="134"/>
      <c r="HF29" s="134"/>
      <c r="HG29" s="134"/>
      <c r="HH29" s="134"/>
      <c r="HI29" s="134"/>
      <c r="HJ29" s="134"/>
      <c r="HK29" s="134"/>
      <c r="HL29" s="134"/>
      <c r="HM29" s="134"/>
      <c r="HN29" s="134"/>
      <c r="HO29" s="134"/>
      <c r="HP29" s="134"/>
      <c r="HQ29" s="134"/>
      <c r="HR29" s="134"/>
      <c r="HS29" s="134"/>
      <c r="HT29" s="134"/>
      <c r="HU29" s="134"/>
      <c r="HV29" s="134"/>
      <c r="HW29" s="134"/>
      <c r="HX29" s="134"/>
      <c r="HY29" s="134"/>
      <c r="HZ29" s="134"/>
      <c r="IA29" s="134"/>
      <c r="IB29" s="134"/>
      <c r="IC29" s="134"/>
      <c r="ID29" s="134"/>
      <c r="IE29" s="134"/>
      <c r="IF29" s="134"/>
      <c r="IG29" s="134"/>
      <c r="IH29" s="134"/>
      <c r="II29" s="134"/>
      <c r="IJ29" s="134"/>
      <c r="IK29" s="134"/>
      <c r="IL29" s="134"/>
      <c r="IM29" s="134"/>
      <c r="IN29" s="134"/>
      <c r="IO29" s="134"/>
      <c r="IP29" s="134"/>
      <c r="IQ29" s="134"/>
      <c r="IR29" s="134"/>
      <c r="IS29" s="134"/>
      <c r="IT29" s="134"/>
      <c r="IU29" s="134"/>
      <c r="IV29" s="134"/>
      <c r="IW29" s="134"/>
      <c r="IX29" s="134"/>
      <c r="IY29" s="134"/>
      <c r="IZ29" s="134"/>
      <c r="JA29" s="134"/>
      <c r="JB29" s="134"/>
      <c r="JC29" s="134"/>
      <c r="JD29" s="134"/>
      <c r="JE29" s="134"/>
      <c r="JF29" s="134"/>
    </row>
    <row r="30" spans="1:266" ht="18" customHeight="1">
      <c r="A30" s="1"/>
      <c r="B30" s="20" t="s">
        <v>181</v>
      </c>
      <c r="C30" s="61" t="e">
        <f>VLOOKUP($D$26,'Factor 3 Calculations'!$A$53:$I$73,5,FALSE)</f>
        <v>#N/A</v>
      </c>
      <c r="D30" s="197"/>
      <c r="E30" s="341"/>
      <c r="F30" s="341"/>
      <c r="G30" s="341"/>
      <c r="H30" s="341"/>
      <c r="I30" s="341"/>
      <c r="K30" s="1"/>
      <c r="O30" s="199"/>
      <c r="S30" s="216"/>
      <c r="T30" s="200"/>
      <c r="U30" s="200"/>
      <c r="V30" s="200"/>
      <c r="W30" s="202"/>
      <c r="X30" s="202"/>
      <c r="Y30" s="203"/>
      <c r="Z30" s="203"/>
      <c r="AA30" s="203"/>
      <c r="AB30" s="203"/>
      <c r="AC30" s="203"/>
      <c r="AD30" s="203"/>
      <c r="AE30" s="203"/>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204"/>
      <c r="BF30" s="20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4"/>
      <c r="CF30" s="134"/>
      <c r="CG30" s="134"/>
      <c r="CH30" s="134"/>
      <c r="CI30" s="134"/>
      <c r="CJ30" s="134"/>
      <c r="CK30" s="134"/>
      <c r="CL30" s="134"/>
      <c r="CM30" s="134"/>
      <c r="CN30" s="134"/>
      <c r="CO30" s="134"/>
      <c r="CP30" s="134"/>
      <c r="CQ30" s="134"/>
      <c r="CR30" s="134"/>
      <c r="CS30" s="134"/>
      <c r="CT30" s="134"/>
      <c r="CU30" s="134"/>
      <c r="CV30" s="134"/>
      <c r="CW30" s="134"/>
      <c r="CX30" s="134"/>
      <c r="CY30" s="134"/>
      <c r="CZ30" s="134"/>
      <c r="DA30" s="134"/>
      <c r="DB30" s="134"/>
      <c r="DC30" s="134"/>
      <c r="DD30" s="134"/>
      <c r="DE30" s="134"/>
      <c r="DF30" s="134"/>
      <c r="DG30" s="134"/>
      <c r="DH30" s="134"/>
      <c r="DI30" s="134"/>
      <c r="DJ30" s="134"/>
      <c r="DK30" s="134"/>
      <c r="DL30" s="134"/>
      <c r="DM30" s="134"/>
      <c r="DN30" s="134"/>
      <c r="DO30" s="134"/>
      <c r="DP30" s="134"/>
      <c r="DQ30" s="134"/>
      <c r="DR30" s="134"/>
      <c r="DS30" s="134"/>
      <c r="DT30" s="134"/>
      <c r="DU30" s="134"/>
      <c r="DV30" s="134"/>
      <c r="DW30" s="134"/>
      <c r="DX30" s="134"/>
      <c r="DY30" s="134"/>
      <c r="DZ30" s="134"/>
      <c r="EA30" s="134"/>
      <c r="EB30" s="134"/>
      <c r="EC30" s="134"/>
      <c r="ED30" s="134"/>
      <c r="EE30" s="134"/>
      <c r="EF30" s="134"/>
      <c r="EG30" s="134"/>
      <c r="EH30" s="134"/>
      <c r="EI30" s="134"/>
      <c r="EJ30" s="134"/>
      <c r="EK30" s="134"/>
      <c r="EL30" s="134"/>
      <c r="EM30" s="134"/>
      <c r="EN30" s="134"/>
      <c r="EO30" s="134"/>
      <c r="EP30" s="134"/>
      <c r="EQ30" s="134"/>
      <c r="ER30" s="134"/>
      <c r="ES30" s="134"/>
      <c r="ET30" s="134"/>
      <c r="EU30" s="134"/>
      <c r="EV30" s="134"/>
      <c r="EW30" s="134"/>
      <c r="EX30" s="134"/>
      <c r="EY30" s="134"/>
      <c r="EZ30" s="134"/>
      <c r="FA30" s="134"/>
      <c r="FB30" s="134"/>
      <c r="FC30" s="134"/>
      <c r="FD30" s="134"/>
      <c r="FE30" s="134"/>
      <c r="FF30" s="134"/>
      <c r="FG30" s="134"/>
      <c r="FH30" s="134"/>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4"/>
      <c r="GL30" s="134"/>
      <c r="GM30" s="134"/>
      <c r="GN30" s="134"/>
      <c r="GO30" s="134"/>
      <c r="GP30" s="134"/>
      <c r="GQ30" s="134"/>
      <c r="GR30" s="134"/>
      <c r="GS30" s="134"/>
      <c r="GT30" s="134"/>
      <c r="GU30" s="134"/>
      <c r="GV30" s="134"/>
      <c r="GW30" s="134"/>
      <c r="GX30" s="134"/>
      <c r="GY30" s="134"/>
      <c r="GZ30" s="134"/>
      <c r="HA30" s="134"/>
      <c r="HB30" s="134"/>
      <c r="HC30" s="134"/>
      <c r="HD30" s="134"/>
      <c r="HE30" s="134"/>
      <c r="HF30" s="134"/>
      <c r="HG30" s="134"/>
      <c r="HH30" s="134"/>
      <c r="HI30" s="134"/>
      <c r="HJ30" s="134"/>
      <c r="HK30" s="134"/>
      <c r="HL30" s="134"/>
      <c r="HM30" s="134"/>
      <c r="HN30" s="134"/>
      <c r="HO30" s="134"/>
      <c r="HP30" s="134"/>
      <c r="HQ30" s="134"/>
      <c r="HR30" s="134"/>
      <c r="HS30" s="134"/>
      <c r="HT30" s="134"/>
      <c r="HU30" s="134"/>
      <c r="HV30" s="134"/>
      <c r="HW30" s="134"/>
      <c r="HX30" s="134"/>
      <c r="HY30" s="134"/>
      <c r="HZ30" s="134"/>
      <c r="IA30" s="134"/>
      <c r="IB30" s="134"/>
      <c r="IC30" s="134"/>
      <c r="ID30" s="134"/>
      <c r="IE30" s="134"/>
      <c r="IF30" s="134"/>
      <c r="IG30" s="134"/>
      <c r="IH30" s="134"/>
      <c r="II30" s="134"/>
      <c r="IJ30" s="134"/>
      <c r="IK30" s="134"/>
      <c r="IL30" s="134"/>
      <c r="IM30" s="134"/>
      <c r="IN30" s="134"/>
      <c r="IO30" s="134"/>
      <c r="IP30" s="134"/>
      <c r="IQ30" s="134"/>
      <c r="IR30" s="134"/>
      <c r="IS30" s="134"/>
      <c r="IT30" s="134"/>
      <c r="IU30" s="134"/>
      <c r="IV30" s="134"/>
      <c r="IW30" s="134"/>
      <c r="IX30" s="134"/>
      <c r="IY30" s="134"/>
      <c r="IZ30" s="134"/>
      <c r="JA30" s="134"/>
      <c r="JB30" s="134"/>
      <c r="JC30" s="134"/>
      <c r="JD30" s="134"/>
      <c r="JE30" s="134"/>
      <c r="JF30" s="134"/>
    </row>
    <row r="31" spans="1:266" ht="17.25">
      <c r="A31" s="1"/>
      <c r="B31" s="20" t="s">
        <v>182</v>
      </c>
      <c r="C31" s="61" t="e">
        <f>VLOOKUP($D$26,'Factor 3 Calculations'!$A$53:$I$73,6,FALSE)</f>
        <v>#N/A</v>
      </c>
      <c r="D31" s="197"/>
      <c r="E31" s="341"/>
      <c r="F31" s="341"/>
      <c r="G31" s="341"/>
      <c r="H31" s="341"/>
      <c r="I31" s="341"/>
      <c r="K31" s="1"/>
      <c r="O31" s="199"/>
      <c r="P31" s="134"/>
      <c r="Q31" s="134"/>
      <c r="R31" s="134"/>
      <c r="S31" s="200"/>
      <c r="T31" s="200"/>
      <c r="U31" s="200"/>
      <c r="V31" s="200"/>
      <c r="W31" s="202"/>
      <c r="X31" s="202"/>
      <c r="Y31" s="203"/>
      <c r="Z31" s="203"/>
      <c r="AA31" s="203"/>
      <c r="AB31" s="203"/>
      <c r="AC31" s="203"/>
      <c r="AD31" s="203"/>
      <c r="AE31" s="203"/>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20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134"/>
      <c r="DE31" s="134"/>
      <c r="DF31" s="134"/>
      <c r="DG31" s="134"/>
      <c r="DH31" s="134"/>
      <c r="DI31" s="134"/>
      <c r="DJ31" s="134"/>
      <c r="DK31" s="134"/>
      <c r="DL31" s="134"/>
      <c r="DM31" s="134"/>
      <c r="DN31" s="134"/>
      <c r="DO31" s="134"/>
      <c r="DP31" s="134"/>
      <c r="DQ31" s="134"/>
      <c r="DR31" s="134"/>
      <c r="DS31" s="134"/>
      <c r="DT31" s="134"/>
      <c r="DU31" s="134"/>
      <c r="DV31" s="134"/>
      <c r="DW31" s="134"/>
      <c r="DX31" s="134"/>
      <c r="DY31" s="134"/>
      <c r="DZ31" s="134"/>
      <c r="EA31" s="134"/>
      <c r="EB31" s="134"/>
      <c r="EC31" s="134"/>
      <c r="ED31" s="134"/>
      <c r="EE31" s="134"/>
      <c r="EF31" s="134"/>
      <c r="EG31" s="134"/>
      <c r="EH31" s="134"/>
      <c r="EI31" s="134"/>
      <c r="EJ31" s="134"/>
      <c r="EK31" s="134"/>
      <c r="EL31" s="134"/>
      <c r="EM31" s="134"/>
      <c r="EN31" s="134"/>
      <c r="EO31" s="134"/>
      <c r="EP31" s="134"/>
      <c r="EQ31" s="134"/>
      <c r="ER31" s="134"/>
      <c r="ES31" s="134"/>
      <c r="ET31" s="134"/>
      <c r="EU31" s="134"/>
      <c r="EV31" s="134"/>
      <c r="EW31" s="134"/>
      <c r="EX31" s="134"/>
      <c r="EY31" s="134"/>
      <c r="EZ31" s="134"/>
      <c r="FA31" s="134"/>
      <c r="FB31" s="134"/>
      <c r="FC31" s="134"/>
      <c r="FD31" s="134"/>
      <c r="FE31" s="134"/>
      <c r="FF31" s="134"/>
      <c r="FG31" s="134"/>
      <c r="FH31" s="134"/>
      <c r="FI31" s="134"/>
      <c r="FJ31" s="134"/>
      <c r="FK31" s="134"/>
      <c r="FL31" s="134"/>
      <c r="FM31" s="134"/>
      <c r="FN31" s="134"/>
      <c r="FO31" s="134"/>
      <c r="FP31" s="134"/>
      <c r="FQ31" s="134"/>
      <c r="FR31" s="134"/>
      <c r="FS31" s="134"/>
      <c r="FT31" s="134"/>
      <c r="FU31" s="134"/>
      <c r="FV31" s="134"/>
      <c r="FW31" s="134"/>
      <c r="FX31" s="134"/>
      <c r="FY31" s="134"/>
      <c r="FZ31" s="134"/>
      <c r="GA31" s="134"/>
      <c r="GB31" s="134"/>
      <c r="GC31" s="134"/>
      <c r="GD31" s="134"/>
      <c r="GE31" s="134"/>
      <c r="GF31" s="134"/>
      <c r="GG31" s="134"/>
      <c r="GH31" s="134"/>
      <c r="GI31" s="134"/>
      <c r="GJ31" s="134"/>
      <c r="GK31" s="134"/>
      <c r="GL31" s="134"/>
      <c r="GM31" s="134"/>
      <c r="GN31" s="134"/>
      <c r="GO31" s="134"/>
      <c r="GP31" s="134"/>
      <c r="GQ31" s="134"/>
      <c r="GR31" s="134"/>
      <c r="GS31" s="134"/>
      <c r="GT31" s="134"/>
      <c r="GU31" s="134"/>
      <c r="GV31" s="134"/>
      <c r="GW31" s="134"/>
      <c r="GX31" s="134"/>
      <c r="GY31" s="134"/>
      <c r="GZ31" s="134"/>
      <c r="HA31" s="134"/>
      <c r="HB31" s="134"/>
      <c r="HC31" s="134"/>
      <c r="HD31" s="134"/>
      <c r="HE31" s="134"/>
      <c r="HF31" s="134"/>
      <c r="HG31" s="134"/>
      <c r="HH31" s="134"/>
      <c r="HI31" s="134"/>
      <c r="HJ31" s="134"/>
      <c r="HK31" s="134"/>
      <c r="HL31" s="134"/>
      <c r="HM31" s="134"/>
      <c r="HN31" s="134"/>
      <c r="HO31" s="134"/>
      <c r="HP31" s="134"/>
      <c r="HQ31" s="134"/>
      <c r="HR31" s="134"/>
      <c r="HS31" s="134"/>
      <c r="HT31" s="134"/>
      <c r="HU31" s="134"/>
      <c r="HV31" s="134"/>
      <c r="HW31" s="134"/>
      <c r="HX31" s="134"/>
      <c r="HY31" s="134"/>
      <c r="HZ31" s="134"/>
      <c r="IA31" s="134"/>
      <c r="IB31" s="134"/>
      <c r="IC31" s="134"/>
      <c r="ID31" s="134"/>
      <c r="IE31" s="134"/>
      <c r="IF31" s="134"/>
      <c r="IG31" s="134"/>
      <c r="IH31" s="134"/>
      <c r="II31" s="134"/>
      <c r="IJ31" s="134"/>
      <c r="IK31" s="134"/>
      <c r="IL31" s="134"/>
      <c r="IM31" s="134"/>
      <c r="IN31" s="134"/>
      <c r="IO31" s="134"/>
      <c r="IP31" s="134"/>
      <c r="IQ31" s="134"/>
      <c r="IR31" s="134"/>
      <c r="IS31" s="134"/>
      <c r="IT31" s="134"/>
      <c r="IU31" s="134"/>
      <c r="IV31" s="134"/>
      <c r="IW31" s="134"/>
      <c r="IX31" s="134"/>
      <c r="IY31" s="134"/>
      <c r="IZ31" s="134"/>
      <c r="JA31" s="134"/>
      <c r="JB31" s="134"/>
      <c r="JC31" s="134"/>
      <c r="JD31" s="134"/>
      <c r="JE31" s="134"/>
      <c r="JF31" s="134"/>
    </row>
    <row r="32" spans="1:266" ht="17.25">
      <c r="A32" s="1"/>
      <c r="B32" s="20" t="s">
        <v>183</v>
      </c>
      <c r="C32" s="61" t="e">
        <f>VLOOKUP($D$26,'Factor 3 Calculations'!$A$53:$I$73,7,FALSE)</f>
        <v>#N/A</v>
      </c>
      <c r="D32" s="197"/>
      <c r="E32" s="341"/>
      <c r="F32" s="341"/>
      <c r="G32" s="341"/>
      <c r="H32" s="341"/>
      <c r="I32" s="341"/>
      <c r="K32" s="1"/>
      <c r="O32" s="199"/>
      <c r="P32" s="134"/>
      <c r="Q32" s="134"/>
      <c r="R32" s="134"/>
      <c r="S32" s="200"/>
      <c r="T32" s="200"/>
      <c r="U32" s="200"/>
      <c r="V32" s="200"/>
      <c r="W32" s="202"/>
      <c r="X32" s="202"/>
      <c r="Y32" s="203"/>
      <c r="Z32" s="203"/>
      <c r="AA32" s="203"/>
      <c r="AB32" s="203"/>
      <c r="AC32" s="203"/>
      <c r="AD32" s="203"/>
      <c r="AE32" s="203"/>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20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c r="IW32" s="134"/>
      <c r="IX32" s="134"/>
      <c r="IY32" s="134"/>
      <c r="IZ32" s="134"/>
      <c r="JA32" s="134"/>
      <c r="JB32" s="134"/>
      <c r="JC32" s="134"/>
      <c r="JD32" s="134"/>
      <c r="JE32" s="134"/>
      <c r="JF32" s="134"/>
    </row>
    <row r="33" spans="1:266" ht="17.25">
      <c r="A33" s="1"/>
      <c r="B33" s="20" t="s">
        <v>184</v>
      </c>
      <c r="C33" s="61" t="e">
        <f>VLOOKUP($D$26,'Factor 3 Calculations'!$A$53:$I$73,8,FALSE)</f>
        <v>#N/A</v>
      </c>
      <c r="D33" s="197"/>
      <c r="E33" s="341"/>
      <c r="F33" s="341"/>
      <c r="G33" s="341"/>
      <c r="H33" s="341"/>
      <c r="I33" s="341"/>
      <c r="K33" s="1"/>
      <c r="O33" s="199"/>
      <c r="P33" s="134"/>
      <c r="Q33" s="134"/>
      <c r="R33" s="134"/>
      <c r="S33" s="200"/>
      <c r="T33" s="200"/>
      <c r="U33" s="200"/>
      <c r="V33" s="200"/>
      <c r="W33" s="202"/>
      <c r="X33" s="202"/>
      <c r="Y33" s="203"/>
      <c r="Z33" s="203"/>
      <c r="AA33" s="203"/>
      <c r="AB33" s="203"/>
      <c r="AC33" s="203"/>
      <c r="AD33" s="203"/>
      <c r="AE33" s="203"/>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c r="IW33" s="134"/>
      <c r="IX33" s="134"/>
      <c r="IY33" s="134"/>
      <c r="IZ33" s="134"/>
      <c r="JA33" s="134"/>
      <c r="JB33" s="134"/>
      <c r="JC33" s="134"/>
      <c r="JD33" s="134"/>
      <c r="JE33" s="134"/>
      <c r="JF33" s="134"/>
    </row>
    <row r="34" spans="1:266" ht="18" thickBot="1">
      <c r="A34" s="1"/>
      <c r="B34" s="21" t="s">
        <v>185</v>
      </c>
      <c r="C34" s="61" t="e">
        <f>VLOOKUP($D$26,'Factor 3 Calculations'!$A$53:$I$73,9,FALSE)</f>
        <v>#N/A</v>
      </c>
      <c r="D34" s="198"/>
      <c r="E34" s="341"/>
      <c r="F34" s="341"/>
      <c r="G34" s="341"/>
      <c r="H34" s="341"/>
      <c r="I34" s="341"/>
      <c r="K34" s="1"/>
      <c r="O34" s="24"/>
      <c r="P34" s="134"/>
      <c r="Q34" s="134"/>
      <c r="R34" s="134"/>
      <c r="S34" s="206"/>
      <c r="T34" s="206"/>
      <c r="U34" s="207"/>
      <c r="V34" s="207"/>
      <c r="W34" s="207"/>
      <c r="X34" s="207"/>
      <c r="Y34" s="203"/>
      <c r="Z34" s="203"/>
      <c r="AA34" s="203"/>
      <c r="AB34" s="203"/>
      <c r="AC34" s="203"/>
      <c r="AD34" s="203"/>
      <c r="AE34" s="20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c r="IW34" s="134"/>
      <c r="IX34" s="134"/>
      <c r="IY34" s="134"/>
      <c r="IZ34" s="134"/>
      <c r="JA34" s="134"/>
      <c r="JB34" s="134"/>
      <c r="JC34" s="134"/>
      <c r="JD34" s="134"/>
      <c r="JE34" s="134"/>
      <c r="JF34" s="134"/>
    </row>
    <row r="35" spans="1:266" ht="18.75" thickBot="1">
      <c r="A35" s="1"/>
      <c r="B35" s="337" t="s">
        <v>186</v>
      </c>
      <c r="C35" s="338"/>
      <c r="D35" s="339"/>
      <c r="E35" s="239"/>
      <c r="F35" s="239"/>
      <c r="G35" s="239"/>
      <c r="H35" s="240"/>
      <c r="K35" s="1"/>
      <c r="O35" s="24"/>
      <c r="P35" s="134"/>
      <c r="Q35" s="134"/>
      <c r="R35" s="134"/>
      <c r="S35" s="206"/>
      <c r="T35" s="206"/>
      <c r="U35" s="207"/>
      <c r="V35" s="207"/>
      <c r="W35" s="207"/>
      <c r="X35" s="207"/>
      <c r="Y35" s="203"/>
      <c r="Z35" s="203"/>
      <c r="AA35" s="203"/>
      <c r="AB35" s="203"/>
      <c r="AC35" s="203"/>
      <c r="AD35" s="203"/>
      <c r="AE35" s="20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c r="IW35" s="134"/>
      <c r="IX35" s="134"/>
      <c r="IY35" s="134"/>
      <c r="IZ35" s="134"/>
      <c r="JA35" s="134"/>
      <c r="JB35" s="134"/>
      <c r="JC35" s="134"/>
      <c r="JD35" s="134"/>
      <c r="JE35" s="134"/>
      <c r="JF35" s="134"/>
    </row>
    <row r="36" spans="1:266" ht="18">
      <c r="A36" s="1"/>
      <c r="B36" s="86" t="s">
        <v>187</v>
      </c>
      <c r="C36" s="87"/>
      <c r="D36" s="88" t="s">
        <v>188</v>
      </c>
      <c r="E36" s="342"/>
      <c r="F36" s="342"/>
      <c r="G36" s="342"/>
      <c r="H36" s="342"/>
      <c r="I36" s="342"/>
      <c r="J36" s="26"/>
      <c r="K36" s="1"/>
      <c r="O36" s="24"/>
      <c r="P36" s="134"/>
      <c r="Q36" s="134"/>
      <c r="R36" s="134"/>
      <c r="S36" s="134"/>
      <c r="T36" s="206"/>
      <c r="U36" s="207"/>
      <c r="V36" s="207"/>
      <c r="W36" s="207"/>
      <c r="X36" s="207"/>
      <c r="Y36" s="203"/>
      <c r="Z36" s="203"/>
      <c r="AA36" s="203"/>
      <c r="AB36" s="203"/>
      <c r="AC36" s="203"/>
      <c r="AD36" s="203"/>
      <c r="AE36" s="203"/>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c r="IW36" s="134"/>
      <c r="IX36" s="134"/>
      <c r="IY36" s="134"/>
      <c r="IZ36" s="134"/>
      <c r="JA36" s="134"/>
      <c r="JB36" s="134"/>
      <c r="JC36" s="134"/>
      <c r="JD36" s="134"/>
      <c r="JE36" s="134"/>
      <c r="JF36" s="134"/>
    </row>
    <row r="37" spans="1:266" ht="18">
      <c r="B37" s="85" t="s">
        <v>189</v>
      </c>
      <c r="C37" s="11"/>
      <c r="D37" s="191"/>
      <c r="E37" s="342"/>
      <c r="F37" s="342"/>
      <c r="G37" s="342"/>
      <c r="H37" s="342"/>
      <c r="I37" s="342"/>
      <c r="J37" s="239"/>
      <c r="K37" s="1"/>
      <c r="O37" s="26"/>
      <c r="P37" s="134"/>
      <c r="Q37" s="134"/>
      <c r="R37" s="134"/>
      <c r="S37" s="134"/>
      <c r="T37" s="134"/>
      <c r="U37" s="207"/>
      <c r="V37" s="207"/>
      <c r="W37" s="207"/>
      <c r="X37" s="207"/>
      <c r="Y37" s="203"/>
      <c r="Z37" s="203"/>
      <c r="AA37" s="203"/>
      <c r="AB37" s="203"/>
      <c r="AC37" s="203"/>
      <c r="AD37" s="203"/>
      <c r="AE37" s="203"/>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c r="IW37" s="134"/>
      <c r="IX37" s="134"/>
      <c r="IY37" s="134"/>
      <c r="IZ37" s="134"/>
      <c r="JA37" s="134"/>
      <c r="JB37" s="134"/>
      <c r="JC37" s="134"/>
      <c r="JD37" s="134"/>
      <c r="JE37" s="134"/>
      <c r="JF37" s="134"/>
    </row>
    <row r="38" spans="1:266" ht="17.25">
      <c r="B38" s="79" t="str">
        <f>IF($D$36="Yes","Combined CRF",IF(D37='Factor 3 Calculations'!A80,"Combined CRF (KABC)",IF(D37='Factor 3 Calculations'!A81,"Combined CRF (All Severities)","Combined CRF")))</f>
        <v>Combined CRF</v>
      </c>
      <c r="C38" s="76"/>
      <c r="D38" s="80">
        <f>ROUND(100*(1-(((100-D40)/100)*((100-D42)/100)*((100-D44)/100))),3)</f>
        <v>0</v>
      </c>
      <c r="E38" s="342"/>
      <c r="F38" s="342"/>
      <c r="G38" s="342"/>
      <c r="H38" s="342"/>
      <c r="I38" s="342"/>
      <c r="J38" s="239"/>
      <c r="K38" s="1"/>
      <c r="O38" s="24"/>
      <c r="P38" s="134"/>
      <c r="Q38" s="134"/>
      <c r="R38" s="134"/>
      <c r="S38" s="134"/>
      <c r="T38" s="134"/>
      <c r="U38" s="202"/>
      <c r="V38" s="202"/>
      <c r="W38" s="202"/>
      <c r="X38" s="202"/>
      <c r="Y38" s="203"/>
      <c r="Z38" s="203"/>
      <c r="AA38" s="203"/>
      <c r="AB38" s="203"/>
      <c r="AC38" s="203"/>
      <c r="AD38" s="203"/>
      <c r="AE38" s="203"/>
      <c r="AF38" s="202"/>
      <c r="AG38" s="202"/>
      <c r="AH38" s="202"/>
      <c r="AI38" s="202"/>
      <c r="AJ38" s="202"/>
      <c r="AK38" s="202"/>
      <c r="AL38" s="202"/>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c r="EA38" s="134"/>
      <c r="EB38" s="134"/>
      <c r="EC38" s="134"/>
      <c r="ED38" s="134"/>
      <c r="EE38" s="134"/>
      <c r="EF38" s="134"/>
      <c r="EG38" s="134"/>
      <c r="EH38" s="134"/>
      <c r="EI38" s="134"/>
      <c r="EJ38" s="134"/>
      <c r="EK38" s="134"/>
      <c r="EL38" s="134"/>
      <c r="EM38" s="134"/>
      <c r="EN38" s="134"/>
      <c r="EO38" s="134"/>
      <c r="EP38" s="134"/>
      <c r="EQ38" s="134"/>
      <c r="ER38" s="134"/>
      <c r="ES38" s="134"/>
      <c r="ET38" s="134"/>
      <c r="EU38" s="134"/>
      <c r="EV38" s="134"/>
      <c r="EW38" s="134"/>
      <c r="EX38" s="134"/>
      <c r="EY38" s="134"/>
      <c r="EZ38" s="134"/>
      <c r="FA38" s="134"/>
      <c r="FB38" s="134"/>
      <c r="FC38" s="134"/>
      <c r="FD38" s="134"/>
      <c r="FE38" s="134"/>
      <c r="FF38" s="134"/>
      <c r="FG38" s="134"/>
      <c r="FH38" s="134"/>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4"/>
      <c r="HH38" s="134"/>
      <c r="HI38" s="134"/>
      <c r="HJ38" s="134"/>
      <c r="HK38" s="134"/>
      <c r="HL38" s="134"/>
      <c r="HM38" s="134"/>
      <c r="HN38" s="134"/>
      <c r="HO38" s="134"/>
      <c r="HP38" s="134"/>
      <c r="HQ38" s="134"/>
      <c r="HR38" s="134"/>
      <c r="HS38" s="134"/>
      <c r="HT38" s="134"/>
      <c r="HU38" s="134"/>
      <c r="HV38" s="134"/>
      <c r="HW38" s="134"/>
      <c r="HX38" s="134"/>
      <c r="HY38" s="134"/>
      <c r="HZ38" s="134"/>
      <c r="IA38" s="134"/>
      <c r="IB38" s="134"/>
      <c r="IC38" s="134"/>
      <c r="ID38" s="134"/>
      <c r="IE38" s="134"/>
      <c r="IF38" s="134"/>
      <c r="IG38" s="134"/>
      <c r="IH38" s="134"/>
      <c r="II38" s="134"/>
      <c r="IJ38" s="134"/>
      <c r="IK38" s="134"/>
      <c r="IL38" s="134"/>
      <c r="IM38" s="134"/>
      <c r="IN38" s="134"/>
      <c r="IO38" s="134"/>
      <c r="IP38" s="134"/>
      <c r="IQ38" s="134"/>
      <c r="IR38" s="134"/>
      <c r="IS38" s="134"/>
      <c r="IT38" s="134"/>
      <c r="IU38" s="134"/>
      <c r="IV38" s="134"/>
      <c r="IW38" s="134"/>
      <c r="IX38" s="134"/>
      <c r="IY38" s="134"/>
      <c r="IZ38" s="134"/>
      <c r="JA38" s="134"/>
      <c r="JB38" s="134"/>
      <c r="JC38" s="134"/>
      <c r="JD38" s="134"/>
      <c r="JE38" s="134"/>
      <c r="JF38" s="134"/>
    </row>
    <row r="39" spans="1:266" ht="18" thickBot="1">
      <c r="B39" s="21" t="str">
        <f>IF(D36="No", "Custom CRF", IF(D37='Factor 3 Calculations'!A80,"Custom CRF (KABC)",IF(D37='Factor 3 Calculations'!A81,"Custom CRF (All Severities)","Custom CRF")))</f>
        <v>Custom CRF</v>
      </c>
      <c r="C39" s="78"/>
      <c r="D39" s="90"/>
      <c r="E39" s="342"/>
      <c r="F39" s="342"/>
      <c r="G39" s="342"/>
      <c r="H39" s="342"/>
      <c r="I39" s="342"/>
      <c r="J39" s="240"/>
      <c r="K39" s="1"/>
      <c r="O39" s="24"/>
      <c r="P39" s="134"/>
      <c r="Q39" s="134"/>
      <c r="R39" s="134"/>
      <c r="S39" s="134"/>
      <c r="T39" s="134"/>
      <c r="U39" s="202"/>
      <c r="V39" s="202"/>
      <c r="W39" s="202"/>
      <c r="X39" s="202"/>
      <c r="Y39" s="203"/>
      <c r="Z39" s="203"/>
      <c r="AA39" s="203"/>
      <c r="AB39" s="203"/>
      <c r="AC39" s="203"/>
      <c r="AD39" s="203"/>
      <c r="AE39" s="203"/>
      <c r="AF39" s="202"/>
      <c r="AG39" s="202"/>
      <c r="AH39" s="202"/>
      <c r="AI39" s="202"/>
      <c r="AJ39" s="202"/>
      <c r="AK39" s="202"/>
      <c r="AL39" s="202"/>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134"/>
      <c r="DG39" s="134"/>
      <c r="DH39" s="134"/>
      <c r="DI39" s="134"/>
      <c r="DJ39" s="134"/>
      <c r="DK39" s="134"/>
      <c r="DL39" s="134"/>
      <c r="DM39" s="134"/>
      <c r="DN39" s="134"/>
      <c r="DO39" s="134"/>
      <c r="DP39" s="134"/>
      <c r="DQ39" s="134"/>
      <c r="DR39" s="134"/>
      <c r="DS39" s="134"/>
      <c r="DT39" s="134"/>
      <c r="DU39" s="134"/>
      <c r="DV39" s="134"/>
      <c r="DW39" s="134"/>
      <c r="DX39" s="134"/>
      <c r="DY39" s="134"/>
      <c r="DZ39" s="134"/>
      <c r="EA39" s="134"/>
      <c r="EB39" s="134"/>
      <c r="EC39" s="134"/>
      <c r="ED39" s="134"/>
      <c r="EE39" s="134"/>
      <c r="EF39" s="134"/>
      <c r="EG39" s="134"/>
      <c r="EH39" s="134"/>
      <c r="EI39" s="134"/>
      <c r="EJ39" s="134"/>
      <c r="EK39" s="134"/>
      <c r="EL39" s="134"/>
      <c r="EM39" s="134"/>
      <c r="EN39" s="134"/>
      <c r="EO39" s="134"/>
      <c r="EP39" s="134"/>
      <c r="EQ39" s="134"/>
      <c r="ER39" s="134"/>
      <c r="ES39" s="134"/>
      <c r="ET39" s="134"/>
      <c r="EU39" s="134"/>
      <c r="EV39" s="134"/>
      <c r="EW39" s="134"/>
      <c r="EX39" s="134"/>
      <c r="EY39" s="134"/>
      <c r="EZ39" s="134"/>
      <c r="FA39" s="134"/>
      <c r="FB39" s="134"/>
      <c r="FC39" s="134"/>
      <c r="FD39" s="134"/>
      <c r="FE39" s="134"/>
      <c r="FF39" s="134"/>
      <c r="FG39" s="134"/>
      <c r="FH39" s="134"/>
      <c r="FI39" s="134"/>
      <c r="FJ39" s="134"/>
      <c r="FK39" s="134"/>
      <c r="FL39" s="134"/>
      <c r="FM39" s="134"/>
      <c r="FN39" s="134"/>
      <c r="FO39" s="134"/>
      <c r="FP39" s="134"/>
      <c r="FQ39" s="134"/>
      <c r="FR39" s="134"/>
      <c r="FS39" s="134"/>
      <c r="FT39" s="134"/>
      <c r="FU39" s="134"/>
      <c r="FV39" s="134"/>
      <c r="FW39" s="134"/>
      <c r="FX39" s="134"/>
      <c r="FY39" s="134"/>
      <c r="FZ39" s="134"/>
      <c r="GA39" s="134"/>
      <c r="GB39" s="134"/>
      <c r="GC39" s="134"/>
      <c r="GD39" s="134"/>
      <c r="GE39" s="134"/>
      <c r="GF39" s="134"/>
      <c r="GG39" s="134"/>
      <c r="GH39" s="134"/>
      <c r="GI39" s="134"/>
      <c r="GJ39" s="134"/>
      <c r="GK39" s="134"/>
      <c r="GL39" s="134"/>
      <c r="GM39" s="134"/>
      <c r="GN39" s="134"/>
      <c r="GO39" s="134"/>
      <c r="GP39" s="134"/>
      <c r="GQ39" s="134"/>
      <c r="GR39" s="134"/>
      <c r="GS39" s="134"/>
      <c r="GT39" s="134"/>
      <c r="GU39" s="134"/>
      <c r="GV39" s="134"/>
      <c r="GW39" s="134"/>
      <c r="GX39" s="134"/>
      <c r="GY39" s="134"/>
      <c r="GZ39" s="134"/>
      <c r="HA39" s="134"/>
      <c r="HB39" s="134"/>
      <c r="HC39" s="134"/>
      <c r="HD39" s="134"/>
      <c r="HE39" s="134"/>
      <c r="HF39" s="134"/>
      <c r="HG39" s="134"/>
      <c r="HH39" s="134"/>
      <c r="HI39" s="134"/>
      <c r="HJ39" s="134"/>
      <c r="HK39" s="134"/>
      <c r="HL39" s="134"/>
      <c r="HM39" s="134"/>
      <c r="HN39" s="134"/>
      <c r="HO39" s="134"/>
      <c r="HP39" s="134"/>
      <c r="HQ39" s="134"/>
      <c r="HR39" s="134"/>
      <c r="HS39" s="134"/>
      <c r="HT39" s="134"/>
      <c r="HU39" s="134"/>
      <c r="HV39" s="134"/>
      <c r="HW39" s="134"/>
      <c r="HX39" s="134"/>
      <c r="HY39" s="134"/>
      <c r="HZ39" s="134"/>
      <c r="IA39" s="134"/>
      <c r="IB39" s="134"/>
      <c r="IC39" s="134"/>
      <c r="ID39" s="134"/>
      <c r="IE39" s="134"/>
      <c r="IF39" s="134"/>
      <c r="IG39" s="134"/>
      <c r="IH39" s="134"/>
      <c r="II39" s="134"/>
      <c r="IJ39" s="134"/>
      <c r="IK39" s="134"/>
      <c r="IL39" s="134"/>
      <c r="IM39" s="134"/>
      <c r="IN39" s="134"/>
      <c r="IO39" s="134"/>
      <c r="IP39" s="134"/>
      <c r="IQ39" s="134"/>
      <c r="IR39" s="134"/>
      <c r="IS39" s="134"/>
      <c r="IT39" s="134"/>
      <c r="IU39" s="134"/>
      <c r="IV39" s="134"/>
      <c r="IW39" s="134"/>
      <c r="IX39" s="134"/>
      <c r="IY39" s="134"/>
      <c r="IZ39" s="134"/>
      <c r="JA39" s="134"/>
      <c r="JB39" s="134"/>
      <c r="JC39" s="134"/>
      <c r="JD39" s="134"/>
      <c r="JE39" s="134"/>
      <c r="JF39" s="134"/>
    </row>
    <row r="40" spans="1:266" ht="17.25">
      <c r="B40" s="85" t="str">
        <f>IF($D$36="Yes","Countermeasure 1 CRF",IF($D$37='Factor 3 Calculations'!$A$80,"Countermeasure 1 CRF (KABC) ",IF($D$37='Factor 3 Calculations'!$A$81,"Countermeasure 1 CRF (All Severities)","Countermeasure 1 CRF")))</f>
        <v>Countermeasure 1 CRF</v>
      </c>
      <c r="C40" s="81"/>
      <c r="D40" s="89"/>
      <c r="E40" s="342"/>
      <c r="F40" s="342"/>
      <c r="G40" s="342"/>
      <c r="H40" s="342"/>
      <c r="I40" s="342"/>
      <c r="J40" s="240"/>
      <c r="K40" s="1"/>
      <c r="O40" s="239"/>
      <c r="P40" s="134"/>
      <c r="Q40" s="134"/>
      <c r="R40" s="134"/>
      <c r="S40" s="134"/>
      <c r="T40" s="134"/>
      <c r="U40" s="202"/>
      <c r="V40" s="202"/>
      <c r="W40" s="202"/>
      <c r="X40" s="202"/>
      <c r="Y40" s="203"/>
      <c r="Z40" s="203"/>
      <c r="AA40" s="203"/>
      <c r="AB40" s="203"/>
      <c r="AC40" s="203"/>
      <c r="AD40" s="203"/>
      <c r="AE40" s="203"/>
      <c r="AF40" s="202"/>
      <c r="AG40" s="202"/>
      <c r="AH40" s="202"/>
      <c r="AI40" s="202"/>
      <c r="AJ40" s="202"/>
      <c r="AK40" s="202"/>
      <c r="AL40" s="202"/>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34"/>
      <c r="DI40" s="134"/>
      <c r="DJ40" s="134"/>
      <c r="DK40" s="134"/>
      <c r="DL40" s="134"/>
      <c r="DM40" s="134"/>
      <c r="DN40" s="134"/>
      <c r="DO40" s="134"/>
      <c r="DP40" s="134"/>
      <c r="DQ40" s="134"/>
      <c r="DR40" s="134"/>
      <c r="DS40" s="134"/>
      <c r="DT40" s="134"/>
      <c r="DU40" s="134"/>
      <c r="DV40" s="134"/>
      <c r="DW40" s="134"/>
      <c r="DX40" s="134"/>
      <c r="DY40" s="134"/>
      <c r="DZ40" s="134"/>
      <c r="EA40" s="134"/>
      <c r="EB40" s="134"/>
      <c r="EC40" s="134"/>
      <c r="ED40" s="134"/>
      <c r="EE40" s="134"/>
      <c r="EF40" s="134"/>
      <c r="EG40" s="134"/>
      <c r="EH40" s="134"/>
      <c r="EI40" s="134"/>
      <c r="EJ40" s="134"/>
      <c r="EK40" s="134"/>
      <c r="EL40" s="134"/>
      <c r="EM40" s="134"/>
      <c r="EN40" s="134"/>
      <c r="EO40" s="134"/>
      <c r="EP40" s="134"/>
      <c r="EQ40" s="134"/>
      <c r="ER40" s="134"/>
      <c r="ES40" s="134"/>
      <c r="ET40" s="134"/>
      <c r="EU40" s="134"/>
      <c r="EV40" s="134"/>
      <c r="EW40" s="134"/>
      <c r="EX40" s="134"/>
      <c r="EY40" s="134"/>
      <c r="EZ40" s="134"/>
      <c r="FA40" s="134"/>
      <c r="FB40" s="134"/>
      <c r="FC40" s="134"/>
      <c r="FD40" s="134"/>
      <c r="FE40" s="134"/>
      <c r="FF40" s="134"/>
      <c r="FG40" s="134"/>
      <c r="FH40" s="134"/>
      <c r="FI40" s="134"/>
      <c r="FJ40" s="134"/>
      <c r="FK40" s="134"/>
      <c r="FL40" s="134"/>
      <c r="FM40" s="134"/>
      <c r="FN40" s="134"/>
      <c r="FO40" s="134"/>
      <c r="FP40" s="134"/>
      <c r="FQ40" s="134"/>
      <c r="FR40" s="134"/>
      <c r="FS40" s="134"/>
      <c r="FT40" s="134"/>
      <c r="FU40" s="134"/>
      <c r="FV40" s="134"/>
      <c r="FW40" s="134"/>
      <c r="FX40" s="134"/>
      <c r="FY40" s="134"/>
      <c r="FZ40" s="134"/>
      <c r="GA40" s="134"/>
      <c r="GB40" s="134"/>
      <c r="GC40" s="134"/>
      <c r="GD40" s="134"/>
      <c r="GE40" s="134"/>
      <c r="GF40" s="134"/>
      <c r="GG40" s="134"/>
      <c r="GH40" s="134"/>
      <c r="GI40" s="134"/>
      <c r="GJ40" s="134"/>
      <c r="GK40" s="134"/>
      <c r="GL40" s="134"/>
      <c r="GM40" s="134"/>
      <c r="GN40" s="134"/>
      <c r="GO40" s="134"/>
      <c r="GP40" s="134"/>
      <c r="GQ40" s="134"/>
      <c r="GR40" s="134"/>
      <c r="GS40" s="134"/>
      <c r="GT40" s="134"/>
      <c r="GU40" s="134"/>
      <c r="GV40" s="134"/>
      <c r="GW40" s="134"/>
      <c r="GX40" s="134"/>
      <c r="GY40" s="134"/>
      <c r="GZ40" s="134"/>
      <c r="HA40" s="134"/>
      <c r="HB40" s="134"/>
      <c r="HC40" s="134"/>
      <c r="HD40" s="134"/>
      <c r="HE40" s="134"/>
      <c r="HF40" s="134"/>
      <c r="HG40" s="134"/>
      <c r="HH40" s="134"/>
      <c r="HI40" s="134"/>
      <c r="HJ40" s="134"/>
      <c r="HK40" s="134"/>
      <c r="HL40" s="134"/>
      <c r="HM40" s="134"/>
      <c r="HN40" s="134"/>
      <c r="HO40" s="134"/>
      <c r="HP40" s="134"/>
      <c r="HQ40" s="134"/>
      <c r="HR40" s="134"/>
      <c r="HS40" s="134"/>
      <c r="HT40" s="134"/>
      <c r="HU40" s="134"/>
      <c r="HV40" s="134"/>
      <c r="HW40" s="134"/>
      <c r="HX40" s="134"/>
      <c r="HY40" s="134"/>
      <c r="HZ40" s="134"/>
      <c r="IA40" s="134"/>
      <c r="IB40" s="134"/>
      <c r="IC40" s="134"/>
      <c r="ID40" s="134"/>
      <c r="IE40" s="134"/>
      <c r="IF40" s="134"/>
      <c r="IG40" s="134"/>
      <c r="IH40" s="134"/>
      <c r="II40" s="134"/>
      <c r="IJ40" s="134"/>
      <c r="IK40" s="134"/>
      <c r="IL40" s="134"/>
      <c r="IM40" s="134"/>
      <c r="IN40" s="134"/>
      <c r="IO40" s="134"/>
      <c r="IP40" s="134"/>
      <c r="IQ40" s="134"/>
      <c r="IR40" s="134"/>
      <c r="IS40" s="134"/>
      <c r="IT40" s="134"/>
      <c r="IU40" s="134"/>
      <c r="IV40" s="134"/>
      <c r="IW40" s="134"/>
      <c r="IX40" s="134"/>
      <c r="IY40" s="134"/>
      <c r="IZ40" s="134"/>
      <c r="JA40" s="134"/>
      <c r="JB40" s="134"/>
      <c r="JC40" s="134"/>
      <c r="JD40" s="134"/>
      <c r="JE40" s="134"/>
      <c r="JF40" s="134"/>
    </row>
    <row r="41" spans="1:266" ht="18" thickBot="1">
      <c r="B41" s="84" t="s">
        <v>190</v>
      </c>
      <c r="C41" s="10"/>
      <c r="D41" s="195"/>
      <c r="E41" s="342"/>
      <c r="F41" s="342"/>
      <c r="G41" s="342"/>
      <c r="H41" s="342"/>
      <c r="I41" s="342"/>
      <c r="J41" s="240"/>
      <c r="K41" s="1"/>
      <c r="L41" s="24"/>
      <c r="M41" s="24"/>
      <c r="N41" s="24"/>
      <c r="O41" s="24"/>
      <c r="P41" s="206"/>
      <c r="Q41" s="134"/>
      <c r="R41" s="134"/>
      <c r="S41" s="134"/>
      <c r="T41" s="134"/>
      <c r="U41" s="202"/>
      <c r="V41" s="202"/>
      <c r="W41" s="202"/>
      <c r="X41" s="202"/>
      <c r="Y41" s="203"/>
      <c r="Z41" s="203"/>
      <c r="AA41" s="203"/>
      <c r="AB41" s="203"/>
      <c r="AC41" s="203"/>
      <c r="AD41" s="203"/>
      <c r="AE41" s="203"/>
      <c r="AF41" s="202"/>
      <c r="AG41" s="202"/>
      <c r="AH41" s="202"/>
      <c r="AI41" s="202"/>
      <c r="AJ41" s="202"/>
      <c r="AK41" s="202"/>
      <c r="AL41" s="202"/>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4"/>
      <c r="DI41" s="134"/>
      <c r="DJ41" s="134"/>
      <c r="DK41" s="134"/>
      <c r="DL41" s="134"/>
      <c r="DM41" s="134"/>
      <c r="DN41" s="134"/>
      <c r="DO41" s="134"/>
      <c r="DP41" s="134"/>
      <c r="DQ41" s="134"/>
      <c r="DR41" s="134"/>
      <c r="DS41" s="134"/>
      <c r="DT41" s="134"/>
      <c r="DU41" s="134"/>
      <c r="DV41" s="134"/>
      <c r="DW41" s="134"/>
      <c r="DX41" s="134"/>
      <c r="DY41" s="134"/>
      <c r="DZ41" s="134"/>
      <c r="EA41" s="134"/>
      <c r="EB41" s="134"/>
      <c r="EC41" s="134"/>
      <c r="ED41" s="134"/>
      <c r="EE41" s="134"/>
      <c r="EF41" s="134"/>
      <c r="EG41" s="134"/>
      <c r="EH41" s="134"/>
      <c r="EI41" s="134"/>
      <c r="EJ41" s="134"/>
      <c r="EK41" s="134"/>
      <c r="EL41" s="134"/>
      <c r="EM41" s="134"/>
      <c r="EN41" s="134"/>
      <c r="EO41" s="134"/>
      <c r="EP41" s="134"/>
      <c r="EQ41" s="134"/>
      <c r="ER41" s="134"/>
      <c r="ES41" s="134"/>
      <c r="ET41" s="134"/>
      <c r="EU41" s="134"/>
      <c r="EV41" s="134"/>
      <c r="EW41" s="134"/>
      <c r="EX41" s="134"/>
      <c r="EY41" s="134"/>
      <c r="EZ41" s="134"/>
      <c r="FA41" s="134"/>
      <c r="FB41" s="134"/>
      <c r="FC41" s="134"/>
      <c r="FD41" s="134"/>
      <c r="FE41" s="134"/>
      <c r="FF41" s="134"/>
      <c r="FG41" s="134"/>
      <c r="FH41" s="134"/>
      <c r="FI41" s="134"/>
      <c r="FJ41" s="134"/>
      <c r="FK41" s="134"/>
      <c r="FL41" s="134"/>
      <c r="FM41" s="134"/>
      <c r="FN41" s="134"/>
      <c r="FO41" s="134"/>
      <c r="FP41" s="134"/>
      <c r="FQ41" s="134"/>
      <c r="FR41" s="134"/>
      <c r="FS41" s="134"/>
      <c r="FT41" s="134"/>
      <c r="FU41" s="134"/>
      <c r="FV41" s="134"/>
      <c r="FW41" s="134"/>
      <c r="FX41" s="134"/>
      <c r="FY41" s="134"/>
      <c r="FZ41" s="134"/>
      <c r="GA41" s="134"/>
      <c r="GB41" s="134"/>
      <c r="GC41" s="134"/>
      <c r="GD41" s="134"/>
      <c r="GE41" s="134"/>
      <c r="GF41" s="134"/>
      <c r="GG41" s="134"/>
      <c r="GH41" s="134"/>
      <c r="GI41" s="134"/>
      <c r="GJ41" s="134"/>
      <c r="GK41" s="134"/>
      <c r="GL41" s="134"/>
      <c r="GM41" s="134"/>
      <c r="GN41" s="134"/>
      <c r="GO41" s="134"/>
      <c r="GP41" s="134"/>
      <c r="GQ41" s="134"/>
      <c r="GR41" s="134"/>
      <c r="GS41" s="134"/>
      <c r="GT41" s="134"/>
      <c r="GU41" s="134"/>
      <c r="GV41" s="134"/>
      <c r="GW41" s="134"/>
      <c r="GX41" s="134"/>
      <c r="GY41" s="134"/>
      <c r="GZ41" s="134"/>
      <c r="HA41" s="134"/>
      <c r="HB41" s="134"/>
      <c r="HC41" s="134"/>
      <c r="HD41" s="134"/>
      <c r="HE41" s="134"/>
      <c r="HF41" s="134"/>
      <c r="HG41" s="134"/>
      <c r="HH41" s="134"/>
      <c r="HI41" s="134"/>
      <c r="HJ41" s="134"/>
      <c r="HK41" s="134"/>
      <c r="HL41" s="134"/>
      <c r="HM41" s="134"/>
      <c r="HN41" s="134"/>
      <c r="HO41" s="134"/>
      <c r="HP41" s="134"/>
      <c r="HQ41" s="134"/>
      <c r="HR41" s="134"/>
      <c r="HS41" s="134"/>
      <c r="HT41" s="134"/>
      <c r="HU41" s="134"/>
      <c r="HV41" s="134"/>
      <c r="HW41" s="134"/>
      <c r="HX41" s="134"/>
      <c r="HY41" s="134"/>
      <c r="HZ41" s="134"/>
      <c r="IA41" s="134"/>
      <c r="IB41" s="134"/>
      <c r="IC41" s="134"/>
      <c r="ID41" s="134"/>
      <c r="IE41" s="134"/>
      <c r="IF41" s="134"/>
      <c r="IG41" s="134"/>
      <c r="IH41" s="134"/>
      <c r="II41" s="134"/>
      <c r="IJ41" s="134"/>
      <c r="IK41" s="134"/>
      <c r="IL41" s="134"/>
      <c r="IM41" s="134"/>
      <c r="IN41" s="134"/>
      <c r="IO41" s="134"/>
      <c r="IP41" s="134"/>
      <c r="IQ41" s="134"/>
      <c r="IR41" s="134"/>
      <c r="IS41" s="134"/>
      <c r="IT41" s="134"/>
      <c r="IU41" s="134"/>
      <c r="IV41" s="134"/>
      <c r="IW41" s="134"/>
      <c r="IX41" s="134"/>
      <c r="IY41" s="134"/>
      <c r="IZ41" s="134"/>
      <c r="JA41" s="134"/>
      <c r="JB41" s="134"/>
      <c r="JC41" s="134"/>
      <c r="JD41" s="134"/>
      <c r="JE41" s="134"/>
      <c r="JF41" s="134"/>
    </row>
    <row r="42" spans="1:266" ht="15" customHeight="1">
      <c r="B42" s="77" t="str">
        <f>IF($D$36="Yes","Countermeasure 1 CRF",IF($D$37='Factor 3 Calculations'!$A$80,"Countermeasure 2 CRF (KABC) ",IF($D$37='Factor 3 Calculations'!$A$81,"Countermeasure 2 CRF (All Severities)","Countermeasure 2 CRF")))</f>
        <v>Countermeasure 2 CRF</v>
      </c>
      <c r="C42" s="82"/>
      <c r="D42" s="83"/>
      <c r="E42" s="342"/>
      <c r="F42" s="342"/>
      <c r="G42" s="342"/>
      <c r="H42" s="342"/>
      <c r="I42" s="342"/>
      <c r="J42" s="240"/>
      <c r="K42" s="239"/>
      <c r="L42" s="25"/>
      <c r="M42" s="25"/>
      <c r="N42" s="25"/>
      <c r="O42" s="24"/>
      <c r="P42" s="206"/>
      <c r="Q42" s="134"/>
      <c r="R42" s="134"/>
      <c r="S42" s="134"/>
      <c r="T42" s="134"/>
      <c r="U42" s="202"/>
      <c r="V42" s="202"/>
      <c r="W42" s="202"/>
      <c r="X42" s="202"/>
      <c r="Y42" s="203"/>
      <c r="Z42" s="203"/>
      <c r="AA42" s="203"/>
      <c r="AB42" s="203"/>
      <c r="AC42" s="203"/>
      <c r="AD42" s="203"/>
      <c r="AE42" s="203"/>
      <c r="AF42" s="202"/>
      <c r="AG42" s="202"/>
      <c r="AH42" s="202"/>
      <c r="AI42" s="202"/>
      <c r="AJ42" s="202"/>
      <c r="AK42" s="202"/>
      <c r="AL42" s="202"/>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c r="DP42" s="134"/>
      <c r="DQ42" s="134"/>
      <c r="DR42" s="134"/>
      <c r="DS42" s="134"/>
      <c r="DT42" s="134"/>
      <c r="DU42" s="134"/>
      <c r="DV42" s="134"/>
      <c r="DW42" s="134"/>
      <c r="DX42" s="134"/>
      <c r="DY42" s="134"/>
      <c r="DZ42" s="134"/>
      <c r="EA42" s="134"/>
      <c r="EB42" s="134"/>
      <c r="EC42" s="134"/>
      <c r="ED42" s="134"/>
      <c r="EE42" s="134"/>
      <c r="EF42" s="134"/>
      <c r="EG42" s="134"/>
      <c r="EH42" s="134"/>
      <c r="EI42" s="134"/>
      <c r="EJ42" s="134"/>
      <c r="EK42" s="134"/>
      <c r="EL42" s="134"/>
      <c r="EM42" s="134"/>
      <c r="EN42" s="134"/>
      <c r="EO42" s="134"/>
      <c r="EP42" s="134"/>
      <c r="EQ42" s="134"/>
      <c r="ER42" s="134"/>
      <c r="ES42" s="134"/>
      <c r="ET42" s="134"/>
      <c r="EU42" s="134"/>
      <c r="EV42" s="134"/>
      <c r="EW42" s="134"/>
      <c r="EX42" s="134"/>
      <c r="EY42" s="134"/>
      <c r="EZ42" s="134"/>
      <c r="FA42" s="134"/>
      <c r="FB42" s="134"/>
      <c r="FC42" s="134"/>
      <c r="FD42" s="134"/>
      <c r="FE42" s="134"/>
      <c r="FF42" s="134"/>
      <c r="FG42" s="134"/>
      <c r="FH42" s="134"/>
      <c r="FI42" s="134"/>
      <c r="FJ42" s="134"/>
      <c r="FK42" s="134"/>
      <c r="FL42" s="134"/>
      <c r="FM42" s="134"/>
      <c r="FN42" s="134"/>
      <c r="FO42" s="134"/>
      <c r="FP42" s="134"/>
      <c r="FQ42" s="134"/>
      <c r="FR42" s="134"/>
      <c r="FS42" s="134"/>
      <c r="FT42" s="134"/>
      <c r="FU42" s="134"/>
      <c r="FV42" s="134"/>
      <c r="FW42" s="134"/>
      <c r="FX42" s="134"/>
      <c r="FY42" s="134"/>
      <c r="FZ42" s="134"/>
      <c r="GA42" s="134"/>
      <c r="GB42" s="134"/>
      <c r="GC42" s="134"/>
      <c r="GD42" s="134"/>
      <c r="GE42" s="134"/>
      <c r="GF42" s="134"/>
      <c r="GG42" s="134"/>
      <c r="GH42" s="134"/>
      <c r="GI42" s="134"/>
      <c r="GJ42" s="134"/>
      <c r="GK42" s="134"/>
      <c r="GL42" s="134"/>
      <c r="GM42" s="134"/>
      <c r="GN42" s="134"/>
      <c r="GO42" s="134"/>
      <c r="GP42" s="134"/>
      <c r="GQ42" s="134"/>
      <c r="GR42" s="134"/>
      <c r="GS42" s="134"/>
      <c r="GT42" s="134"/>
      <c r="GU42" s="134"/>
      <c r="GV42" s="134"/>
      <c r="GW42" s="134"/>
      <c r="GX42" s="134"/>
      <c r="GY42" s="134"/>
      <c r="GZ42" s="134"/>
      <c r="HA42" s="134"/>
      <c r="HB42" s="134"/>
      <c r="HC42" s="134"/>
      <c r="HD42" s="134"/>
      <c r="HE42" s="134"/>
      <c r="HF42" s="134"/>
      <c r="HG42" s="134"/>
      <c r="HH42" s="134"/>
      <c r="HI42" s="134"/>
      <c r="HJ42" s="134"/>
      <c r="HK42" s="134"/>
      <c r="HL42" s="134"/>
      <c r="HM42" s="134"/>
      <c r="HN42" s="134"/>
      <c r="HO42" s="134"/>
      <c r="HP42" s="134"/>
      <c r="HQ42" s="134"/>
      <c r="HR42" s="134"/>
      <c r="HS42" s="134"/>
      <c r="HT42" s="134"/>
      <c r="HU42" s="134"/>
      <c r="HV42" s="134"/>
      <c r="HW42" s="134"/>
      <c r="HX42" s="134"/>
      <c r="HY42" s="134"/>
      <c r="HZ42" s="134"/>
      <c r="IA42" s="134"/>
      <c r="IB42" s="134"/>
      <c r="IC42" s="134"/>
      <c r="ID42" s="134"/>
      <c r="IE42" s="134"/>
      <c r="IF42" s="134"/>
      <c r="IG42" s="134"/>
      <c r="IH42" s="134"/>
      <c r="II42" s="134"/>
      <c r="IJ42" s="134"/>
      <c r="IK42" s="134"/>
      <c r="IL42" s="134"/>
      <c r="IM42" s="134"/>
      <c r="IN42" s="134"/>
      <c r="IO42" s="134"/>
      <c r="IP42" s="134"/>
      <c r="IQ42" s="134"/>
      <c r="IR42" s="134"/>
      <c r="IS42" s="134"/>
      <c r="IT42" s="134"/>
      <c r="IU42" s="134"/>
      <c r="IV42" s="134"/>
      <c r="IW42" s="134"/>
      <c r="IX42" s="134"/>
      <c r="IY42" s="134"/>
      <c r="IZ42" s="134"/>
      <c r="JA42" s="134"/>
      <c r="JB42" s="134"/>
      <c r="JC42" s="134"/>
      <c r="JD42" s="134"/>
      <c r="JE42" s="134"/>
      <c r="JF42" s="134"/>
    </row>
    <row r="43" spans="1:266" ht="15" customHeight="1" thickBot="1">
      <c r="B43" s="84" t="s">
        <v>191</v>
      </c>
      <c r="C43" s="10"/>
      <c r="D43" s="195"/>
      <c r="E43" s="342"/>
      <c r="F43" s="342"/>
      <c r="G43" s="342"/>
      <c r="H43" s="342"/>
      <c r="I43" s="342"/>
      <c r="J43" s="240"/>
      <c r="K43" s="239"/>
      <c r="L43" s="240"/>
      <c r="M43" s="240"/>
      <c r="N43" s="240"/>
      <c r="O43" s="25"/>
      <c r="P43" s="206"/>
      <c r="Q43" s="134"/>
      <c r="R43" s="134"/>
      <c r="S43" s="134"/>
      <c r="T43" s="134"/>
      <c r="U43" s="202"/>
      <c r="V43" s="202"/>
      <c r="W43" s="202"/>
      <c r="X43" s="202"/>
      <c r="Y43" s="203"/>
      <c r="Z43" s="203"/>
      <c r="AA43" s="203"/>
      <c r="AB43" s="203"/>
      <c r="AC43" s="203"/>
      <c r="AD43" s="203"/>
      <c r="AE43" s="203"/>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c r="DP43" s="134"/>
      <c r="DQ43" s="134"/>
      <c r="DR43" s="134"/>
      <c r="DS43" s="134"/>
      <c r="DT43" s="134"/>
      <c r="DU43" s="134"/>
      <c r="DV43" s="134"/>
      <c r="DW43" s="134"/>
      <c r="DX43" s="134"/>
      <c r="DY43" s="134"/>
      <c r="DZ43" s="134"/>
      <c r="EA43" s="134"/>
      <c r="EB43" s="134"/>
      <c r="EC43" s="134"/>
      <c r="ED43" s="134"/>
      <c r="EE43" s="134"/>
      <c r="EF43" s="134"/>
      <c r="EG43" s="134"/>
      <c r="EH43" s="134"/>
      <c r="EI43" s="134"/>
      <c r="EJ43" s="134"/>
      <c r="EK43" s="134"/>
      <c r="EL43" s="134"/>
      <c r="EM43" s="134"/>
      <c r="EN43" s="134"/>
      <c r="EO43" s="134"/>
      <c r="EP43" s="134"/>
      <c r="EQ43" s="134"/>
      <c r="ER43" s="134"/>
      <c r="ES43" s="134"/>
      <c r="ET43" s="134"/>
      <c r="EU43" s="134"/>
      <c r="EV43" s="134"/>
      <c r="EW43" s="134"/>
      <c r="EX43" s="134"/>
      <c r="EY43" s="134"/>
      <c r="EZ43" s="134"/>
      <c r="FA43" s="134"/>
      <c r="FB43" s="134"/>
      <c r="FC43" s="134"/>
      <c r="FD43" s="134"/>
      <c r="FE43" s="134"/>
      <c r="FF43" s="134"/>
      <c r="FG43" s="134"/>
      <c r="FH43" s="134"/>
      <c r="FI43" s="134"/>
      <c r="FJ43" s="134"/>
      <c r="FK43" s="134"/>
      <c r="FL43" s="134"/>
      <c r="FM43" s="134"/>
      <c r="FN43" s="134"/>
      <c r="FO43" s="134"/>
      <c r="FP43" s="134"/>
      <c r="FQ43" s="134"/>
      <c r="FR43" s="134"/>
      <c r="FS43" s="134"/>
      <c r="FT43" s="134"/>
      <c r="FU43" s="134"/>
      <c r="FV43" s="134"/>
      <c r="FW43" s="134"/>
      <c r="FX43" s="134"/>
      <c r="FY43" s="134"/>
      <c r="FZ43" s="134"/>
      <c r="GA43" s="134"/>
      <c r="GB43" s="134"/>
      <c r="GC43" s="134"/>
      <c r="GD43" s="134"/>
      <c r="GE43" s="134"/>
      <c r="GF43" s="134"/>
      <c r="GG43" s="134"/>
      <c r="GH43" s="134"/>
      <c r="GI43" s="134"/>
      <c r="GJ43" s="134"/>
      <c r="GK43" s="134"/>
      <c r="GL43" s="134"/>
      <c r="GM43" s="134"/>
      <c r="GN43" s="134"/>
      <c r="GO43" s="134"/>
      <c r="GP43" s="134"/>
      <c r="GQ43" s="134"/>
      <c r="GR43" s="134"/>
      <c r="GS43" s="134"/>
      <c r="GT43" s="134"/>
      <c r="GU43" s="134"/>
      <c r="GV43" s="134"/>
      <c r="GW43" s="134"/>
      <c r="GX43" s="134"/>
      <c r="GY43" s="134"/>
      <c r="GZ43" s="134"/>
      <c r="HA43" s="134"/>
      <c r="HB43" s="134"/>
      <c r="HC43" s="134"/>
      <c r="HD43" s="134"/>
      <c r="HE43" s="134"/>
      <c r="HF43" s="134"/>
      <c r="HG43" s="134"/>
      <c r="HH43" s="134"/>
      <c r="HI43" s="134"/>
      <c r="HJ43" s="134"/>
      <c r="HK43" s="134"/>
      <c r="HL43" s="134"/>
      <c r="HM43" s="134"/>
      <c r="HN43" s="134"/>
      <c r="HO43" s="134"/>
      <c r="HP43" s="134"/>
      <c r="HQ43" s="134"/>
      <c r="HR43" s="134"/>
      <c r="HS43" s="134"/>
      <c r="HT43" s="134"/>
      <c r="HU43" s="134"/>
      <c r="HV43" s="134"/>
      <c r="HW43" s="134"/>
      <c r="HX43" s="134"/>
      <c r="HY43" s="134"/>
      <c r="HZ43" s="134"/>
      <c r="IA43" s="134"/>
      <c r="IB43" s="134"/>
      <c r="IC43" s="134"/>
      <c r="ID43" s="134"/>
      <c r="IE43" s="134"/>
      <c r="IF43" s="134"/>
      <c r="IG43" s="134"/>
      <c r="IH43" s="134"/>
      <c r="II43" s="134"/>
      <c r="IJ43" s="134"/>
      <c r="IK43" s="134"/>
      <c r="IL43" s="134"/>
      <c r="IM43" s="134"/>
      <c r="IN43" s="134"/>
      <c r="IO43" s="134"/>
      <c r="IP43" s="134"/>
      <c r="IQ43" s="134"/>
      <c r="IR43" s="134"/>
      <c r="IS43" s="134"/>
      <c r="IT43" s="134"/>
      <c r="IU43" s="134"/>
      <c r="IV43" s="134"/>
      <c r="IW43" s="134"/>
      <c r="IX43" s="134"/>
      <c r="IY43" s="134"/>
      <c r="IZ43" s="134"/>
      <c r="JA43" s="134"/>
      <c r="JB43" s="134"/>
      <c r="JC43" s="134"/>
      <c r="JD43" s="134"/>
      <c r="JE43" s="134"/>
      <c r="JF43" s="134"/>
    </row>
    <row r="44" spans="1:266" ht="17.25">
      <c r="B44" s="77" t="str">
        <f>IF($D$36="Yes","Countermeasure 1 CRF",IF($D$37='Factor 3 Calculations'!$A$80,"Countermeasure 3 CRF (KABC) ",IF($D$37='Factor 3 Calculations'!$A$81,"Countermeasure 3 CRF (All Severities)","Countermeasure 3 CRF")))</f>
        <v>Countermeasure 3 CRF</v>
      </c>
      <c r="C44" s="82"/>
      <c r="D44" s="83"/>
      <c r="E44" s="342"/>
      <c r="F44" s="342"/>
      <c r="G44" s="342"/>
      <c r="H44" s="342"/>
      <c r="I44" s="342"/>
      <c r="J44" s="240"/>
      <c r="K44" s="239"/>
      <c r="L44" s="6"/>
      <c r="M44" s="6"/>
      <c r="N44" s="6"/>
      <c r="O44" s="240"/>
      <c r="P44" s="206"/>
      <c r="Q44" s="134"/>
      <c r="R44" s="134"/>
      <c r="S44" s="134"/>
      <c r="T44" s="134"/>
      <c r="U44" s="202"/>
      <c r="V44" s="202"/>
      <c r="W44" s="202"/>
      <c r="X44" s="202"/>
      <c r="Y44" s="203"/>
      <c r="Z44" s="203"/>
      <c r="AA44" s="203"/>
      <c r="AB44" s="203"/>
      <c r="AC44" s="203"/>
      <c r="AD44" s="203"/>
      <c r="AE44" s="203"/>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c r="DP44" s="134"/>
      <c r="DQ44" s="134"/>
      <c r="DR44" s="134"/>
      <c r="DS44" s="134"/>
      <c r="DT44" s="134"/>
      <c r="DU44" s="134"/>
      <c r="DV44" s="134"/>
      <c r="DW44" s="134"/>
      <c r="DX44" s="134"/>
      <c r="DY44" s="134"/>
      <c r="DZ44" s="134"/>
      <c r="EA44" s="134"/>
      <c r="EB44" s="134"/>
      <c r="EC44" s="134"/>
      <c r="ED44" s="134"/>
      <c r="EE44" s="134"/>
      <c r="EF44" s="134"/>
      <c r="EG44" s="134"/>
      <c r="EH44" s="134"/>
      <c r="EI44" s="134"/>
      <c r="EJ44" s="134"/>
      <c r="EK44" s="134"/>
      <c r="EL44" s="134"/>
      <c r="EM44" s="134"/>
      <c r="EN44" s="134"/>
      <c r="EO44" s="134"/>
      <c r="EP44" s="134"/>
      <c r="EQ44" s="134"/>
      <c r="ER44" s="134"/>
      <c r="ES44" s="134"/>
      <c r="ET44" s="134"/>
      <c r="EU44" s="134"/>
      <c r="EV44" s="134"/>
      <c r="EW44" s="134"/>
      <c r="EX44" s="134"/>
      <c r="EY44" s="134"/>
      <c r="EZ44" s="134"/>
      <c r="FA44" s="134"/>
      <c r="FB44" s="134"/>
      <c r="FC44" s="134"/>
      <c r="FD44" s="134"/>
      <c r="FE44" s="134"/>
      <c r="FF44" s="134"/>
      <c r="FG44" s="134"/>
      <c r="FH44" s="134"/>
      <c r="FI44" s="134"/>
      <c r="FJ44" s="134"/>
      <c r="FK44" s="134"/>
      <c r="FL44" s="134"/>
      <c r="FM44" s="134"/>
      <c r="FN44" s="134"/>
      <c r="FO44" s="134"/>
      <c r="FP44" s="134"/>
      <c r="FQ44" s="134"/>
      <c r="FR44" s="134"/>
      <c r="FS44" s="134"/>
      <c r="FT44" s="134"/>
      <c r="FU44" s="134"/>
      <c r="FV44" s="134"/>
      <c r="FW44" s="134"/>
      <c r="FX44" s="134"/>
      <c r="FY44" s="134"/>
      <c r="FZ44" s="134"/>
      <c r="GA44" s="134"/>
      <c r="GB44" s="134"/>
      <c r="GC44" s="134"/>
      <c r="GD44" s="134"/>
      <c r="GE44" s="134"/>
      <c r="GF44" s="134"/>
      <c r="GG44" s="134"/>
      <c r="GH44" s="134"/>
      <c r="GI44" s="134"/>
      <c r="GJ44" s="134"/>
      <c r="GK44" s="134"/>
      <c r="GL44" s="134"/>
      <c r="GM44" s="134"/>
      <c r="GN44" s="134"/>
      <c r="GO44" s="134"/>
      <c r="GP44" s="134"/>
      <c r="GQ44" s="134"/>
      <c r="GR44" s="134"/>
      <c r="GS44" s="134"/>
      <c r="GT44" s="134"/>
      <c r="GU44" s="134"/>
      <c r="GV44" s="134"/>
      <c r="GW44" s="134"/>
      <c r="GX44" s="134"/>
      <c r="GY44" s="134"/>
      <c r="GZ44" s="134"/>
      <c r="HA44" s="134"/>
      <c r="HB44" s="134"/>
      <c r="HC44" s="134"/>
      <c r="HD44" s="134"/>
      <c r="HE44" s="134"/>
      <c r="HF44" s="134"/>
      <c r="HG44" s="134"/>
      <c r="HH44" s="134"/>
      <c r="HI44" s="134"/>
      <c r="HJ44" s="134"/>
      <c r="HK44" s="134"/>
      <c r="HL44" s="134"/>
      <c r="HM44" s="134"/>
      <c r="HN44" s="134"/>
      <c r="HO44" s="134"/>
      <c r="HP44" s="134"/>
      <c r="HQ44" s="134"/>
      <c r="HR44" s="134"/>
      <c r="HS44" s="134"/>
      <c r="HT44" s="134"/>
      <c r="HU44" s="134"/>
      <c r="HV44" s="134"/>
      <c r="HW44" s="134"/>
      <c r="HX44" s="134"/>
      <c r="HY44" s="134"/>
      <c r="HZ44" s="134"/>
      <c r="IA44" s="134"/>
      <c r="IB44" s="134"/>
      <c r="IC44" s="134"/>
      <c r="ID44" s="134"/>
      <c r="IE44" s="134"/>
      <c r="IF44" s="134"/>
      <c r="IG44" s="134"/>
      <c r="IH44" s="134"/>
      <c r="II44" s="134"/>
      <c r="IJ44" s="134"/>
      <c r="IK44" s="134"/>
      <c r="IL44" s="134"/>
      <c r="IM44" s="134"/>
      <c r="IN44" s="134"/>
      <c r="IO44" s="134"/>
      <c r="IP44" s="134"/>
      <c r="IQ44" s="134"/>
      <c r="IR44" s="134"/>
      <c r="IS44" s="134"/>
      <c r="IT44" s="134"/>
      <c r="IU44" s="134"/>
      <c r="IV44" s="134"/>
      <c r="IW44" s="134"/>
      <c r="IX44" s="134"/>
      <c r="IY44" s="134"/>
      <c r="IZ44" s="134"/>
      <c r="JA44" s="134"/>
      <c r="JB44" s="134"/>
      <c r="JC44" s="134"/>
      <c r="JD44" s="134"/>
      <c r="JE44" s="134"/>
      <c r="JF44" s="134"/>
    </row>
    <row r="45" spans="1:266" ht="18.75" thickBot="1">
      <c r="B45" s="84" t="s">
        <v>192</v>
      </c>
      <c r="C45" s="10"/>
      <c r="D45" s="195"/>
      <c r="E45" s="342"/>
      <c r="F45" s="342"/>
      <c r="G45" s="342"/>
      <c r="H45" s="342"/>
      <c r="I45" s="342"/>
      <c r="J45" s="240"/>
      <c r="K45" s="26"/>
      <c r="O45" s="6"/>
      <c r="P45" s="206"/>
      <c r="Q45" s="134"/>
      <c r="R45" s="134"/>
      <c r="S45" s="134"/>
      <c r="T45" s="134"/>
      <c r="U45" s="202"/>
      <c r="V45" s="202"/>
      <c r="W45" s="202"/>
      <c r="X45" s="202"/>
      <c r="Y45" s="203"/>
      <c r="Z45" s="203"/>
      <c r="AA45" s="203"/>
      <c r="AB45" s="203"/>
      <c r="AC45" s="203"/>
      <c r="AD45" s="203"/>
      <c r="AE45" s="203"/>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c r="DP45" s="134"/>
      <c r="DQ45" s="134"/>
      <c r="DR45" s="134"/>
      <c r="DS45" s="134"/>
      <c r="DT45" s="134"/>
      <c r="DU45" s="134"/>
      <c r="DV45" s="134"/>
      <c r="DW45" s="134"/>
      <c r="DX45" s="134"/>
      <c r="DY45" s="134"/>
      <c r="DZ45" s="134"/>
      <c r="EA45" s="134"/>
      <c r="EB45" s="134"/>
      <c r="EC45" s="134"/>
      <c r="ED45" s="134"/>
      <c r="EE45" s="134"/>
      <c r="EF45" s="134"/>
      <c r="EG45" s="134"/>
      <c r="EH45" s="134"/>
      <c r="EI45" s="134"/>
      <c r="EJ45" s="134"/>
      <c r="EK45" s="134"/>
      <c r="EL45" s="134"/>
      <c r="EM45" s="134"/>
      <c r="EN45" s="134"/>
      <c r="EO45" s="134"/>
      <c r="EP45" s="134"/>
      <c r="EQ45" s="134"/>
      <c r="ER45" s="134"/>
      <c r="ES45" s="134"/>
      <c r="ET45" s="134"/>
      <c r="EU45" s="134"/>
      <c r="EV45" s="134"/>
      <c r="EW45" s="134"/>
      <c r="EX45" s="134"/>
      <c r="EY45" s="134"/>
      <c r="EZ45" s="134"/>
      <c r="FA45" s="134"/>
      <c r="FB45" s="134"/>
      <c r="FC45" s="134"/>
      <c r="FD45" s="134"/>
      <c r="FE45" s="134"/>
      <c r="FF45" s="134"/>
      <c r="FG45" s="134"/>
      <c r="FH45" s="134"/>
      <c r="FI45" s="134"/>
      <c r="FJ45" s="134"/>
      <c r="FK45" s="134"/>
      <c r="FL45" s="134"/>
      <c r="FM45" s="134"/>
      <c r="FN45" s="134"/>
      <c r="FO45" s="134"/>
      <c r="FP45" s="134"/>
      <c r="FQ45" s="134"/>
      <c r="FR45" s="134"/>
      <c r="FS45" s="134"/>
      <c r="FT45" s="134"/>
      <c r="FU45" s="134"/>
      <c r="FV45" s="134"/>
      <c r="FW45" s="134"/>
      <c r="FX45" s="134"/>
      <c r="FY45" s="134"/>
      <c r="FZ45" s="134"/>
      <c r="GA45" s="134"/>
      <c r="GB45" s="134"/>
      <c r="GC45" s="134"/>
      <c r="GD45" s="134"/>
      <c r="GE45" s="134"/>
      <c r="GF45" s="134"/>
      <c r="GG45" s="134"/>
      <c r="GH45" s="134"/>
      <c r="GI45" s="134"/>
      <c r="GJ45" s="134"/>
      <c r="GK45" s="134"/>
      <c r="GL45" s="134"/>
      <c r="GM45" s="134"/>
      <c r="GN45" s="134"/>
      <c r="GO45" s="134"/>
      <c r="GP45" s="134"/>
      <c r="GQ45" s="134"/>
      <c r="GR45" s="134"/>
      <c r="GS45" s="134"/>
      <c r="GT45" s="134"/>
      <c r="GU45" s="134"/>
      <c r="GV45" s="134"/>
      <c r="GW45" s="134"/>
      <c r="GX45" s="134"/>
      <c r="GY45" s="134"/>
      <c r="GZ45" s="134"/>
      <c r="HA45" s="134"/>
      <c r="HB45" s="134"/>
      <c r="HC45" s="134"/>
      <c r="HD45" s="134"/>
      <c r="HE45" s="134"/>
      <c r="HF45" s="134"/>
      <c r="HG45" s="134"/>
      <c r="HH45" s="134"/>
      <c r="HI45" s="134"/>
      <c r="HJ45" s="134"/>
      <c r="HK45" s="134"/>
      <c r="HL45" s="134"/>
      <c r="HM45" s="134"/>
      <c r="HN45" s="134"/>
      <c r="HO45" s="134"/>
      <c r="HP45" s="134"/>
      <c r="HQ45" s="134"/>
      <c r="HR45" s="134"/>
      <c r="HS45" s="134"/>
      <c r="HT45" s="134"/>
      <c r="HU45" s="134"/>
      <c r="HV45" s="134"/>
      <c r="HW45" s="134"/>
      <c r="HX45" s="134"/>
      <c r="HY45" s="134"/>
      <c r="HZ45" s="134"/>
      <c r="IA45" s="134"/>
      <c r="IB45" s="134"/>
      <c r="IC45" s="134"/>
      <c r="ID45" s="134"/>
      <c r="IE45" s="134"/>
      <c r="IF45" s="134"/>
      <c r="IG45" s="134"/>
      <c r="IH45" s="134"/>
      <c r="II45" s="134"/>
      <c r="IJ45" s="134"/>
      <c r="IK45" s="134"/>
      <c r="IL45" s="134"/>
      <c r="IM45" s="134"/>
      <c r="IN45" s="134"/>
      <c r="IO45" s="134"/>
      <c r="IP45" s="134"/>
      <c r="IQ45" s="134"/>
      <c r="IR45" s="134"/>
      <c r="IS45" s="134"/>
      <c r="IT45" s="134"/>
      <c r="IU45" s="134"/>
      <c r="IV45" s="134"/>
      <c r="IW45" s="134"/>
      <c r="IX45" s="134"/>
      <c r="IY45" s="134"/>
      <c r="IZ45" s="134"/>
      <c r="JA45" s="134"/>
      <c r="JB45" s="134"/>
      <c r="JC45" s="134"/>
      <c r="JD45" s="134"/>
      <c r="JE45" s="134"/>
      <c r="JF45" s="134"/>
    </row>
    <row r="46" spans="1:266" ht="17.25">
      <c r="J46" s="240"/>
      <c r="K46" s="24"/>
      <c r="P46" s="134"/>
      <c r="Q46" s="134"/>
      <c r="R46" s="134"/>
      <c r="S46" s="134"/>
      <c r="T46" s="134"/>
      <c r="U46" s="202"/>
      <c r="V46" s="202"/>
      <c r="W46" s="202"/>
      <c r="X46" s="202"/>
      <c r="Y46" s="203"/>
      <c r="Z46" s="203"/>
      <c r="AA46" s="203"/>
      <c r="AB46" s="203"/>
      <c r="AC46" s="203"/>
      <c r="AD46" s="203"/>
      <c r="AE46" s="203"/>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c r="DJ46" s="134"/>
      <c r="DK46" s="134"/>
      <c r="DL46" s="134"/>
      <c r="DM46" s="134"/>
      <c r="DN46" s="134"/>
      <c r="DO46" s="134"/>
      <c r="DP46" s="134"/>
      <c r="DQ46" s="134"/>
      <c r="DR46" s="134"/>
      <c r="DS46" s="134"/>
      <c r="DT46" s="134"/>
      <c r="DU46" s="134"/>
      <c r="DV46" s="134"/>
      <c r="DW46" s="134"/>
      <c r="DX46" s="134"/>
      <c r="DY46" s="134"/>
      <c r="DZ46" s="134"/>
      <c r="EA46" s="134"/>
      <c r="EB46" s="134"/>
      <c r="EC46" s="134"/>
      <c r="ED46" s="134"/>
      <c r="EE46" s="134"/>
      <c r="EF46" s="134"/>
      <c r="EG46" s="134"/>
      <c r="EH46" s="134"/>
      <c r="EI46" s="134"/>
      <c r="EJ46" s="134"/>
      <c r="EK46" s="134"/>
      <c r="EL46" s="134"/>
      <c r="EM46" s="134"/>
      <c r="EN46" s="134"/>
      <c r="EO46" s="134"/>
      <c r="EP46" s="134"/>
      <c r="EQ46" s="134"/>
      <c r="ER46" s="134"/>
      <c r="ES46" s="134"/>
      <c r="ET46" s="134"/>
      <c r="EU46" s="134"/>
      <c r="EV46" s="134"/>
      <c r="EW46" s="134"/>
      <c r="EX46" s="134"/>
      <c r="EY46" s="134"/>
      <c r="EZ46" s="134"/>
      <c r="FA46" s="134"/>
      <c r="FB46" s="134"/>
      <c r="FC46" s="134"/>
      <c r="FD46" s="134"/>
      <c r="FE46" s="134"/>
      <c r="FF46" s="134"/>
      <c r="FG46" s="134"/>
      <c r="FH46" s="134"/>
      <c r="FI46" s="134"/>
      <c r="FJ46" s="134"/>
      <c r="FK46" s="134"/>
      <c r="FL46" s="134"/>
      <c r="FM46" s="134"/>
      <c r="FN46" s="134"/>
      <c r="FO46" s="134"/>
      <c r="FP46" s="134"/>
      <c r="FQ46" s="134"/>
      <c r="FR46" s="134"/>
      <c r="FS46" s="134"/>
      <c r="FT46" s="134"/>
      <c r="FU46" s="134"/>
      <c r="FV46" s="134"/>
      <c r="FW46" s="134"/>
      <c r="FX46" s="134"/>
      <c r="FY46" s="134"/>
      <c r="FZ46" s="134"/>
      <c r="GA46" s="134"/>
      <c r="GB46" s="134"/>
      <c r="GC46" s="134"/>
      <c r="GD46" s="134"/>
      <c r="GE46" s="134"/>
      <c r="GF46" s="134"/>
      <c r="GG46" s="134"/>
      <c r="GH46" s="134"/>
      <c r="GI46" s="134"/>
      <c r="GJ46" s="134"/>
      <c r="GK46" s="134"/>
      <c r="GL46" s="134"/>
      <c r="GM46" s="134"/>
      <c r="GN46" s="134"/>
      <c r="GO46" s="134"/>
      <c r="GP46" s="134"/>
      <c r="GQ46" s="134"/>
      <c r="GR46" s="134"/>
      <c r="GS46" s="134"/>
      <c r="GT46" s="134"/>
      <c r="GU46" s="134"/>
      <c r="GV46" s="134"/>
      <c r="GW46" s="134"/>
      <c r="GX46" s="134"/>
      <c r="GY46" s="134"/>
      <c r="GZ46" s="134"/>
      <c r="HA46" s="134"/>
      <c r="HB46" s="134"/>
      <c r="HC46" s="134"/>
      <c r="HD46" s="134"/>
      <c r="HE46" s="134"/>
      <c r="HF46" s="134"/>
      <c r="HG46" s="134"/>
      <c r="HH46" s="134"/>
      <c r="HI46" s="134"/>
      <c r="HJ46" s="134"/>
      <c r="HK46" s="134"/>
      <c r="HL46" s="134"/>
      <c r="HM46" s="134"/>
      <c r="HN46" s="134"/>
      <c r="HO46" s="134"/>
      <c r="HP46" s="134"/>
      <c r="HQ46" s="134"/>
      <c r="HR46" s="134"/>
      <c r="HS46" s="134"/>
      <c r="HT46" s="134"/>
      <c r="HU46" s="134"/>
      <c r="HV46" s="134"/>
      <c r="HW46" s="134"/>
      <c r="HX46" s="134"/>
      <c r="HY46" s="134"/>
      <c r="HZ46" s="134"/>
      <c r="IA46" s="134"/>
      <c r="IB46" s="134"/>
      <c r="IC46" s="134"/>
      <c r="ID46" s="134"/>
      <c r="IE46" s="134"/>
      <c r="IF46" s="134"/>
      <c r="IG46" s="134"/>
      <c r="IH46" s="134"/>
      <c r="II46" s="134"/>
      <c r="IJ46" s="134"/>
      <c r="IK46" s="134"/>
      <c r="IL46" s="134"/>
      <c r="IM46" s="134"/>
      <c r="IN46" s="134"/>
      <c r="IO46" s="134"/>
      <c r="IP46" s="134"/>
      <c r="IQ46" s="134"/>
      <c r="IR46" s="134"/>
      <c r="IS46" s="134"/>
      <c r="IT46" s="134"/>
      <c r="IU46" s="134"/>
      <c r="IV46" s="134"/>
      <c r="IW46" s="134"/>
      <c r="IX46" s="134"/>
      <c r="IY46" s="134"/>
      <c r="IZ46" s="134"/>
      <c r="JA46" s="134"/>
      <c r="JB46" s="134"/>
      <c r="JC46" s="134"/>
      <c r="JD46" s="134"/>
      <c r="JE46" s="134"/>
      <c r="JF46" s="134"/>
    </row>
    <row r="47" spans="1:266" ht="15" customHeight="1">
      <c r="J47" s="240"/>
      <c r="K47" s="24"/>
      <c r="P47" s="208"/>
      <c r="Q47" s="134"/>
      <c r="R47" s="134"/>
      <c r="S47" s="134"/>
      <c r="T47" s="134"/>
      <c r="U47" s="202"/>
      <c r="V47" s="202"/>
      <c r="W47" s="202"/>
      <c r="X47" s="202"/>
      <c r="Y47" s="203"/>
      <c r="Z47" s="203"/>
      <c r="AA47" s="203"/>
      <c r="AB47" s="203"/>
      <c r="AC47" s="203"/>
      <c r="AD47" s="203"/>
      <c r="AE47" s="203"/>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c r="DS47" s="134"/>
      <c r="DT47" s="134"/>
      <c r="DU47" s="134"/>
      <c r="DV47" s="134"/>
      <c r="DW47" s="134"/>
      <c r="DX47" s="134"/>
      <c r="DY47" s="134"/>
      <c r="DZ47" s="134"/>
      <c r="EA47" s="134"/>
      <c r="EB47" s="134"/>
      <c r="EC47" s="134"/>
      <c r="ED47" s="134"/>
      <c r="EE47" s="134"/>
      <c r="EF47" s="134"/>
      <c r="EG47" s="134"/>
      <c r="EH47" s="134"/>
      <c r="EI47" s="134"/>
      <c r="EJ47" s="134"/>
      <c r="EK47" s="134"/>
      <c r="EL47" s="134"/>
      <c r="EM47" s="134"/>
      <c r="EN47" s="134"/>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134"/>
      <c r="FO47" s="134"/>
      <c r="FP47" s="134"/>
      <c r="FQ47" s="134"/>
      <c r="FR47" s="134"/>
      <c r="FS47" s="134"/>
      <c r="FT47" s="134"/>
      <c r="FU47" s="134"/>
      <c r="FV47" s="134"/>
      <c r="FW47" s="134"/>
      <c r="FX47" s="134"/>
      <c r="FY47" s="134"/>
      <c r="FZ47" s="134"/>
      <c r="GA47" s="134"/>
      <c r="GB47" s="134"/>
      <c r="GC47" s="134"/>
      <c r="GD47" s="134"/>
      <c r="GE47" s="134"/>
      <c r="GF47" s="134"/>
      <c r="GG47" s="134"/>
      <c r="GH47" s="134"/>
      <c r="GI47" s="134"/>
      <c r="GJ47" s="134"/>
      <c r="GK47" s="134"/>
      <c r="GL47" s="134"/>
      <c r="GM47" s="134"/>
      <c r="GN47" s="134"/>
      <c r="GO47" s="134"/>
      <c r="GP47" s="134"/>
      <c r="GQ47" s="134"/>
      <c r="GR47" s="134"/>
      <c r="GS47" s="134"/>
      <c r="GT47" s="134"/>
      <c r="GU47" s="134"/>
      <c r="GV47" s="134"/>
      <c r="GW47" s="134"/>
      <c r="GX47" s="134"/>
      <c r="GY47" s="134"/>
      <c r="GZ47" s="134"/>
      <c r="HA47" s="134"/>
      <c r="HB47" s="134"/>
      <c r="HC47" s="134"/>
      <c r="HD47" s="134"/>
      <c r="HE47" s="134"/>
      <c r="HF47" s="134"/>
      <c r="HG47" s="134"/>
      <c r="HH47" s="134"/>
      <c r="HI47" s="134"/>
      <c r="HJ47" s="134"/>
      <c r="HK47" s="134"/>
      <c r="HL47" s="134"/>
      <c r="HM47" s="134"/>
      <c r="HN47" s="134"/>
      <c r="HO47" s="134"/>
      <c r="HP47" s="134"/>
      <c r="HQ47" s="134"/>
      <c r="HR47" s="134"/>
      <c r="HS47" s="134"/>
      <c r="HT47" s="134"/>
      <c r="HU47" s="134"/>
      <c r="HV47" s="134"/>
      <c r="HW47" s="134"/>
      <c r="HX47" s="134"/>
      <c r="HY47" s="134"/>
      <c r="HZ47" s="134"/>
      <c r="IA47" s="134"/>
      <c r="IB47" s="134"/>
      <c r="IC47" s="134"/>
      <c r="ID47" s="134"/>
      <c r="IE47" s="134"/>
      <c r="IF47" s="134"/>
      <c r="IG47" s="134"/>
      <c r="IH47" s="134"/>
      <c r="II47" s="134"/>
      <c r="IJ47" s="134"/>
      <c r="IK47" s="134"/>
      <c r="IL47" s="134"/>
      <c r="IM47" s="134"/>
      <c r="IN47" s="134"/>
      <c r="IO47" s="134"/>
      <c r="IP47" s="134"/>
      <c r="IQ47" s="134"/>
      <c r="IR47" s="134"/>
      <c r="IS47" s="134"/>
      <c r="IT47" s="134"/>
      <c r="IU47" s="134"/>
      <c r="IV47" s="134"/>
      <c r="IW47" s="134"/>
      <c r="IX47" s="134"/>
      <c r="IY47" s="134"/>
      <c r="IZ47" s="134"/>
      <c r="JA47" s="134"/>
      <c r="JB47" s="134"/>
      <c r="JC47" s="134"/>
      <c r="JD47" s="134"/>
      <c r="JE47" s="134"/>
      <c r="JF47" s="134"/>
    </row>
    <row r="48" spans="1:266" ht="15" customHeight="1">
      <c r="J48" s="239"/>
      <c r="K48" s="239"/>
      <c r="P48" s="208"/>
      <c r="Q48" s="134"/>
      <c r="R48" s="134"/>
      <c r="S48" s="134"/>
      <c r="T48" s="134"/>
      <c r="U48" s="202"/>
      <c r="V48" s="202"/>
      <c r="W48" s="202"/>
      <c r="X48" s="202"/>
      <c r="Y48" s="203"/>
      <c r="Z48" s="203"/>
      <c r="AA48" s="203"/>
      <c r="AB48" s="203"/>
      <c r="AC48" s="203"/>
      <c r="AD48" s="203"/>
      <c r="AE48" s="203"/>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c r="DJ48" s="134"/>
      <c r="DK48" s="134"/>
      <c r="DL48" s="134"/>
      <c r="DM48" s="134"/>
      <c r="DN48" s="134"/>
      <c r="DO48" s="134"/>
      <c r="DP48" s="134"/>
      <c r="DQ48" s="134"/>
      <c r="DR48" s="134"/>
      <c r="DS48" s="134"/>
      <c r="DT48" s="134"/>
      <c r="DU48" s="134"/>
      <c r="DV48" s="134"/>
      <c r="DW48" s="134"/>
      <c r="DX48" s="134"/>
      <c r="DY48" s="134"/>
      <c r="DZ48" s="134"/>
      <c r="EA48" s="134"/>
      <c r="EB48" s="134"/>
      <c r="EC48" s="134"/>
      <c r="ED48" s="134"/>
      <c r="EE48" s="134"/>
      <c r="EF48" s="134"/>
      <c r="EG48" s="134"/>
      <c r="EH48" s="134"/>
      <c r="EI48" s="134"/>
      <c r="EJ48" s="134"/>
      <c r="EK48" s="134"/>
      <c r="EL48" s="134"/>
      <c r="EM48" s="134"/>
      <c r="EN48" s="134"/>
      <c r="EO48" s="134"/>
      <c r="EP48" s="134"/>
      <c r="EQ48" s="134"/>
      <c r="ER48" s="134"/>
      <c r="ES48" s="134"/>
      <c r="ET48" s="134"/>
      <c r="EU48" s="134"/>
      <c r="EV48" s="134"/>
      <c r="EW48" s="134"/>
      <c r="EX48" s="134"/>
      <c r="EY48" s="134"/>
      <c r="EZ48" s="134"/>
      <c r="FA48" s="134"/>
      <c r="FB48" s="134"/>
      <c r="FC48" s="134"/>
      <c r="FD48" s="134"/>
      <c r="FE48" s="134"/>
      <c r="FF48" s="134"/>
      <c r="FG48" s="134"/>
      <c r="FH48" s="134"/>
      <c r="FI48" s="134"/>
      <c r="FJ48" s="134"/>
      <c r="FK48" s="134"/>
      <c r="FL48" s="134"/>
      <c r="FM48" s="134"/>
      <c r="FN48" s="134"/>
      <c r="FO48" s="134"/>
      <c r="FP48" s="134"/>
      <c r="FQ48" s="134"/>
      <c r="FR48" s="134"/>
      <c r="FS48" s="134"/>
      <c r="FT48" s="134"/>
      <c r="FU48" s="134"/>
      <c r="FV48" s="134"/>
      <c r="FW48" s="134"/>
      <c r="FX48" s="134"/>
      <c r="FY48" s="134"/>
      <c r="FZ48" s="134"/>
      <c r="GA48" s="134"/>
      <c r="GB48" s="134"/>
      <c r="GC48" s="134"/>
      <c r="GD48" s="134"/>
      <c r="GE48" s="134"/>
      <c r="GF48" s="134"/>
      <c r="GG48" s="134"/>
      <c r="GH48" s="134"/>
      <c r="GI48" s="134"/>
      <c r="GJ48" s="134"/>
      <c r="GK48" s="134"/>
      <c r="GL48" s="134"/>
      <c r="GM48" s="134"/>
      <c r="GN48" s="134"/>
      <c r="GO48" s="134"/>
      <c r="GP48" s="134"/>
      <c r="GQ48" s="134"/>
      <c r="GR48" s="134"/>
      <c r="GS48" s="134"/>
      <c r="GT48" s="134"/>
      <c r="GU48" s="134"/>
      <c r="GV48" s="134"/>
      <c r="GW48" s="134"/>
      <c r="GX48" s="134"/>
      <c r="GY48" s="134"/>
      <c r="GZ48" s="134"/>
      <c r="HA48" s="134"/>
      <c r="HB48" s="134"/>
      <c r="HC48" s="134"/>
      <c r="HD48" s="134"/>
      <c r="HE48" s="134"/>
      <c r="HF48" s="134"/>
      <c r="HG48" s="134"/>
      <c r="HH48" s="134"/>
      <c r="HI48" s="134"/>
      <c r="HJ48" s="134"/>
      <c r="HK48" s="134"/>
      <c r="HL48" s="134"/>
      <c r="HM48" s="134"/>
      <c r="HN48" s="134"/>
      <c r="HO48" s="134"/>
      <c r="HP48" s="134"/>
      <c r="HQ48" s="134"/>
      <c r="HR48" s="134"/>
      <c r="HS48" s="134"/>
      <c r="HT48" s="134"/>
      <c r="HU48" s="134"/>
      <c r="HV48" s="134"/>
      <c r="HW48" s="134"/>
      <c r="HX48" s="134"/>
      <c r="HY48" s="134"/>
      <c r="HZ48" s="134"/>
      <c r="IA48" s="134"/>
      <c r="IB48" s="134"/>
      <c r="IC48" s="134"/>
      <c r="ID48" s="134"/>
      <c r="IE48" s="134"/>
      <c r="IF48" s="134"/>
      <c r="IG48" s="134"/>
      <c r="IH48" s="134"/>
      <c r="II48" s="134"/>
      <c r="IJ48" s="134"/>
      <c r="IK48" s="134"/>
      <c r="IL48" s="134"/>
      <c r="IM48" s="134"/>
      <c r="IN48" s="134"/>
      <c r="IO48" s="134"/>
      <c r="IP48" s="134"/>
      <c r="IQ48" s="134"/>
      <c r="IR48" s="134"/>
      <c r="IS48" s="134"/>
      <c r="IT48" s="134"/>
      <c r="IU48" s="134"/>
      <c r="IV48" s="134"/>
      <c r="IW48" s="134"/>
      <c r="IX48" s="134"/>
      <c r="IY48" s="134"/>
      <c r="IZ48" s="134"/>
      <c r="JA48" s="134"/>
      <c r="JB48" s="134"/>
      <c r="JC48" s="134"/>
      <c r="JD48" s="134"/>
      <c r="JE48" s="134"/>
      <c r="JF48" s="134"/>
    </row>
    <row r="49" spans="1:266" ht="15.75" customHeight="1" thickBot="1">
      <c r="J49" s="24"/>
      <c r="K49" s="24"/>
      <c r="P49" s="208"/>
      <c r="Q49" s="134"/>
      <c r="R49" s="134"/>
      <c r="S49" s="134"/>
      <c r="T49" s="134"/>
      <c r="U49" s="202"/>
      <c r="V49" s="202"/>
      <c r="W49" s="202"/>
      <c r="X49" s="202"/>
      <c r="Y49" s="203"/>
      <c r="Z49" s="203"/>
      <c r="AA49" s="203"/>
      <c r="AB49" s="203"/>
      <c r="AC49" s="203"/>
      <c r="AD49" s="203"/>
      <c r="AE49" s="203"/>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c r="CS49" s="134"/>
      <c r="CT49" s="134"/>
      <c r="CU49" s="134"/>
      <c r="CV49" s="134"/>
      <c r="CW49" s="134"/>
      <c r="CX49" s="134"/>
      <c r="CY49" s="134"/>
      <c r="CZ49" s="134"/>
      <c r="DA49" s="134"/>
      <c r="DB49" s="134"/>
      <c r="DC49" s="134"/>
      <c r="DD49" s="134"/>
      <c r="DE49" s="134"/>
      <c r="DF49" s="134"/>
      <c r="DG49" s="134"/>
      <c r="DH49" s="134"/>
      <c r="DI49" s="134"/>
      <c r="DJ49" s="134"/>
      <c r="DK49" s="134"/>
      <c r="DL49" s="134"/>
      <c r="DM49" s="134"/>
      <c r="DN49" s="134"/>
      <c r="DO49" s="134"/>
      <c r="DP49" s="134"/>
      <c r="DQ49" s="134"/>
      <c r="DR49" s="134"/>
      <c r="DS49" s="134"/>
      <c r="DT49" s="134"/>
      <c r="DU49" s="134"/>
      <c r="DV49" s="134"/>
      <c r="DW49" s="134"/>
      <c r="DX49" s="134"/>
      <c r="DY49" s="134"/>
      <c r="DZ49" s="134"/>
      <c r="EA49" s="134"/>
      <c r="EB49" s="134"/>
      <c r="EC49" s="134"/>
      <c r="ED49" s="134"/>
      <c r="EE49" s="134"/>
      <c r="EF49" s="134"/>
      <c r="EG49" s="134"/>
      <c r="EH49" s="134"/>
      <c r="EI49" s="134"/>
      <c r="EJ49" s="134"/>
      <c r="EK49" s="134"/>
      <c r="EL49" s="134"/>
      <c r="EM49" s="134"/>
      <c r="EN49" s="134"/>
      <c r="EO49" s="134"/>
      <c r="EP49" s="134"/>
      <c r="EQ49" s="134"/>
      <c r="ER49" s="134"/>
      <c r="ES49" s="134"/>
      <c r="ET49" s="134"/>
      <c r="EU49" s="134"/>
      <c r="EV49" s="134"/>
      <c r="EW49" s="134"/>
      <c r="EX49" s="134"/>
      <c r="EY49" s="134"/>
      <c r="EZ49" s="134"/>
      <c r="FA49" s="134"/>
      <c r="FB49" s="134"/>
      <c r="FC49" s="134"/>
      <c r="FD49" s="134"/>
      <c r="FE49" s="134"/>
      <c r="FF49" s="134"/>
      <c r="FG49" s="134"/>
      <c r="FH49" s="134"/>
      <c r="FI49" s="134"/>
      <c r="FJ49" s="134"/>
      <c r="FK49" s="134"/>
      <c r="FL49" s="134"/>
      <c r="FM49" s="134"/>
      <c r="FN49" s="134"/>
      <c r="FO49" s="134"/>
      <c r="FP49" s="134"/>
      <c r="FQ49" s="134"/>
      <c r="FR49" s="134"/>
      <c r="FS49" s="134"/>
      <c r="FT49" s="134"/>
      <c r="FU49" s="134"/>
      <c r="FV49" s="134"/>
      <c r="FW49" s="134"/>
      <c r="FX49" s="134"/>
      <c r="FY49" s="134"/>
      <c r="FZ49" s="134"/>
      <c r="GA49" s="134"/>
      <c r="GB49" s="134"/>
      <c r="GC49" s="134"/>
      <c r="GD49" s="134"/>
      <c r="GE49" s="134"/>
      <c r="GF49" s="134"/>
      <c r="GG49" s="134"/>
      <c r="GH49" s="134"/>
      <c r="GI49" s="134"/>
      <c r="GJ49" s="134"/>
      <c r="GK49" s="134"/>
      <c r="GL49" s="134"/>
      <c r="GM49" s="134"/>
      <c r="GN49" s="134"/>
      <c r="GO49" s="134"/>
      <c r="GP49" s="134"/>
      <c r="GQ49" s="134"/>
      <c r="GR49" s="134"/>
      <c r="GS49" s="134"/>
      <c r="GT49" s="134"/>
      <c r="GU49" s="134"/>
      <c r="GV49" s="134"/>
      <c r="GW49" s="134"/>
      <c r="GX49" s="134"/>
      <c r="GY49" s="134"/>
      <c r="GZ49" s="134"/>
      <c r="HA49" s="134"/>
      <c r="HB49" s="134"/>
      <c r="HC49" s="134"/>
      <c r="HD49" s="134"/>
      <c r="HE49" s="134"/>
      <c r="HF49" s="134"/>
      <c r="HG49" s="134"/>
      <c r="HH49" s="134"/>
      <c r="HI49" s="134"/>
      <c r="HJ49" s="134"/>
      <c r="HK49" s="134"/>
      <c r="HL49" s="134"/>
      <c r="HM49" s="134"/>
      <c r="HN49" s="134"/>
      <c r="HO49" s="134"/>
      <c r="HP49" s="134"/>
      <c r="HQ49" s="134"/>
      <c r="HR49" s="134"/>
      <c r="HS49" s="134"/>
      <c r="HT49" s="134"/>
      <c r="HU49" s="134"/>
      <c r="HV49" s="134"/>
      <c r="HW49" s="134"/>
      <c r="HX49" s="134"/>
      <c r="HY49" s="134"/>
      <c r="HZ49" s="134"/>
      <c r="IA49" s="134"/>
      <c r="IB49" s="134"/>
      <c r="IC49" s="134"/>
      <c r="ID49" s="134"/>
      <c r="IE49" s="134"/>
      <c r="IF49" s="134"/>
      <c r="IG49" s="134"/>
      <c r="IH49" s="134"/>
      <c r="II49" s="134"/>
      <c r="IJ49" s="134"/>
      <c r="IK49" s="134"/>
      <c r="IL49" s="134"/>
      <c r="IM49" s="134"/>
      <c r="IN49" s="134"/>
      <c r="IO49" s="134"/>
      <c r="IP49" s="134"/>
      <c r="IQ49" s="134"/>
      <c r="IR49" s="134"/>
      <c r="IS49" s="134"/>
      <c r="IT49" s="134"/>
      <c r="IU49" s="134"/>
      <c r="IV49" s="134"/>
      <c r="IW49" s="134"/>
      <c r="IX49" s="134"/>
      <c r="IY49" s="134"/>
      <c r="IZ49" s="134"/>
      <c r="JA49" s="134"/>
      <c r="JB49" s="134"/>
      <c r="JC49" s="134"/>
      <c r="JD49" s="134"/>
      <c r="JE49" s="134"/>
      <c r="JF49" s="134"/>
    </row>
    <row r="50" spans="1:266" ht="15.75" customHeight="1" thickBot="1">
      <c r="B50" s="337" t="s">
        <v>193</v>
      </c>
      <c r="C50" s="338"/>
      <c r="D50" s="338"/>
      <c r="E50" s="338"/>
      <c r="F50" s="338"/>
      <c r="G50" s="338"/>
      <c r="H50" s="338"/>
      <c r="I50" s="338"/>
      <c r="J50" s="339"/>
      <c r="P50" s="208"/>
      <c r="Q50" s="134"/>
      <c r="R50" s="134"/>
      <c r="S50" s="134"/>
      <c r="T50" s="134"/>
      <c r="U50" s="202"/>
      <c r="V50" s="202"/>
      <c r="W50" s="202"/>
      <c r="X50" s="202"/>
      <c r="Y50" s="203"/>
      <c r="Z50" s="203"/>
      <c r="AA50" s="203"/>
      <c r="AB50" s="203"/>
      <c r="AC50" s="203"/>
      <c r="AD50" s="203"/>
      <c r="AE50" s="203"/>
      <c r="AF50" s="134"/>
      <c r="AG50" s="134"/>
      <c r="AH50" s="134"/>
      <c r="AI50" s="134"/>
      <c r="AJ50" s="134"/>
      <c r="AK50" s="134"/>
      <c r="AL50" s="134"/>
      <c r="AM50" s="134"/>
      <c r="AN50" s="134"/>
      <c r="AO50" s="209"/>
      <c r="AP50" s="209"/>
      <c r="AQ50" s="209"/>
      <c r="AR50" s="209"/>
      <c r="AS50" s="209"/>
      <c r="AT50" s="209"/>
      <c r="AU50" s="209"/>
      <c r="AV50" s="209"/>
      <c r="AW50" s="209"/>
      <c r="AX50" s="209"/>
      <c r="AY50" s="209"/>
      <c r="AZ50" s="209"/>
      <c r="BA50" s="209"/>
      <c r="BB50" s="209"/>
      <c r="BC50" s="209"/>
      <c r="BD50" s="209"/>
      <c r="BE50" s="209"/>
      <c r="BF50" s="209"/>
      <c r="BG50" s="209"/>
      <c r="BH50" s="209"/>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4"/>
      <c r="CN50" s="134"/>
      <c r="CO50" s="134"/>
      <c r="CP50" s="134"/>
      <c r="CQ50" s="134"/>
      <c r="CR50" s="134"/>
      <c r="CS50" s="134"/>
      <c r="CT50" s="134"/>
      <c r="CU50" s="134"/>
      <c r="CV50" s="134"/>
      <c r="CW50" s="134"/>
      <c r="CX50" s="134"/>
      <c r="CY50" s="134"/>
      <c r="CZ50" s="134"/>
      <c r="DA50" s="134"/>
      <c r="DB50" s="134"/>
      <c r="DC50" s="134"/>
      <c r="DD50" s="134"/>
      <c r="DE50" s="134"/>
      <c r="DF50" s="134"/>
      <c r="DG50" s="134"/>
      <c r="DH50" s="134"/>
      <c r="DI50" s="134"/>
      <c r="DJ50" s="134"/>
      <c r="DK50" s="134"/>
      <c r="DL50" s="134"/>
      <c r="DM50" s="134"/>
      <c r="DN50" s="134"/>
      <c r="DO50" s="134"/>
      <c r="DP50" s="134"/>
      <c r="DQ50" s="134"/>
      <c r="DR50" s="134"/>
      <c r="DS50" s="134"/>
      <c r="DT50" s="134"/>
      <c r="DU50" s="134"/>
      <c r="DV50" s="134"/>
      <c r="DW50" s="134"/>
      <c r="DX50" s="134"/>
      <c r="DY50" s="134"/>
      <c r="DZ50" s="134"/>
      <c r="EA50" s="134"/>
      <c r="EB50" s="134"/>
      <c r="EC50" s="134"/>
      <c r="ED50" s="134"/>
      <c r="EE50" s="134"/>
      <c r="EF50" s="134"/>
      <c r="EG50" s="134"/>
      <c r="EH50" s="134"/>
      <c r="EI50" s="134"/>
      <c r="EJ50" s="134"/>
      <c r="EK50" s="134"/>
      <c r="EL50" s="134"/>
      <c r="EM50" s="134"/>
      <c r="EN50" s="134"/>
      <c r="EO50" s="134"/>
      <c r="EP50" s="134"/>
      <c r="EQ50" s="134"/>
      <c r="ER50" s="134"/>
      <c r="ES50" s="134"/>
      <c r="ET50" s="134"/>
      <c r="EU50" s="134"/>
      <c r="EV50" s="134"/>
      <c r="EW50" s="134"/>
      <c r="EX50" s="134"/>
      <c r="EY50" s="134"/>
      <c r="EZ50" s="134"/>
      <c r="FA50" s="134"/>
      <c r="FB50" s="134"/>
      <c r="FC50" s="134"/>
      <c r="FD50" s="134"/>
      <c r="FE50" s="134"/>
      <c r="FF50" s="134"/>
      <c r="FG50" s="134"/>
      <c r="FH50" s="134"/>
      <c r="FI50" s="134"/>
      <c r="FJ50" s="134"/>
      <c r="FK50" s="134"/>
      <c r="FL50" s="134"/>
      <c r="FM50" s="134"/>
      <c r="FN50" s="134"/>
      <c r="FO50" s="134"/>
      <c r="FP50" s="134"/>
      <c r="FQ50" s="134"/>
      <c r="FR50" s="134"/>
      <c r="FS50" s="134"/>
      <c r="FT50" s="134"/>
      <c r="FU50" s="134"/>
      <c r="FV50" s="134"/>
      <c r="FW50" s="134"/>
      <c r="FX50" s="134"/>
      <c r="FY50" s="134"/>
      <c r="FZ50" s="134"/>
      <c r="GA50" s="134"/>
      <c r="GB50" s="134"/>
      <c r="GC50" s="134"/>
      <c r="GD50" s="134"/>
      <c r="GE50" s="134"/>
      <c r="GF50" s="134"/>
      <c r="GG50" s="134"/>
      <c r="GH50" s="134"/>
      <c r="GI50" s="134"/>
      <c r="GJ50" s="134"/>
      <c r="GK50" s="134"/>
      <c r="GL50" s="134"/>
      <c r="GM50" s="134"/>
      <c r="GN50" s="134"/>
      <c r="GO50" s="134"/>
      <c r="GP50" s="134"/>
      <c r="GQ50" s="134"/>
      <c r="GR50" s="134"/>
      <c r="GS50" s="134"/>
      <c r="GT50" s="134"/>
      <c r="GU50" s="134"/>
      <c r="GV50" s="134"/>
      <c r="GW50" s="134"/>
      <c r="GX50" s="134"/>
      <c r="GY50" s="134"/>
      <c r="GZ50" s="134"/>
      <c r="HA50" s="134"/>
      <c r="HB50" s="134"/>
      <c r="HC50" s="134"/>
      <c r="HD50" s="134"/>
      <c r="HE50" s="134"/>
      <c r="HF50" s="134"/>
      <c r="HG50" s="134"/>
      <c r="HH50" s="134"/>
      <c r="HI50" s="134"/>
      <c r="HJ50" s="134"/>
      <c r="HK50" s="134"/>
      <c r="HL50" s="134"/>
      <c r="HM50" s="134"/>
      <c r="HN50" s="134"/>
      <c r="HO50" s="134"/>
      <c r="HP50" s="134"/>
      <c r="HQ50" s="134"/>
      <c r="HR50" s="134"/>
      <c r="HS50" s="134"/>
      <c r="HT50" s="134"/>
      <c r="HU50" s="134"/>
      <c r="HV50" s="134"/>
      <c r="HW50" s="134"/>
      <c r="HX50" s="134"/>
      <c r="HY50" s="134"/>
      <c r="HZ50" s="134"/>
      <c r="IA50" s="134"/>
      <c r="IB50" s="134"/>
      <c r="IC50" s="134"/>
      <c r="ID50" s="134"/>
      <c r="IE50" s="134"/>
      <c r="IF50" s="134"/>
      <c r="IG50" s="134"/>
      <c r="IH50" s="134"/>
      <c r="II50" s="134"/>
      <c r="IJ50" s="134"/>
      <c r="IK50" s="134"/>
      <c r="IL50" s="134"/>
      <c r="IM50" s="134"/>
      <c r="IN50" s="134"/>
      <c r="IO50" s="134"/>
      <c r="IP50" s="134"/>
      <c r="IQ50" s="134"/>
      <c r="IR50" s="134"/>
      <c r="IS50" s="134"/>
      <c r="IT50" s="134"/>
      <c r="IU50" s="134"/>
      <c r="IV50" s="134"/>
      <c r="IW50" s="134"/>
      <c r="IX50" s="134"/>
      <c r="IY50" s="134"/>
      <c r="IZ50" s="134"/>
      <c r="JA50" s="134"/>
      <c r="JB50" s="134"/>
      <c r="JC50" s="134"/>
      <c r="JD50" s="134"/>
      <c r="JE50" s="134"/>
      <c r="JF50" s="134"/>
    </row>
    <row r="51" spans="1:266" ht="15" customHeight="1">
      <c r="B51" s="366" t="s">
        <v>194</v>
      </c>
      <c r="C51" s="367"/>
      <c r="D51" s="367"/>
      <c r="E51" s="367"/>
      <c r="F51" s="367"/>
      <c r="G51" s="367"/>
      <c r="H51" s="367"/>
      <c r="I51" s="367"/>
      <c r="J51" s="368"/>
      <c r="P51" s="208"/>
      <c r="Q51" s="134"/>
      <c r="R51" s="134"/>
      <c r="S51" s="134"/>
      <c r="T51" s="134"/>
      <c r="U51" s="202"/>
      <c r="V51" s="202"/>
      <c r="W51" s="202"/>
      <c r="X51" s="202"/>
      <c r="Y51" s="203"/>
      <c r="Z51" s="203"/>
      <c r="AA51" s="203"/>
      <c r="AB51" s="203"/>
      <c r="AC51" s="203"/>
      <c r="AD51" s="203"/>
      <c r="AE51" s="203"/>
      <c r="AF51" s="134"/>
      <c r="AG51" s="134"/>
      <c r="AH51" s="134"/>
      <c r="AI51" s="134"/>
      <c r="AJ51" s="134"/>
      <c r="AK51" s="134"/>
      <c r="AL51" s="134"/>
      <c r="AM51" s="134"/>
      <c r="AN51" s="134"/>
      <c r="AO51" s="210"/>
      <c r="AP51" s="211"/>
      <c r="AQ51" s="134"/>
      <c r="AR51" s="134"/>
      <c r="AS51" s="134"/>
      <c r="AT51" s="134"/>
      <c r="AU51" s="134"/>
      <c r="AV51" s="134"/>
      <c r="AW51" s="134"/>
      <c r="AX51" s="134"/>
      <c r="AY51" s="134"/>
      <c r="AZ51" s="134"/>
      <c r="BA51" s="134"/>
      <c r="BB51" s="134"/>
      <c r="BC51" s="134"/>
      <c r="BD51" s="134"/>
      <c r="BE51" s="134"/>
      <c r="BF51" s="134"/>
      <c r="BG51" s="134"/>
      <c r="BH51" s="134"/>
      <c r="BI51" s="134">
        <v>19</v>
      </c>
      <c r="BJ51" s="134">
        <v>20</v>
      </c>
      <c r="BK51" s="134">
        <v>21</v>
      </c>
      <c r="BL51" s="134">
        <v>22</v>
      </c>
      <c r="BM51" s="134">
        <v>23</v>
      </c>
      <c r="BN51" s="134">
        <v>24</v>
      </c>
      <c r="BO51" s="134">
        <v>25</v>
      </c>
      <c r="BP51" s="134">
        <v>26</v>
      </c>
      <c r="BQ51" s="134">
        <v>27</v>
      </c>
      <c r="BR51" s="134">
        <v>28</v>
      </c>
      <c r="BS51" s="134">
        <v>29</v>
      </c>
      <c r="BT51" s="134">
        <v>30</v>
      </c>
      <c r="BU51" s="134">
        <v>31</v>
      </c>
      <c r="BV51" s="134">
        <v>32</v>
      </c>
      <c r="BW51" s="134">
        <v>33</v>
      </c>
      <c r="BX51" s="134">
        <v>34</v>
      </c>
      <c r="BY51" s="134">
        <v>35</v>
      </c>
      <c r="BZ51" s="134">
        <v>36</v>
      </c>
      <c r="CA51" s="134">
        <v>37</v>
      </c>
      <c r="CB51" s="134">
        <v>38</v>
      </c>
      <c r="CC51" s="134">
        <v>39</v>
      </c>
      <c r="CD51" s="134">
        <v>40</v>
      </c>
      <c r="CE51" s="134">
        <v>41</v>
      </c>
      <c r="CF51" s="134">
        <v>42</v>
      </c>
      <c r="CG51" s="134">
        <v>43</v>
      </c>
      <c r="CH51" s="134">
        <v>44</v>
      </c>
      <c r="CI51" s="134">
        <v>45</v>
      </c>
      <c r="CJ51" s="134">
        <v>46</v>
      </c>
      <c r="CK51" s="134">
        <v>47</v>
      </c>
      <c r="CL51" s="134">
        <v>48</v>
      </c>
      <c r="CM51" s="134">
        <v>49</v>
      </c>
      <c r="CN51" s="134">
        <v>50</v>
      </c>
      <c r="CO51" s="134"/>
      <c r="CP51" s="134"/>
      <c r="CQ51" s="134"/>
      <c r="CR51" s="134"/>
      <c r="CS51" s="134"/>
      <c r="CT51" s="134"/>
      <c r="CU51" s="134"/>
      <c r="CV51" s="134"/>
      <c r="CW51" s="134"/>
      <c r="CX51" s="134"/>
      <c r="CY51" s="134"/>
      <c r="CZ51" s="134"/>
      <c r="DA51" s="134"/>
      <c r="DB51" s="134"/>
      <c r="DC51" s="134"/>
      <c r="DD51" s="134"/>
      <c r="DE51" s="134"/>
      <c r="DF51" s="134"/>
      <c r="DG51" s="134"/>
      <c r="DH51" s="134"/>
      <c r="DI51" s="134"/>
      <c r="DJ51" s="134"/>
      <c r="DK51" s="134"/>
      <c r="DL51" s="134"/>
      <c r="DM51" s="134"/>
      <c r="DN51" s="134"/>
      <c r="DO51" s="134"/>
      <c r="DP51" s="134"/>
      <c r="DQ51" s="134"/>
      <c r="DR51" s="134"/>
      <c r="DS51" s="134"/>
      <c r="DT51" s="134"/>
      <c r="DU51" s="134"/>
      <c r="DV51" s="134"/>
      <c r="DW51" s="134"/>
      <c r="DX51" s="134"/>
      <c r="DY51" s="134"/>
      <c r="DZ51" s="134"/>
      <c r="EA51" s="134"/>
      <c r="EB51" s="134"/>
      <c r="EC51" s="134"/>
      <c r="ED51" s="134"/>
      <c r="EE51" s="134"/>
      <c r="EF51" s="134"/>
      <c r="EG51" s="134"/>
      <c r="EH51" s="134"/>
      <c r="EI51" s="134"/>
      <c r="EJ51" s="134"/>
      <c r="EK51" s="134"/>
      <c r="EL51" s="134"/>
      <c r="EM51" s="134"/>
      <c r="EN51" s="134"/>
      <c r="EO51" s="134"/>
      <c r="EP51" s="134"/>
      <c r="EQ51" s="134"/>
      <c r="ER51" s="134"/>
      <c r="ES51" s="134"/>
      <c r="ET51" s="134"/>
      <c r="EU51" s="134"/>
      <c r="EV51" s="134"/>
      <c r="EW51" s="134"/>
      <c r="EX51" s="134"/>
      <c r="EY51" s="134"/>
      <c r="EZ51" s="134"/>
      <c r="FA51" s="134"/>
      <c r="FB51" s="134"/>
      <c r="FC51" s="134"/>
      <c r="FD51" s="134"/>
      <c r="FE51" s="134"/>
      <c r="FF51" s="134"/>
      <c r="FG51" s="134"/>
      <c r="FH51" s="134"/>
      <c r="FI51" s="134"/>
      <c r="FJ51" s="134"/>
      <c r="FK51" s="134"/>
      <c r="FL51" s="134"/>
      <c r="FM51" s="134"/>
      <c r="FN51" s="134"/>
      <c r="FO51" s="134"/>
      <c r="FP51" s="134"/>
      <c r="FQ51" s="134"/>
      <c r="FR51" s="134"/>
      <c r="FS51" s="134"/>
      <c r="FT51" s="134"/>
      <c r="FU51" s="134"/>
      <c r="FV51" s="134"/>
      <c r="FW51" s="134"/>
      <c r="FX51" s="134"/>
      <c r="FY51" s="134"/>
      <c r="FZ51" s="134"/>
      <c r="GA51" s="134"/>
      <c r="GB51" s="134"/>
      <c r="GC51" s="134"/>
      <c r="GD51" s="134"/>
      <c r="GE51" s="134"/>
      <c r="GF51" s="134"/>
      <c r="GG51" s="134"/>
      <c r="GH51" s="134"/>
      <c r="GI51" s="134"/>
      <c r="GJ51" s="134"/>
      <c r="GK51" s="134"/>
      <c r="GL51" s="134"/>
      <c r="GM51" s="134"/>
      <c r="GN51" s="134"/>
      <c r="GO51" s="134"/>
      <c r="GP51" s="134"/>
      <c r="GQ51" s="134"/>
      <c r="GR51" s="134"/>
      <c r="GS51" s="134"/>
      <c r="GT51" s="134"/>
      <c r="GU51" s="134"/>
      <c r="GV51" s="134"/>
      <c r="GW51" s="134"/>
      <c r="GX51" s="134"/>
      <c r="GY51" s="134"/>
      <c r="GZ51" s="134"/>
      <c r="HA51" s="134"/>
      <c r="HB51" s="134"/>
      <c r="HC51" s="134"/>
      <c r="HD51" s="134"/>
      <c r="HE51" s="134"/>
      <c r="HF51" s="134"/>
      <c r="HG51" s="134"/>
      <c r="HH51" s="134"/>
      <c r="HI51" s="134"/>
      <c r="HJ51" s="134"/>
      <c r="HK51" s="134"/>
      <c r="HL51" s="134"/>
      <c r="HM51" s="134"/>
      <c r="HN51" s="134"/>
      <c r="HO51" s="134"/>
      <c r="HP51" s="134"/>
      <c r="HQ51" s="134"/>
      <c r="HR51" s="134"/>
      <c r="HS51" s="134"/>
      <c r="HT51" s="134"/>
      <c r="HU51" s="134"/>
      <c r="HV51" s="134"/>
      <c r="HW51" s="134"/>
      <c r="HX51" s="134"/>
      <c r="HY51" s="134"/>
      <c r="HZ51" s="134"/>
      <c r="IA51" s="134"/>
      <c r="IB51" s="134"/>
      <c r="IC51" s="134"/>
      <c r="ID51" s="134"/>
      <c r="IE51" s="134"/>
      <c r="IF51" s="134"/>
      <c r="IG51" s="134"/>
      <c r="IH51" s="134"/>
      <c r="II51" s="134"/>
      <c r="IJ51" s="134"/>
      <c r="IK51" s="134"/>
      <c r="IL51" s="134"/>
      <c r="IM51" s="134"/>
      <c r="IN51" s="134"/>
      <c r="IO51" s="134"/>
      <c r="IP51" s="134"/>
      <c r="IQ51" s="134"/>
      <c r="IR51" s="134"/>
      <c r="IS51" s="134"/>
      <c r="IT51" s="134"/>
      <c r="IU51" s="134"/>
      <c r="IV51" s="134"/>
      <c r="IW51" s="134"/>
      <c r="IX51" s="134"/>
      <c r="IY51" s="134"/>
      <c r="IZ51" s="134"/>
      <c r="JA51" s="134"/>
      <c r="JB51" s="134"/>
      <c r="JC51" s="134"/>
      <c r="JD51" s="134"/>
      <c r="JE51" s="134"/>
      <c r="JF51" s="134"/>
    </row>
    <row r="52" spans="1:266" ht="15" customHeight="1">
      <c r="B52" s="355"/>
      <c r="C52" s="332"/>
      <c r="D52" s="332"/>
      <c r="E52" s="332"/>
      <c r="F52" s="332"/>
      <c r="G52" s="332"/>
      <c r="H52" s="332"/>
      <c r="I52" s="332"/>
      <c r="J52" s="356"/>
      <c r="P52" s="208"/>
      <c r="Q52" s="134"/>
      <c r="R52" s="134"/>
      <c r="S52" s="134"/>
      <c r="T52" s="134"/>
      <c r="U52" s="202"/>
      <c r="V52" s="202"/>
      <c r="W52" s="202"/>
      <c r="X52" s="202"/>
      <c r="Y52" s="203"/>
      <c r="Z52" s="203"/>
      <c r="AA52" s="203"/>
      <c r="AB52" s="203"/>
      <c r="AC52" s="203"/>
      <c r="AD52" s="203"/>
      <c r="AE52" s="203"/>
      <c r="AF52" s="134"/>
      <c r="AG52" s="134"/>
      <c r="AH52" s="134"/>
      <c r="AI52" s="134"/>
      <c r="AJ52" s="134"/>
      <c r="AK52" s="134"/>
      <c r="AL52" s="134"/>
      <c r="AM52" s="134"/>
      <c r="AN52" s="134"/>
      <c r="AO52" s="210"/>
      <c r="AP52" s="211"/>
      <c r="AQ52" s="212"/>
      <c r="AR52" s="212"/>
      <c r="AS52" s="212"/>
      <c r="AT52" s="212"/>
      <c r="AU52" s="212"/>
      <c r="AV52" s="212"/>
      <c r="AW52" s="212"/>
      <c r="AX52" s="212"/>
      <c r="AY52" s="212"/>
      <c r="AZ52" s="212"/>
      <c r="BA52" s="212"/>
      <c r="BB52" s="212"/>
      <c r="BC52" s="212"/>
      <c r="BD52" s="212"/>
      <c r="BE52" s="212"/>
      <c r="BF52" s="212"/>
      <c r="BG52" s="212"/>
      <c r="BH52" s="212"/>
      <c r="BI52" s="212">
        <f t="shared" ref="BI52:CM52" si="0">IF(BI53=0,0,BH52)</f>
        <v>0</v>
      </c>
      <c r="BJ52" s="212">
        <f t="shared" si="0"/>
        <v>0</v>
      </c>
      <c r="BK52" s="212">
        <f t="shared" si="0"/>
        <v>0</v>
      </c>
      <c r="BL52" s="212">
        <f t="shared" si="0"/>
        <v>0</v>
      </c>
      <c r="BM52" s="212">
        <f t="shared" si="0"/>
        <v>0</v>
      </c>
      <c r="BN52" s="212">
        <f t="shared" si="0"/>
        <v>0</v>
      </c>
      <c r="BO52" s="212">
        <f t="shared" si="0"/>
        <v>0</v>
      </c>
      <c r="BP52" s="212">
        <f t="shared" si="0"/>
        <v>0</v>
      </c>
      <c r="BQ52" s="212">
        <f t="shared" si="0"/>
        <v>0</v>
      </c>
      <c r="BR52" s="212">
        <f t="shared" si="0"/>
        <v>0</v>
      </c>
      <c r="BS52" s="212">
        <f t="shared" si="0"/>
        <v>0</v>
      </c>
      <c r="BT52" s="212">
        <f t="shared" si="0"/>
        <v>0</v>
      </c>
      <c r="BU52" s="212">
        <f t="shared" si="0"/>
        <v>0</v>
      </c>
      <c r="BV52" s="212">
        <f t="shared" si="0"/>
        <v>0</v>
      </c>
      <c r="BW52" s="212">
        <f t="shared" si="0"/>
        <v>0</v>
      </c>
      <c r="BX52" s="212">
        <f t="shared" si="0"/>
        <v>0</v>
      </c>
      <c r="BY52" s="212">
        <f t="shared" si="0"/>
        <v>0</v>
      </c>
      <c r="BZ52" s="212">
        <f t="shared" si="0"/>
        <v>0</v>
      </c>
      <c r="CA52" s="212">
        <f t="shared" si="0"/>
        <v>0</v>
      </c>
      <c r="CB52" s="212">
        <f t="shared" si="0"/>
        <v>0</v>
      </c>
      <c r="CC52" s="212">
        <f t="shared" si="0"/>
        <v>0</v>
      </c>
      <c r="CD52" s="212">
        <f t="shared" si="0"/>
        <v>0</v>
      </c>
      <c r="CE52" s="212">
        <f t="shared" si="0"/>
        <v>0</v>
      </c>
      <c r="CF52" s="212">
        <f t="shared" si="0"/>
        <v>0</v>
      </c>
      <c r="CG52" s="212">
        <f t="shared" si="0"/>
        <v>0</v>
      </c>
      <c r="CH52" s="212">
        <f t="shared" si="0"/>
        <v>0</v>
      </c>
      <c r="CI52" s="212">
        <f t="shared" si="0"/>
        <v>0</v>
      </c>
      <c r="CJ52" s="212">
        <f t="shared" si="0"/>
        <v>0</v>
      </c>
      <c r="CK52" s="212">
        <f t="shared" si="0"/>
        <v>0</v>
      </c>
      <c r="CL52" s="212">
        <f t="shared" si="0"/>
        <v>0</v>
      </c>
      <c r="CM52" s="212">
        <f t="shared" si="0"/>
        <v>0</v>
      </c>
      <c r="CN52" s="212">
        <f>IF(CN53=0,0,CM52)</f>
        <v>0</v>
      </c>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c r="DP52" s="134"/>
      <c r="DQ52" s="134"/>
      <c r="DR52" s="134"/>
      <c r="DS52" s="134"/>
      <c r="DT52" s="134"/>
      <c r="DU52" s="134"/>
      <c r="DV52" s="134"/>
      <c r="DW52" s="134"/>
      <c r="DX52" s="134"/>
      <c r="DY52" s="134"/>
      <c r="DZ52" s="134"/>
      <c r="EA52" s="134"/>
      <c r="EB52" s="134"/>
      <c r="EC52" s="134"/>
      <c r="ED52" s="134"/>
      <c r="EE52" s="134"/>
      <c r="EF52" s="134"/>
      <c r="EG52" s="134"/>
      <c r="EH52" s="134"/>
      <c r="EI52" s="134"/>
      <c r="EJ52" s="134"/>
      <c r="EK52" s="134"/>
      <c r="EL52" s="134"/>
      <c r="EM52" s="134"/>
      <c r="EN52" s="134"/>
      <c r="EO52" s="134"/>
      <c r="EP52" s="134"/>
      <c r="EQ52" s="134"/>
      <c r="ER52" s="134"/>
      <c r="ES52" s="134"/>
      <c r="ET52" s="134"/>
      <c r="EU52" s="134"/>
      <c r="EV52" s="134"/>
      <c r="EW52" s="134"/>
      <c r="EX52" s="134"/>
      <c r="EY52" s="134"/>
      <c r="EZ52" s="134"/>
      <c r="FA52" s="134"/>
      <c r="FB52" s="134"/>
      <c r="FC52" s="134"/>
      <c r="FD52" s="134"/>
      <c r="FE52" s="134"/>
      <c r="FF52" s="134"/>
      <c r="FG52" s="134"/>
      <c r="FH52" s="134"/>
      <c r="FI52" s="134"/>
      <c r="FJ52" s="134"/>
      <c r="FK52" s="134"/>
      <c r="FL52" s="134"/>
      <c r="FM52" s="134"/>
      <c r="FN52" s="134"/>
      <c r="FO52" s="134"/>
      <c r="FP52" s="134"/>
      <c r="FQ52" s="134"/>
      <c r="FR52" s="134"/>
      <c r="FS52" s="134"/>
      <c r="FT52" s="134"/>
      <c r="FU52" s="134"/>
      <c r="FV52" s="134"/>
      <c r="FW52" s="134"/>
      <c r="FX52" s="134"/>
      <c r="FY52" s="134"/>
      <c r="FZ52" s="134"/>
      <c r="GA52" s="134"/>
      <c r="GB52" s="134"/>
      <c r="GC52" s="134"/>
      <c r="GD52" s="134"/>
      <c r="GE52" s="134"/>
      <c r="GF52" s="134"/>
      <c r="GG52" s="134"/>
      <c r="GH52" s="134"/>
      <c r="GI52" s="134"/>
      <c r="GJ52" s="134"/>
      <c r="GK52" s="134"/>
      <c r="GL52" s="134"/>
      <c r="GM52" s="134"/>
      <c r="GN52" s="134"/>
      <c r="GO52" s="134"/>
      <c r="GP52" s="134"/>
      <c r="GQ52" s="134"/>
      <c r="GR52" s="134"/>
      <c r="GS52" s="134"/>
      <c r="GT52" s="134"/>
      <c r="GU52" s="134"/>
      <c r="GV52" s="134"/>
      <c r="GW52" s="134"/>
      <c r="GX52" s="134"/>
      <c r="GY52" s="134"/>
      <c r="GZ52" s="134"/>
      <c r="HA52" s="134"/>
      <c r="HB52" s="134"/>
      <c r="HC52" s="134"/>
      <c r="HD52" s="134"/>
      <c r="HE52" s="134"/>
      <c r="HF52" s="134"/>
      <c r="HG52" s="134"/>
      <c r="HH52" s="134"/>
      <c r="HI52" s="134"/>
      <c r="HJ52" s="134"/>
      <c r="HK52" s="134"/>
      <c r="HL52" s="134"/>
      <c r="HM52" s="134"/>
      <c r="HN52" s="134"/>
      <c r="HO52" s="134"/>
      <c r="HP52" s="134"/>
      <c r="HQ52" s="134"/>
      <c r="HR52" s="134"/>
      <c r="HS52" s="134"/>
      <c r="HT52" s="134"/>
      <c r="HU52" s="134"/>
      <c r="HV52" s="134"/>
      <c r="HW52" s="134"/>
      <c r="HX52" s="134"/>
      <c r="HY52" s="134"/>
      <c r="HZ52" s="134"/>
      <c r="IA52" s="134"/>
      <c r="IB52" s="134"/>
      <c r="IC52" s="134"/>
      <c r="ID52" s="134"/>
      <c r="IE52" s="134"/>
      <c r="IF52" s="134"/>
      <c r="IG52" s="134"/>
      <c r="IH52" s="134"/>
      <c r="II52" s="134"/>
      <c r="IJ52" s="134"/>
      <c r="IK52" s="134"/>
      <c r="IL52" s="134"/>
      <c r="IM52" s="134"/>
      <c r="IN52" s="134"/>
      <c r="IO52" s="134"/>
      <c r="IP52" s="134"/>
      <c r="IQ52" s="134"/>
      <c r="IR52" s="134"/>
      <c r="IS52" s="134"/>
      <c r="IT52" s="134"/>
      <c r="IU52" s="134"/>
      <c r="IV52" s="134"/>
      <c r="IW52" s="134"/>
      <c r="IX52" s="134"/>
      <c r="IY52" s="134"/>
      <c r="IZ52" s="134"/>
      <c r="JA52" s="134"/>
      <c r="JB52" s="134"/>
      <c r="JC52" s="134"/>
      <c r="JD52" s="134"/>
      <c r="JE52" s="134"/>
      <c r="JF52" s="134"/>
    </row>
    <row r="53" spans="1:266" ht="15" customHeight="1">
      <c r="B53" s="355"/>
      <c r="C53" s="332"/>
      <c r="D53" s="332"/>
      <c r="E53" s="332"/>
      <c r="F53" s="332"/>
      <c r="G53" s="332"/>
      <c r="H53" s="332"/>
      <c r="I53" s="332"/>
      <c r="J53" s="356"/>
      <c r="P53" s="208"/>
      <c r="Q53" s="134"/>
      <c r="R53" s="134"/>
      <c r="S53" s="134"/>
      <c r="T53" s="134"/>
      <c r="U53" s="202"/>
      <c r="V53" s="202"/>
      <c r="W53" s="202"/>
      <c r="X53" s="202"/>
      <c r="Y53" s="202"/>
      <c r="Z53" s="202"/>
      <c r="AA53" s="202"/>
      <c r="AB53" s="134"/>
      <c r="AC53" s="134"/>
      <c r="AD53" s="134"/>
      <c r="AE53" s="134"/>
      <c r="AF53" s="134"/>
      <c r="AG53" s="134"/>
      <c r="AH53" s="134"/>
      <c r="AI53" s="134"/>
      <c r="AJ53" s="134"/>
      <c r="AK53" s="134"/>
      <c r="AL53" s="134"/>
      <c r="AM53" s="134"/>
      <c r="AN53" s="134"/>
      <c r="AO53" s="210"/>
      <c r="AP53" s="211"/>
      <c r="AQ53" s="212"/>
      <c r="AR53" s="212"/>
      <c r="AS53" s="212"/>
      <c r="AT53" s="212"/>
      <c r="AU53" s="212"/>
      <c r="AV53" s="212"/>
      <c r="AW53" s="212"/>
      <c r="AX53" s="212"/>
      <c r="AY53" s="212"/>
      <c r="AZ53" s="212"/>
      <c r="BA53" s="212"/>
      <c r="BB53" s="212"/>
      <c r="BC53" s="212"/>
      <c r="BD53" s="212"/>
      <c r="BE53" s="212"/>
      <c r="BF53" s="212"/>
      <c r="BG53" s="212"/>
      <c r="BH53" s="212"/>
      <c r="BI53" s="212">
        <f t="shared" ref="BI53:CN53" si="1">IF(BI51=$D$77+1,0,BH53*(1+($D$78/100)))</f>
        <v>0</v>
      </c>
      <c r="BJ53" s="212">
        <f t="shared" si="1"/>
        <v>0</v>
      </c>
      <c r="BK53" s="212">
        <f t="shared" si="1"/>
        <v>0</v>
      </c>
      <c r="BL53" s="212">
        <f t="shared" si="1"/>
        <v>0</v>
      </c>
      <c r="BM53" s="212">
        <f t="shared" si="1"/>
        <v>0</v>
      </c>
      <c r="BN53" s="212">
        <f t="shared" si="1"/>
        <v>0</v>
      </c>
      <c r="BO53" s="212">
        <f t="shared" si="1"/>
        <v>0</v>
      </c>
      <c r="BP53" s="212">
        <f t="shared" si="1"/>
        <v>0</v>
      </c>
      <c r="BQ53" s="212">
        <f t="shared" si="1"/>
        <v>0</v>
      </c>
      <c r="BR53" s="212">
        <f t="shared" si="1"/>
        <v>0</v>
      </c>
      <c r="BS53" s="212">
        <f t="shared" si="1"/>
        <v>0</v>
      </c>
      <c r="BT53" s="212">
        <f t="shared" si="1"/>
        <v>0</v>
      </c>
      <c r="BU53" s="212">
        <f t="shared" si="1"/>
        <v>0</v>
      </c>
      <c r="BV53" s="212">
        <f t="shared" si="1"/>
        <v>0</v>
      </c>
      <c r="BW53" s="212">
        <f t="shared" si="1"/>
        <v>0</v>
      </c>
      <c r="BX53" s="212">
        <f t="shared" si="1"/>
        <v>0</v>
      </c>
      <c r="BY53" s="212">
        <f t="shared" si="1"/>
        <v>0</v>
      </c>
      <c r="BZ53" s="212">
        <f t="shared" si="1"/>
        <v>0</v>
      </c>
      <c r="CA53" s="212">
        <f t="shared" si="1"/>
        <v>0</v>
      </c>
      <c r="CB53" s="212">
        <f t="shared" si="1"/>
        <v>0</v>
      </c>
      <c r="CC53" s="212">
        <f t="shared" si="1"/>
        <v>0</v>
      </c>
      <c r="CD53" s="212">
        <f t="shared" si="1"/>
        <v>0</v>
      </c>
      <c r="CE53" s="212">
        <f t="shared" si="1"/>
        <v>0</v>
      </c>
      <c r="CF53" s="212">
        <f t="shared" si="1"/>
        <v>0</v>
      </c>
      <c r="CG53" s="212">
        <f t="shared" si="1"/>
        <v>0</v>
      </c>
      <c r="CH53" s="212">
        <f t="shared" si="1"/>
        <v>0</v>
      </c>
      <c r="CI53" s="212">
        <f t="shared" si="1"/>
        <v>0</v>
      </c>
      <c r="CJ53" s="212">
        <f t="shared" si="1"/>
        <v>0</v>
      </c>
      <c r="CK53" s="212">
        <f t="shared" si="1"/>
        <v>0</v>
      </c>
      <c r="CL53" s="212">
        <f t="shared" si="1"/>
        <v>0</v>
      </c>
      <c r="CM53" s="212">
        <f t="shared" si="1"/>
        <v>0</v>
      </c>
      <c r="CN53" s="212">
        <f t="shared" si="1"/>
        <v>0</v>
      </c>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c r="DP53" s="134"/>
      <c r="DQ53" s="134"/>
      <c r="DR53" s="134"/>
      <c r="DS53" s="134"/>
      <c r="DT53" s="134"/>
      <c r="DU53" s="134"/>
      <c r="DV53" s="134"/>
      <c r="DW53" s="134"/>
      <c r="DX53" s="134"/>
      <c r="DY53" s="134"/>
      <c r="DZ53" s="134"/>
      <c r="EA53" s="134"/>
      <c r="EB53" s="134"/>
      <c r="EC53" s="134"/>
      <c r="ED53" s="134"/>
      <c r="EE53" s="134"/>
      <c r="EF53" s="134"/>
      <c r="EG53" s="134"/>
      <c r="EH53" s="134"/>
      <c r="EI53" s="134"/>
      <c r="EJ53" s="134"/>
      <c r="EK53" s="134"/>
      <c r="EL53" s="134"/>
      <c r="EM53" s="134"/>
      <c r="EN53" s="134"/>
      <c r="EO53" s="134"/>
      <c r="EP53" s="134"/>
      <c r="EQ53" s="134"/>
      <c r="ER53" s="134"/>
      <c r="ES53" s="134"/>
      <c r="ET53" s="134"/>
      <c r="EU53" s="134"/>
      <c r="EV53" s="134"/>
      <c r="EW53" s="134"/>
      <c r="EX53" s="134"/>
      <c r="EY53" s="134"/>
      <c r="EZ53" s="134"/>
      <c r="FA53" s="134"/>
      <c r="FB53" s="134"/>
      <c r="FC53" s="134"/>
      <c r="FD53" s="134"/>
      <c r="FE53" s="134"/>
      <c r="FF53" s="134"/>
      <c r="FG53" s="134"/>
      <c r="FH53" s="134"/>
      <c r="FI53" s="134"/>
      <c r="FJ53" s="134"/>
      <c r="FK53" s="134"/>
      <c r="FL53" s="134"/>
      <c r="FM53" s="134"/>
      <c r="FN53" s="134"/>
      <c r="FO53" s="134"/>
      <c r="FP53" s="134"/>
      <c r="FQ53" s="134"/>
      <c r="FR53" s="134"/>
      <c r="FS53" s="134"/>
      <c r="FT53" s="134"/>
      <c r="FU53" s="134"/>
      <c r="FV53" s="134"/>
      <c r="FW53" s="134"/>
      <c r="FX53" s="134"/>
      <c r="FY53" s="134"/>
      <c r="FZ53" s="134"/>
      <c r="GA53" s="134"/>
      <c r="GB53" s="134"/>
      <c r="GC53" s="134"/>
      <c r="GD53" s="134"/>
      <c r="GE53" s="134"/>
      <c r="GF53" s="134"/>
      <c r="GG53" s="134"/>
      <c r="GH53" s="134"/>
      <c r="GI53" s="134"/>
      <c r="GJ53" s="134"/>
      <c r="GK53" s="134"/>
      <c r="GL53" s="134"/>
      <c r="GM53" s="134"/>
      <c r="GN53" s="134"/>
      <c r="GO53" s="134"/>
      <c r="GP53" s="134"/>
      <c r="GQ53" s="134"/>
      <c r="GR53" s="134"/>
      <c r="GS53" s="134"/>
      <c r="GT53" s="134"/>
      <c r="GU53" s="134"/>
      <c r="GV53" s="134"/>
      <c r="GW53" s="134"/>
      <c r="GX53" s="134"/>
      <c r="GY53" s="134"/>
      <c r="GZ53" s="134"/>
      <c r="HA53" s="134"/>
      <c r="HB53" s="134"/>
      <c r="HC53" s="134"/>
      <c r="HD53" s="134"/>
      <c r="HE53" s="134"/>
      <c r="HF53" s="134"/>
      <c r="HG53" s="134"/>
      <c r="HH53" s="134"/>
      <c r="HI53" s="134"/>
      <c r="HJ53" s="134"/>
      <c r="HK53" s="134"/>
      <c r="HL53" s="134"/>
      <c r="HM53" s="134"/>
      <c r="HN53" s="134"/>
      <c r="HO53" s="134"/>
      <c r="HP53" s="134"/>
      <c r="HQ53" s="134"/>
      <c r="HR53" s="134"/>
      <c r="HS53" s="134"/>
      <c r="HT53" s="134"/>
      <c r="HU53" s="134"/>
      <c r="HV53" s="134"/>
      <c r="HW53" s="134"/>
      <c r="HX53" s="134"/>
      <c r="HY53" s="134"/>
      <c r="HZ53" s="134"/>
      <c r="IA53" s="134"/>
      <c r="IB53" s="134"/>
      <c r="IC53" s="134"/>
      <c r="ID53" s="134"/>
      <c r="IE53" s="134"/>
      <c r="IF53" s="134"/>
      <c r="IG53" s="134"/>
      <c r="IH53" s="134"/>
      <c r="II53" s="134"/>
      <c r="IJ53" s="134"/>
      <c r="IK53" s="134"/>
      <c r="IL53" s="134"/>
      <c r="IM53" s="134"/>
      <c r="IN53" s="134"/>
      <c r="IO53" s="134"/>
      <c r="IP53" s="134"/>
      <c r="IQ53" s="134"/>
      <c r="IR53" s="134"/>
      <c r="IS53" s="134"/>
      <c r="IT53" s="134"/>
      <c r="IU53" s="134"/>
      <c r="IV53" s="134"/>
      <c r="IW53" s="134"/>
      <c r="IX53" s="134"/>
      <c r="IY53" s="134"/>
      <c r="IZ53" s="134"/>
      <c r="JA53" s="134"/>
      <c r="JB53" s="134"/>
      <c r="JC53" s="134"/>
      <c r="JD53" s="134"/>
      <c r="JE53" s="134"/>
      <c r="JF53" s="134"/>
    </row>
    <row r="54" spans="1:266" ht="15.75" customHeight="1">
      <c r="B54" s="360"/>
      <c r="C54" s="361"/>
      <c r="D54" s="361"/>
      <c r="E54" s="361"/>
      <c r="F54" s="361"/>
      <c r="G54" s="361"/>
      <c r="H54" s="361"/>
      <c r="I54" s="361"/>
      <c r="J54" s="362"/>
      <c r="P54" s="208"/>
      <c r="Q54" s="134"/>
      <c r="R54" s="134"/>
      <c r="S54" s="134"/>
      <c r="T54" s="134"/>
      <c r="U54" s="202"/>
      <c r="V54" s="202"/>
      <c r="W54" s="202"/>
      <c r="X54" s="202"/>
      <c r="Y54" s="202"/>
      <c r="Z54" s="202"/>
      <c r="AA54" s="202"/>
      <c r="AB54" s="134"/>
      <c r="AC54" s="134"/>
      <c r="AD54" s="134"/>
      <c r="AE54" s="134"/>
      <c r="AF54" s="134"/>
      <c r="AG54" s="134"/>
      <c r="AH54" s="134"/>
      <c r="AI54" s="134"/>
      <c r="AJ54" s="134"/>
      <c r="AK54" s="134"/>
      <c r="AL54" s="134"/>
      <c r="AM54" s="134"/>
      <c r="AN54" s="134"/>
      <c r="AO54" s="211"/>
      <c r="AP54" s="213"/>
      <c r="AQ54" s="212"/>
      <c r="AR54" s="212"/>
      <c r="AS54" s="212"/>
      <c r="AT54" s="212"/>
      <c r="AU54" s="212"/>
      <c r="AV54" s="212"/>
      <c r="AW54" s="212"/>
      <c r="AX54" s="212"/>
      <c r="AY54" s="212"/>
      <c r="AZ54" s="212"/>
      <c r="BA54" s="212"/>
      <c r="BB54" s="212"/>
      <c r="BC54" s="212"/>
      <c r="BD54" s="212"/>
      <c r="BE54" s="212"/>
      <c r="BF54" s="212"/>
      <c r="BG54" s="212"/>
      <c r="BH54" s="212"/>
      <c r="BI54" s="212">
        <f t="shared" ref="BI54:CN54" si="2">SUM(BI52:BI53)</f>
        <v>0</v>
      </c>
      <c r="BJ54" s="212">
        <f t="shared" si="2"/>
        <v>0</v>
      </c>
      <c r="BK54" s="212">
        <f t="shared" si="2"/>
        <v>0</v>
      </c>
      <c r="BL54" s="212">
        <f t="shared" si="2"/>
        <v>0</v>
      </c>
      <c r="BM54" s="212">
        <f t="shared" si="2"/>
        <v>0</v>
      </c>
      <c r="BN54" s="212">
        <f t="shared" si="2"/>
        <v>0</v>
      </c>
      <c r="BO54" s="212">
        <f t="shared" si="2"/>
        <v>0</v>
      </c>
      <c r="BP54" s="212">
        <f t="shared" si="2"/>
        <v>0</v>
      </c>
      <c r="BQ54" s="212">
        <f t="shared" si="2"/>
        <v>0</v>
      </c>
      <c r="BR54" s="212">
        <f t="shared" si="2"/>
        <v>0</v>
      </c>
      <c r="BS54" s="212">
        <f t="shared" si="2"/>
        <v>0</v>
      </c>
      <c r="BT54" s="212">
        <f t="shared" si="2"/>
        <v>0</v>
      </c>
      <c r="BU54" s="212">
        <f t="shared" si="2"/>
        <v>0</v>
      </c>
      <c r="BV54" s="212">
        <f t="shared" si="2"/>
        <v>0</v>
      </c>
      <c r="BW54" s="212">
        <f t="shared" si="2"/>
        <v>0</v>
      </c>
      <c r="BX54" s="212">
        <f t="shared" si="2"/>
        <v>0</v>
      </c>
      <c r="BY54" s="212">
        <f t="shared" si="2"/>
        <v>0</v>
      </c>
      <c r="BZ54" s="212">
        <f t="shared" si="2"/>
        <v>0</v>
      </c>
      <c r="CA54" s="212">
        <f t="shared" si="2"/>
        <v>0</v>
      </c>
      <c r="CB54" s="212">
        <f t="shared" si="2"/>
        <v>0</v>
      </c>
      <c r="CC54" s="212">
        <f t="shared" si="2"/>
        <v>0</v>
      </c>
      <c r="CD54" s="212">
        <f t="shared" si="2"/>
        <v>0</v>
      </c>
      <c r="CE54" s="212">
        <f t="shared" si="2"/>
        <v>0</v>
      </c>
      <c r="CF54" s="212">
        <f t="shared" si="2"/>
        <v>0</v>
      </c>
      <c r="CG54" s="212">
        <f t="shared" si="2"/>
        <v>0</v>
      </c>
      <c r="CH54" s="212">
        <f t="shared" si="2"/>
        <v>0</v>
      </c>
      <c r="CI54" s="212">
        <f t="shared" si="2"/>
        <v>0</v>
      </c>
      <c r="CJ54" s="212">
        <f t="shared" si="2"/>
        <v>0</v>
      </c>
      <c r="CK54" s="212">
        <f t="shared" si="2"/>
        <v>0</v>
      </c>
      <c r="CL54" s="212">
        <f t="shared" si="2"/>
        <v>0</v>
      </c>
      <c r="CM54" s="212">
        <f t="shared" si="2"/>
        <v>0</v>
      </c>
      <c r="CN54" s="212">
        <f t="shared" si="2"/>
        <v>0</v>
      </c>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c r="DP54" s="134"/>
      <c r="DQ54" s="134"/>
      <c r="DR54" s="134"/>
      <c r="DS54" s="134"/>
      <c r="DT54" s="134"/>
      <c r="DU54" s="134"/>
      <c r="DV54" s="134"/>
      <c r="DW54" s="134"/>
      <c r="DX54" s="134"/>
      <c r="DY54" s="134"/>
      <c r="DZ54" s="134"/>
      <c r="EA54" s="134"/>
      <c r="EB54" s="134"/>
      <c r="EC54" s="134"/>
      <c r="ED54" s="134"/>
      <c r="EE54" s="134"/>
      <c r="EF54" s="134"/>
      <c r="EG54" s="134"/>
      <c r="EH54" s="134"/>
      <c r="EI54" s="134"/>
      <c r="EJ54" s="134"/>
      <c r="EK54" s="134"/>
      <c r="EL54" s="134"/>
      <c r="EM54" s="134"/>
      <c r="EN54" s="134"/>
      <c r="EO54" s="134"/>
      <c r="EP54" s="134"/>
      <c r="EQ54" s="134"/>
      <c r="ER54" s="134"/>
      <c r="ES54" s="134"/>
      <c r="ET54" s="134"/>
      <c r="EU54" s="134"/>
      <c r="EV54" s="134"/>
      <c r="EW54" s="134"/>
      <c r="EX54" s="134"/>
      <c r="EY54" s="134"/>
      <c r="EZ54" s="134"/>
      <c r="FA54" s="134"/>
      <c r="FB54" s="134"/>
      <c r="FC54" s="134"/>
      <c r="FD54" s="134"/>
      <c r="FE54" s="134"/>
      <c r="FF54" s="134"/>
      <c r="FG54" s="134"/>
      <c r="FH54" s="134"/>
      <c r="FI54" s="134"/>
      <c r="FJ54" s="134"/>
      <c r="FK54" s="134"/>
      <c r="FL54" s="134"/>
      <c r="FM54" s="134"/>
      <c r="FN54" s="134"/>
      <c r="FO54" s="134"/>
      <c r="FP54" s="134"/>
      <c r="FQ54" s="134"/>
      <c r="FR54" s="134"/>
      <c r="FS54" s="134"/>
      <c r="FT54" s="134"/>
      <c r="FU54" s="134"/>
      <c r="FV54" s="134"/>
      <c r="FW54" s="134"/>
      <c r="FX54" s="134"/>
      <c r="FY54" s="134"/>
      <c r="FZ54" s="134"/>
      <c r="GA54" s="134"/>
      <c r="GB54" s="134"/>
      <c r="GC54" s="134"/>
      <c r="GD54" s="134"/>
      <c r="GE54" s="134"/>
      <c r="GF54" s="134"/>
      <c r="GG54" s="134"/>
      <c r="GH54" s="134"/>
      <c r="GI54" s="134"/>
      <c r="GJ54" s="134"/>
      <c r="GK54" s="134"/>
      <c r="GL54" s="134"/>
      <c r="GM54" s="134"/>
      <c r="GN54" s="134"/>
      <c r="GO54" s="134"/>
      <c r="GP54" s="134"/>
      <c r="GQ54" s="134"/>
      <c r="GR54" s="134"/>
      <c r="GS54" s="134"/>
      <c r="GT54" s="134"/>
      <c r="GU54" s="134"/>
      <c r="GV54" s="134"/>
      <c r="GW54" s="134"/>
      <c r="GX54" s="134"/>
      <c r="GY54" s="134"/>
      <c r="GZ54" s="134"/>
      <c r="HA54" s="134"/>
      <c r="HB54" s="134"/>
      <c r="HC54" s="134"/>
      <c r="HD54" s="134"/>
      <c r="HE54" s="134"/>
      <c r="HF54" s="134"/>
      <c r="HG54" s="134"/>
      <c r="HH54" s="134"/>
      <c r="HI54" s="134"/>
      <c r="HJ54" s="134"/>
      <c r="HK54" s="134"/>
      <c r="HL54" s="134"/>
      <c r="HM54" s="134"/>
      <c r="HN54" s="134"/>
      <c r="HO54" s="134"/>
      <c r="HP54" s="134"/>
      <c r="HQ54" s="134"/>
      <c r="HR54" s="134"/>
      <c r="HS54" s="134"/>
      <c r="HT54" s="134"/>
      <c r="HU54" s="134"/>
      <c r="HV54" s="134"/>
      <c r="HW54" s="134"/>
      <c r="HX54" s="134"/>
      <c r="HY54" s="134"/>
      <c r="HZ54" s="134"/>
      <c r="IA54" s="134"/>
      <c r="IB54" s="134"/>
      <c r="IC54" s="134"/>
      <c r="ID54" s="134"/>
      <c r="IE54" s="134"/>
      <c r="IF54" s="134"/>
      <c r="IG54" s="134"/>
      <c r="IH54" s="134"/>
      <c r="II54" s="134"/>
      <c r="IJ54" s="134"/>
      <c r="IK54" s="134"/>
      <c r="IL54" s="134"/>
      <c r="IM54" s="134"/>
      <c r="IN54" s="134"/>
      <c r="IO54" s="134"/>
      <c r="IP54" s="134"/>
      <c r="IQ54" s="134"/>
      <c r="IR54" s="134"/>
      <c r="IS54" s="134"/>
      <c r="IT54" s="134"/>
      <c r="IU54" s="134"/>
      <c r="IV54" s="134"/>
      <c r="IW54" s="134"/>
      <c r="IX54" s="134"/>
      <c r="IY54" s="134"/>
      <c r="IZ54" s="134"/>
      <c r="JA54" s="134"/>
      <c r="JB54" s="134"/>
      <c r="JC54" s="134"/>
      <c r="JD54" s="134"/>
      <c r="JE54" s="134"/>
      <c r="JF54" s="134"/>
    </row>
    <row r="55" spans="1:266" ht="19.5" customHeight="1">
      <c r="B55" s="352" t="s">
        <v>195</v>
      </c>
      <c r="C55" s="353"/>
      <c r="D55" s="353"/>
      <c r="E55" s="353"/>
      <c r="F55" s="353"/>
      <c r="G55" s="353"/>
      <c r="H55" s="353"/>
      <c r="I55" s="353"/>
      <c r="J55" s="354"/>
      <c r="P55" s="208"/>
      <c r="Q55" s="134"/>
      <c r="R55" s="134"/>
      <c r="S55" s="134"/>
      <c r="T55" s="134"/>
      <c r="U55" s="202"/>
      <c r="V55" s="202"/>
      <c r="W55" s="202"/>
      <c r="X55" s="202"/>
      <c r="Y55" s="202"/>
      <c r="Z55" s="202"/>
      <c r="AA55" s="202"/>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c r="DP55" s="134"/>
      <c r="DQ55" s="134"/>
      <c r="DR55" s="134"/>
      <c r="DS55" s="134"/>
      <c r="DT55" s="134"/>
      <c r="DU55" s="134"/>
      <c r="DV55" s="134"/>
      <c r="DW55" s="134"/>
      <c r="DX55" s="134"/>
      <c r="DY55" s="134"/>
      <c r="DZ55" s="134"/>
      <c r="EA55" s="134"/>
      <c r="EB55" s="134"/>
      <c r="EC55" s="134"/>
      <c r="ED55" s="134"/>
      <c r="EE55" s="134"/>
      <c r="EF55" s="134"/>
      <c r="EG55" s="134"/>
      <c r="EH55" s="134"/>
      <c r="EI55" s="134"/>
      <c r="EJ55" s="134"/>
      <c r="EK55" s="134"/>
      <c r="EL55" s="134"/>
      <c r="EM55" s="134"/>
      <c r="EN55" s="134"/>
      <c r="EO55" s="134"/>
      <c r="EP55" s="134"/>
      <c r="EQ55" s="134"/>
      <c r="ER55" s="134"/>
      <c r="ES55" s="134"/>
      <c r="ET55" s="134"/>
      <c r="EU55" s="134"/>
      <c r="EV55" s="134"/>
      <c r="EW55" s="134"/>
      <c r="EX55" s="134"/>
      <c r="EY55" s="134"/>
      <c r="EZ55" s="134"/>
      <c r="FA55" s="134"/>
      <c r="FB55" s="134"/>
      <c r="FC55" s="134"/>
      <c r="FD55" s="134"/>
      <c r="FE55" s="134"/>
      <c r="FF55" s="134"/>
      <c r="FG55" s="134"/>
      <c r="FH55" s="134"/>
      <c r="FI55" s="134"/>
      <c r="FJ55" s="134"/>
      <c r="FK55" s="134"/>
      <c r="FL55" s="134"/>
      <c r="FM55" s="134"/>
      <c r="FN55" s="134"/>
      <c r="FO55" s="134"/>
      <c r="FP55" s="134"/>
      <c r="FQ55" s="134"/>
      <c r="FR55" s="134"/>
      <c r="FS55" s="134"/>
      <c r="FT55" s="134"/>
      <c r="FU55" s="134"/>
      <c r="FV55" s="134"/>
      <c r="FW55" s="134"/>
      <c r="FX55" s="134"/>
      <c r="FY55" s="134"/>
      <c r="FZ55" s="134"/>
      <c r="GA55" s="134"/>
      <c r="GB55" s="134"/>
      <c r="GC55" s="134"/>
      <c r="GD55" s="134"/>
      <c r="GE55" s="134"/>
      <c r="GF55" s="134"/>
      <c r="GG55" s="134"/>
      <c r="GH55" s="134"/>
      <c r="GI55" s="134"/>
      <c r="GJ55" s="134"/>
      <c r="GK55" s="134"/>
      <c r="GL55" s="134"/>
      <c r="GM55" s="134"/>
      <c r="GN55" s="134"/>
      <c r="GO55" s="134"/>
      <c r="GP55" s="134"/>
      <c r="GQ55" s="134"/>
      <c r="GR55" s="134"/>
      <c r="GS55" s="134"/>
      <c r="GT55" s="134"/>
      <c r="GU55" s="134"/>
      <c r="GV55" s="134"/>
      <c r="GW55" s="134"/>
      <c r="GX55" s="134"/>
      <c r="GY55" s="134"/>
      <c r="GZ55" s="134"/>
      <c r="HA55" s="134"/>
      <c r="HB55" s="134"/>
      <c r="HC55" s="134"/>
      <c r="HD55" s="134"/>
      <c r="HE55" s="134"/>
      <c r="HF55" s="134"/>
      <c r="HG55" s="134"/>
      <c r="HH55" s="134"/>
      <c r="HI55" s="134"/>
      <c r="HJ55" s="134"/>
      <c r="HK55" s="134"/>
      <c r="HL55" s="134"/>
      <c r="HM55" s="134"/>
      <c r="HN55" s="134"/>
      <c r="HO55" s="134"/>
      <c r="HP55" s="134"/>
      <c r="HQ55" s="134"/>
      <c r="HR55" s="134"/>
      <c r="HS55" s="134"/>
      <c r="HT55" s="134"/>
      <c r="HU55" s="134"/>
      <c r="HV55" s="134"/>
      <c r="HW55" s="134"/>
      <c r="HX55" s="134"/>
      <c r="HY55" s="134"/>
      <c r="HZ55" s="134"/>
      <c r="IA55" s="134"/>
      <c r="IB55" s="134"/>
      <c r="IC55" s="134"/>
      <c r="ID55" s="134"/>
      <c r="IE55" s="134"/>
      <c r="IF55" s="134"/>
      <c r="IG55" s="134"/>
      <c r="IH55" s="134"/>
      <c r="II55" s="134"/>
      <c r="IJ55" s="134"/>
      <c r="IK55" s="134"/>
      <c r="IL55" s="134"/>
      <c r="IM55" s="134"/>
      <c r="IN55" s="134"/>
      <c r="IO55" s="134"/>
      <c r="IP55" s="134"/>
      <c r="IQ55" s="134"/>
      <c r="IR55" s="134"/>
      <c r="IS55" s="134"/>
      <c r="IT55" s="134"/>
      <c r="IU55" s="134"/>
      <c r="IV55" s="134"/>
      <c r="IW55" s="134"/>
      <c r="IX55" s="134"/>
      <c r="IY55" s="134"/>
      <c r="IZ55" s="134"/>
      <c r="JA55" s="134"/>
      <c r="JB55" s="134"/>
      <c r="JC55" s="134"/>
      <c r="JD55" s="134"/>
      <c r="JE55" s="134"/>
      <c r="JF55" s="134"/>
    </row>
    <row r="56" spans="1:266" ht="15.75" customHeight="1">
      <c r="B56" s="355"/>
      <c r="C56" s="332"/>
      <c r="D56" s="332"/>
      <c r="E56" s="332"/>
      <c r="F56" s="332"/>
      <c r="G56" s="332"/>
      <c r="H56" s="332"/>
      <c r="I56" s="332"/>
      <c r="J56" s="356"/>
      <c r="P56" s="208"/>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c r="CF56" s="134"/>
      <c r="CG56" s="134"/>
      <c r="CH56" s="134"/>
      <c r="CI56" s="134"/>
      <c r="CJ56" s="134"/>
      <c r="CK56" s="134"/>
      <c r="CL56" s="134"/>
      <c r="CM56" s="134"/>
      <c r="CN56" s="134"/>
      <c r="CO56" s="134"/>
      <c r="CP56" s="134"/>
      <c r="CQ56" s="134"/>
      <c r="CR56" s="134"/>
      <c r="CS56" s="134"/>
      <c r="CT56" s="134"/>
      <c r="CU56" s="134"/>
      <c r="CV56" s="134"/>
      <c r="CW56" s="134"/>
      <c r="CX56" s="134"/>
      <c r="CY56" s="134"/>
      <c r="CZ56" s="134"/>
      <c r="DA56" s="134"/>
      <c r="DB56" s="134"/>
      <c r="DC56" s="134"/>
      <c r="DD56" s="134"/>
      <c r="DE56" s="134"/>
      <c r="DF56" s="134"/>
      <c r="DG56" s="134"/>
      <c r="DH56" s="134"/>
      <c r="DI56" s="134"/>
      <c r="DJ56" s="134"/>
      <c r="DK56" s="134"/>
      <c r="DL56" s="134"/>
      <c r="DM56" s="134"/>
      <c r="DN56" s="134"/>
      <c r="DO56" s="134"/>
      <c r="DP56" s="134"/>
      <c r="DQ56" s="134"/>
      <c r="DR56" s="134"/>
      <c r="DS56" s="134"/>
      <c r="DT56" s="134"/>
      <c r="DU56" s="134"/>
      <c r="DV56" s="134"/>
      <c r="DW56" s="134"/>
      <c r="DX56" s="134"/>
      <c r="DY56" s="134"/>
      <c r="DZ56" s="134"/>
      <c r="EA56" s="134"/>
      <c r="EB56" s="134"/>
      <c r="EC56" s="134"/>
      <c r="ED56" s="134"/>
      <c r="EE56" s="134"/>
      <c r="EF56" s="134"/>
      <c r="EG56" s="134"/>
      <c r="EH56" s="134"/>
      <c r="EI56" s="134"/>
      <c r="EJ56" s="134"/>
      <c r="EK56" s="134"/>
      <c r="EL56" s="134"/>
      <c r="EM56" s="134"/>
      <c r="EN56" s="134"/>
      <c r="EO56" s="134"/>
      <c r="EP56" s="134"/>
      <c r="EQ56" s="134"/>
      <c r="ER56" s="134"/>
      <c r="ES56" s="134"/>
      <c r="ET56" s="134"/>
      <c r="EU56" s="134"/>
      <c r="EV56" s="134"/>
      <c r="EW56" s="134"/>
      <c r="EX56" s="134"/>
      <c r="EY56" s="134"/>
      <c r="EZ56" s="134"/>
      <c r="FA56" s="134"/>
      <c r="FB56" s="134"/>
      <c r="FC56" s="134"/>
      <c r="FD56" s="134"/>
      <c r="FE56" s="134"/>
      <c r="FF56" s="134"/>
      <c r="FG56" s="134"/>
      <c r="FH56" s="134"/>
      <c r="FI56" s="134"/>
      <c r="FJ56" s="134"/>
      <c r="FK56" s="134"/>
      <c r="FL56" s="134"/>
      <c r="FM56" s="134"/>
      <c r="FN56" s="134"/>
      <c r="FO56" s="134"/>
      <c r="FP56" s="134"/>
      <c r="FQ56" s="134"/>
      <c r="FR56" s="134"/>
      <c r="FS56" s="134"/>
      <c r="FT56" s="134"/>
      <c r="FU56" s="134"/>
      <c r="FV56" s="134"/>
      <c r="FW56" s="134"/>
      <c r="FX56" s="134"/>
      <c r="FY56" s="134"/>
      <c r="FZ56" s="134"/>
      <c r="GA56" s="134"/>
      <c r="GB56" s="134"/>
      <c r="GC56" s="134"/>
      <c r="GD56" s="134"/>
      <c r="GE56" s="134"/>
      <c r="GF56" s="134"/>
      <c r="GG56" s="134"/>
      <c r="GH56" s="134"/>
      <c r="GI56" s="134"/>
      <c r="GJ56" s="134"/>
      <c r="GK56" s="134"/>
      <c r="GL56" s="134"/>
      <c r="GM56" s="134"/>
      <c r="GN56" s="134"/>
      <c r="GO56" s="134"/>
      <c r="GP56" s="134"/>
      <c r="GQ56" s="134"/>
      <c r="GR56" s="134"/>
      <c r="GS56" s="134"/>
      <c r="GT56" s="134"/>
      <c r="GU56" s="134"/>
      <c r="GV56" s="134"/>
      <c r="GW56" s="134"/>
      <c r="GX56" s="134"/>
      <c r="GY56" s="134"/>
      <c r="GZ56" s="134"/>
      <c r="HA56" s="134"/>
      <c r="HB56" s="134"/>
      <c r="HC56" s="134"/>
      <c r="HD56" s="134"/>
      <c r="HE56" s="134"/>
      <c r="HF56" s="134"/>
      <c r="HG56" s="134"/>
      <c r="HH56" s="134"/>
      <c r="HI56" s="134"/>
      <c r="HJ56" s="134"/>
      <c r="HK56" s="134"/>
      <c r="HL56" s="134"/>
      <c r="HM56" s="134"/>
      <c r="HN56" s="134"/>
      <c r="HO56" s="134"/>
      <c r="HP56" s="134"/>
      <c r="HQ56" s="134"/>
      <c r="HR56" s="134"/>
      <c r="HS56" s="134"/>
      <c r="HT56" s="134"/>
      <c r="HU56" s="134"/>
      <c r="HV56" s="134"/>
      <c r="HW56" s="134"/>
      <c r="HX56" s="134"/>
      <c r="HY56" s="134"/>
      <c r="HZ56" s="134"/>
      <c r="IA56" s="134"/>
      <c r="IB56" s="134"/>
      <c r="IC56" s="134"/>
      <c r="ID56" s="134"/>
      <c r="IE56" s="134"/>
      <c r="IF56" s="134"/>
      <c r="IG56" s="134"/>
      <c r="IH56" s="134"/>
      <c r="II56" s="134"/>
      <c r="IJ56" s="134"/>
      <c r="IK56" s="134"/>
      <c r="IL56" s="134"/>
      <c r="IM56" s="134"/>
      <c r="IN56" s="134"/>
      <c r="IO56" s="134"/>
      <c r="IP56" s="134"/>
      <c r="IQ56" s="134"/>
      <c r="IR56" s="134"/>
      <c r="IS56" s="134"/>
      <c r="IT56" s="134"/>
      <c r="IU56" s="134"/>
      <c r="IV56" s="134"/>
      <c r="IW56" s="134"/>
      <c r="IX56" s="134"/>
      <c r="IY56" s="134"/>
      <c r="IZ56" s="134"/>
      <c r="JA56" s="134"/>
      <c r="JB56" s="134"/>
      <c r="JC56" s="134"/>
      <c r="JD56" s="134"/>
      <c r="JE56" s="134"/>
      <c r="JF56" s="134"/>
    </row>
    <row r="57" spans="1:266" ht="15.75" customHeight="1">
      <c r="A57" s="242"/>
      <c r="B57" s="355"/>
      <c r="C57" s="332"/>
      <c r="D57" s="332"/>
      <c r="E57" s="332"/>
      <c r="F57" s="332"/>
      <c r="G57" s="332"/>
      <c r="H57" s="332"/>
      <c r="I57" s="332"/>
      <c r="J57" s="356"/>
      <c r="P57" s="208"/>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134"/>
      <c r="CD57" s="134"/>
      <c r="CE57" s="134"/>
      <c r="CF57" s="134"/>
      <c r="CG57" s="134"/>
      <c r="CH57" s="134"/>
      <c r="CI57" s="134"/>
      <c r="CJ57" s="134"/>
      <c r="CK57" s="134"/>
      <c r="CL57" s="134"/>
      <c r="CM57" s="134"/>
      <c r="CN57" s="134"/>
      <c r="CO57" s="134"/>
      <c r="CP57" s="134"/>
      <c r="CQ57" s="134"/>
      <c r="CR57" s="134"/>
      <c r="CS57" s="134"/>
      <c r="CT57" s="134"/>
      <c r="CU57" s="134"/>
      <c r="CV57" s="134"/>
      <c r="CW57" s="134"/>
      <c r="CX57" s="134"/>
      <c r="CY57" s="134"/>
      <c r="CZ57" s="134"/>
      <c r="DA57" s="134"/>
      <c r="DB57" s="134"/>
      <c r="DC57" s="134"/>
      <c r="DD57" s="134"/>
      <c r="DE57" s="134"/>
      <c r="DF57" s="134"/>
      <c r="DG57" s="134"/>
      <c r="DH57" s="134"/>
      <c r="DI57" s="134"/>
      <c r="DJ57" s="134"/>
      <c r="DK57" s="134"/>
      <c r="DL57" s="134"/>
      <c r="DM57" s="134"/>
      <c r="DN57" s="134"/>
      <c r="DO57" s="134"/>
      <c r="DP57" s="134"/>
      <c r="DQ57" s="134"/>
      <c r="DR57" s="134"/>
      <c r="DS57" s="134"/>
      <c r="DT57" s="134"/>
      <c r="DU57" s="134"/>
      <c r="DV57" s="134"/>
      <c r="DW57" s="134"/>
      <c r="DX57" s="134"/>
      <c r="DY57" s="134"/>
      <c r="DZ57" s="134"/>
      <c r="EA57" s="134"/>
      <c r="EB57" s="134"/>
      <c r="EC57" s="134"/>
      <c r="ED57" s="134"/>
      <c r="EE57" s="134"/>
      <c r="EF57" s="134"/>
      <c r="EG57" s="134"/>
      <c r="EH57" s="134"/>
      <c r="EI57" s="134"/>
      <c r="EJ57" s="134"/>
      <c r="EK57" s="134"/>
      <c r="EL57" s="134"/>
      <c r="EM57" s="134"/>
      <c r="EN57" s="134"/>
      <c r="EO57" s="134"/>
      <c r="EP57" s="134"/>
      <c r="EQ57" s="134"/>
      <c r="ER57" s="134"/>
      <c r="ES57" s="134"/>
      <c r="ET57" s="134"/>
      <c r="EU57" s="134"/>
      <c r="EV57" s="134"/>
      <c r="EW57" s="134"/>
      <c r="EX57" s="134"/>
      <c r="EY57" s="134"/>
      <c r="EZ57" s="134"/>
      <c r="FA57" s="134"/>
      <c r="FB57" s="134"/>
      <c r="FC57" s="134"/>
      <c r="FD57" s="134"/>
      <c r="FE57" s="134"/>
      <c r="FF57" s="134"/>
      <c r="FG57" s="134"/>
      <c r="FH57" s="134"/>
      <c r="FI57" s="134"/>
      <c r="FJ57" s="134"/>
      <c r="FK57" s="134"/>
      <c r="FL57" s="134"/>
      <c r="FM57" s="134"/>
      <c r="FN57" s="134"/>
      <c r="FO57" s="134"/>
      <c r="FP57" s="134"/>
      <c r="FQ57" s="134"/>
      <c r="FR57" s="134"/>
      <c r="FS57" s="134"/>
      <c r="FT57" s="134"/>
      <c r="FU57" s="134"/>
      <c r="FV57" s="134"/>
      <c r="FW57" s="134"/>
      <c r="FX57" s="134"/>
      <c r="FY57" s="134"/>
      <c r="FZ57" s="134"/>
      <c r="GA57" s="134"/>
      <c r="GB57" s="134"/>
      <c r="GC57" s="134"/>
      <c r="GD57" s="134"/>
      <c r="GE57" s="134"/>
      <c r="GF57" s="134"/>
      <c r="GG57" s="134"/>
      <c r="GH57" s="134"/>
      <c r="GI57" s="134"/>
      <c r="GJ57" s="134"/>
      <c r="GK57" s="134"/>
      <c r="GL57" s="134"/>
      <c r="GM57" s="134"/>
      <c r="GN57" s="134"/>
      <c r="GO57" s="134"/>
      <c r="GP57" s="134"/>
      <c r="GQ57" s="134"/>
      <c r="GR57" s="134"/>
      <c r="GS57" s="134"/>
      <c r="GT57" s="134"/>
      <c r="GU57" s="134"/>
      <c r="GV57" s="134"/>
      <c r="GW57" s="134"/>
      <c r="GX57" s="134"/>
      <c r="GY57" s="134"/>
      <c r="GZ57" s="134"/>
      <c r="HA57" s="134"/>
      <c r="HB57" s="134"/>
      <c r="HC57" s="134"/>
      <c r="HD57" s="134"/>
      <c r="HE57" s="134"/>
      <c r="HF57" s="134"/>
      <c r="HG57" s="134"/>
      <c r="HH57" s="134"/>
      <c r="HI57" s="134"/>
      <c r="HJ57" s="134"/>
      <c r="HK57" s="134"/>
      <c r="HL57" s="134"/>
      <c r="HM57" s="134"/>
      <c r="HN57" s="134"/>
      <c r="HO57" s="134"/>
      <c r="HP57" s="134"/>
      <c r="HQ57" s="134"/>
      <c r="HR57" s="134"/>
      <c r="HS57" s="134"/>
      <c r="HT57" s="134"/>
      <c r="HU57" s="134"/>
      <c r="HV57" s="134"/>
      <c r="HW57" s="134"/>
      <c r="HX57" s="134"/>
      <c r="HY57" s="134"/>
      <c r="HZ57" s="134"/>
      <c r="IA57" s="134"/>
      <c r="IB57" s="134"/>
      <c r="IC57" s="134"/>
      <c r="ID57" s="134"/>
      <c r="IE57" s="134"/>
      <c r="IF57" s="134"/>
      <c r="IG57" s="134"/>
      <c r="IH57" s="134"/>
      <c r="II57" s="134"/>
      <c r="IJ57" s="134"/>
      <c r="IK57" s="134"/>
      <c r="IL57" s="134"/>
      <c r="IM57" s="134"/>
      <c r="IN57" s="134"/>
      <c r="IO57" s="134"/>
      <c r="IP57" s="134"/>
      <c r="IQ57" s="134"/>
      <c r="IR57" s="134"/>
      <c r="IS57" s="134"/>
      <c r="IT57" s="134"/>
      <c r="IU57" s="134"/>
      <c r="IV57" s="134"/>
      <c r="IW57" s="134"/>
      <c r="IX57" s="134"/>
      <c r="IY57" s="134"/>
      <c r="IZ57" s="134"/>
      <c r="JA57" s="134"/>
      <c r="JB57" s="134"/>
      <c r="JC57" s="134"/>
      <c r="JD57" s="134"/>
      <c r="JE57" s="134"/>
      <c r="JF57" s="134"/>
    </row>
    <row r="58" spans="1:266" ht="15.75" customHeight="1">
      <c r="A58" s="242"/>
      <c r="B58" s="360"/>
      <c r="C58" s="361"/>
      <c r="D58" s="361"/>
      <c r="E58" s="361"/>
      <c r="F58" s="361"/>
      <c r="G58" s="361"/>
      <c r="H58" s="361"/>
      <c r="I58" s="361"/>
      <c r="J58" s="362"/>
      <c r="P58" s="208"/>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134"/>
      <c r="CA58" s="134"/>
      <c r="CB58" s="134"/>
      <c r="CC58" s="134"/>
      <c r="CD58" s="134"/>
      <c r="CE58" s="134"/>
      <c r="CF58" s="134"/>
      <c r="CG58" s="134"/>
      <c r="CH58" s="134"/>
      <c r="CI58" s="134"/>
      <c r="CJ58" s="134"/>
      <c r="CK58" s="134"/>
      <c r="CL58" s="134"/>
      <c r="CM58" s="134"/>
      <c r="CN58" s="134"/>
      <c r="CO58" s="134"/>
      <c r="CP58" s="134"/>
      <c r="CQ58" s="134"/>
      <c r="CR58" s="134"/>
      <c r="CS58" s="134"/>
      <c r="CT58" s="134"/>
      <c r="CU58" s="134"/>
      <c r="CV58" s="134"/>
      <c r="CW58" s="134"/>
      <c r="CX58" s="134"/>
      <c r="CY58" s="134"/>
      <c r="CZ58" s="134"/>
      <c r="DA58" s="134"/>
      <c r="DB58" s="134"/>
      <c r="DC58" s="134"/>
      <c r="DD58" s="134"/>
      <c r="DE58" s="134"/>
      <c r="DF58" s="134"/>
      <c r="DG58" s="134"/>
      <c r="DH58" s="134"/>
      <c r="DI58" s="134"/>
      <c r="DJ58" s="134"/>
      <c r="DK58" s="134"/>
      <c r="DL58" s="134"/>
      <c r="DM58" s="134"/>
      <c r="DN58" s="134"/>
      <c r="DO58" s="134"/>
      <c r="DP58" s="134"/>
      <c r="DQ58" s="134"/>
      <c r="DR58" s="134"/>
      <c r="DS58" s="134"/>
      <c r="DT58" s="134"/>
      <c r="DU58" s="134"/>
      <c r="DV58" s="134"/>
      <c r="DW58" s="134"/>
      <c r="DX58" s="134"/>
      <c r="DY58" s="134"/>
      <c r="DZ58" s="134"/>
      <c r="EA58" s="134"/>
      <c r="EB58" s="134"/>
      <c r="EC58" s="134"/>
      <c r="ED58" s="134"/>
      <c r="EE58" s="134"/>
      <c r="EF58" s="134"/>
      <c r="EG58" s="134"/>
      <c r="EH58" s="134"/>
      <c r="EI58" s="134"/>
      <c r="EJ58" s="134"/>
      <c r="EK58" s="134"/>
      <c r="EL58" s="134"/>
      <c r="EM58" s="134"/>
      <c r="EN58" s="134"/>
      <c r="EO58" s="134"/>
      <c r="EP58" s="134"/>
      <c r="EQ58" s="134"/>
      <c r="ER58" s="134"/>
      <c r="ES58" s="134"/>
      <c r="ET58" s="134"/>
      <c r="EU58" s="134"/>
      <c r="EV58" s="134"/>
      <c r="EW58" s="134"/>
      <c r="EX58" s="134"/>
      <c r="EY58" s="134"/>
      <c r="EZ58" s="134"/>
      <c r="FA58" s="134"/>
      <c r="FB58" s="134"/>
      <c r="FC58" s="134"/>
      <c r="FD58" s="134"/>
      <c r="FE58" s="134"/>
      <c r="FF58" s="134"/>
      <c r="FG58" s="134"/>
      <c r="FH58" s="134"/>
      <c r="FI58" s="134"/>
      <c r="FJ58" s="134"/>
      <c r="FK58" s="134"/>
      <c r="FL58" s="134"/>
      <c r="FM58" s="134"/>
      <c r="FN58" s="134"/>
      <c r="FO58" s="134"/>
      <c r="FP58" s="134"/>
      <c r="FQ58" s="134"/>
      <c r="FR58" s="134"/>
      <c r="FS58" s="134"/>
      <c r="FT58" s="134"/>
      <c r="FU58" s="134"/>
      <c r="FV58" s="134"/>
      <c r="FW58" s="134"/>
      <c r="FX58" s="134"/>
      <c r="FY58" s="134"/>
      <c r="FZ58" s="134"/>
      <c r="GA58" s="134"/>
      <c r="GB58" s="134"/>
      <c r="GC58" s="134"/>
      <c r="GD58" s="134"/>
      <c r="GE58" s="134"/>
      <c r="GF58" s="134"/>
      <c r="GG58" s="134"/>
      <c r="GH58" s="134"/>
      <c r="GI58" s="134"/>
      <c r="GJ58" s="134"/>
      <c r="GK58" s="134"/>
      <c r="GL58" s="134"/>
      <c r="GM58" s="134"/>
      <c r="GN58" s="134"/>
      <c r="GO58" s="134"/>
      <c r="GP58" s="134"/>
      <c r="GQ58" s="134"/>
      <c r="GR58" s="134"/>
      <c r="GS58" s="134"/>
      <c r="GT58" s="134"/>
      <c r="GU58" s="134"/>
      <c r="GV58" s="134"/>
      <c r="GW58" s="134"/>
      <c r="GX58" s="134"/>
      <c r="GY58" s="134"/>
      <c r="GZ58" s="134"/>
      <c r="HA58" s="134"/>
      <c r="HB58" s="134"/>
      <c r="HC58" s="134"/>
      <c r="HD58" s="134"/>
      <c r="HE58" s="134"/>
      <c r="HF58" s="134"/>
      <c r="HG58" s="134"/>
      <c r="HH58" s="134"/>
      <c r="HI58" s="134"/>
      <c r="HJ58" s="134"/>
      <c r="HK58" s="134"/>
      <c r="HL58" s="134"/>
      <c r="HM58" s="134"/>
      <c r="HN58" s="134"/>
      <c r="HO58" s="134"/>
      <c r="HP58" s="134"/>
      <c r="HQ58" s="134"/>
      <c r="HR58" s="134"/>
      <c r="HS58" s="134"/>
      <c r="HT58" s="134"/>
      <c r="HU58" s="134"/>
      <c r="HV58" s="134"/>
      <c r="HW58" s="134"/>
      <c r="HX58" s="134"/>
      <c r="HY58" s="134"/>
      <c r="HZ58" s="134"/>
      <c r="IA58" s="134"/>
      <c r="IB58" s="134"/>
      <c r="IC58" s="134"/>
      <c r="ID58" s="134"/>
      <c r="IE58" s="134"/>
      <c r="IF58" s="134"/>
      <c r="IG58" s="134"/>
      <c r="IH58" s="134"/>
      <c r="II58" s="134"/>
      <c r="IJ58" s="134"/>
      <c r="IK58" s="134"/>
      <c r="IL58" s="134"/>
      <c r="IM58" s="134"/>
      <c r="IN58" s="134"/>
      <c r="IO58" s="134"/>
      <c r="IP58" s="134"/>
      <c r="IQ58" s="134"/>
      <c r="IR58" s="134"/>
      <c r="IS58" s="134"/>
      <c r="IT58" s="134"/>
      <c r="IU58" s="134"/>
      <c r="IV58" s="134"/>
      <c r="IW58" s="134"/>
      <c r="IX58" s="134"/>
      <c r="IY58" s="134"/>
      <c r="IZ58" s="134"/>
      <c r="JA58" s="134"/>
      <c r="JB58" s="134"/>
      <c r="JC58" s="134"/>
      <c r="JD58" s="134"/>
      <c r="JE58" s="134"/>
      <c r="JF58" s="134"/>
    </row>
    <row r="59" spans="1:266" ht="15" customHeight="1">
      <c r="A59" s="242"/>
      <c r="B59" s="352" t="s">
        <v>196</v>
      </c>
      <c r="C59" s="353"/>
      <c r="D59" s="353"/>
      <c r="E59" s="353"/>
      <c r="F59" s="353"/>
      <c r="G59" s="353"/>
      <c r="H59" s="353"/>
      <c r="I59" s="353"/>
      <c r="J59" s="354"/>
      <c r="P59" s="208"/>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212"/>
      <c r="AR59" s="212"/>
      <c r="AS59" s="212"/>
      <c r="AT59" s="134"/>
      <c r="AU59" s="134"/>
      <c r="AV59" s="212"/>
      <c r="AW59" s="212"/>
      <c r="AX59" s="212"/>
      <c r="AY59" s="134"/>
      <c r="AZ59" s="134"/>
      <c r="BA59" s="134"/>
      <c r="BB59" s="134"/>
      <c r="BC59" s="134"/>
      <c r="BD59" s="134"/>
      <c r="BE59" s="134"/>
      <c r="BF59" s="134"/>
      <c r="BG59" s="134"/>
      <c r="BH59" s="134"/>
      <c r="BI59" s="134"/>
      <c r="BJ59" s="134"/>
      <c r="BK59" s="134"/>
      <c r="BL59" s="134"/>
      <c r="BM59" s="134"/>
      <c r="BN59" s="134"/>
      <c r="BO59" s="134"/>
      <c r="BP59" s="134"/>
      <c r="BQ59" s="134"/>
      <c r="BR59" s="134"/>
      <c r="BS59" s="134"/>
      <c r="BT59" s="134"/>
      <c r="BU59" s="134"/>
      <c r="BV59" s="134"/>
      <c r="BW59" s="134"/>
      <c r="BX59" s="134"/>
      <c r="BY59" s="134"/>
      <c r="BZ59" s="134"/>
      <c r="CA59" s="134"/>
      <c r="CB59" s="134"/>
      <c r="CC59" s="134"/>
      <c r="CD59" s="134"/>
      <c r="CE59" s="134"/>
      <c r="CF59" s="134"/>
      <c r="CG59" s="134"/>
      <c r="CH59" s="134"/>
      <c r="CI59" s="134"/>
      <c r="CJ59" s="134"/>
      <c r="CK59" s="134"/>
      <c r="CL59" s="134"/>
      <c r="CM59" s="134"/>
      <c r="CN59" s="134"/>
      <c r="CO59" s="134"/>
      <c r="CP59" s="134"/>
      <c r="CQ59" s="134"/>
      <c r="CR59" s="134"/>
      <c r="CS59" s="134"/>
      <c r="CT59" s="134"/>
      <c r="CU59" s="134"/>
      <c r="CV59" s="134"/>
      <c r="CW59" s="134"/>
      <c r="CX59" s="134"/>
      <c r="CY59" s="134"/>
      <c r="CZ59" s="134"/>
      <c r="DA59" s="134"/>
      <c r="DB59" s="134"/>
      <c r="DC59" s="134"/>
      <c r="DD59" s="134"/>
      <c r="DE59" s="134"/>
      <c r="DF59" s="134"/>
      <c r="DG59" s="134"/>
      <c r="DH59" s="134"/>
      <c r="DI59" s="134"/>
      <c r="DJ59" s="134"/>
      <c r="DK59" s="134"/>
      <c r="DL59" s="134"/>
      <c r="DM59" s="134"/>
      <c r="DN59" s="134"/>
      <c r="DO59" s="134"/>
      <c r="DP59" s="134"/>
      <c r="DQ59" s="134"/>
      <c r="DR59" s="134"/>
      <c r="DS59" s="134"/>
      <c r="DT59" s="134"/>
      <c r="DU59" s="134"/>
      <c r="DV59" s="134"/>
      <c r="DW59" s="134"/>
      <c r="DX59" s="134"/>
      <c r="DY59" s="134"/>
      <c r="DZ59" s="134"/>
      <c r="EA59" s="134"/>
      <c r="EB59" s="134"/>
      <c r="EC59" s="134"/>
      <c r="ED59" s="134"/>
      <c r="EE59" s="134"/>
      <c r="EF59" s="134"/>
      <c r="EG59" s="134"/>
      <c r="EH59" s="134"/>
      <c r="EI59" s="134"/>
      <c r="EJ59" s="134"/>
      <c r="EK59" s="134"/>
      <c r="EL59" s="134"/>
      <c r="EM59" s="134"/>
      <c r="EN59" s="134"/>
      <c r="EO59" s="134"/>
      <c r="EP59" s="134"/>
      <c r="EQ59" s="134"/>
      <c r="ER59" s="134"/>
      <c r="ES59" s="134"/>
      <c r="ET59" s="134"/>
      <c r="EU59" s="134"/>
      <c r="EV59" s="134"/>
      <c r="EW59" s="134"/>
      <c r="EX59" s="134"/>
      <c r="EY59" s="134"/>
      <c r="EZ59" s="134"/>
      <c r="FA59" s="134"/>
      <c r="FB59" s="134"/>
      <c r="FC59" s="134"/>
      <c r="FD59" s="134"/>
      <c r="FE59" s="134"/>
      <c r="FF59" s="134"/>
      <c r="FG59" s="134"/>
      <c r="FH59" s="134"/>
      <c r="FI59" s="134"/>
      <c r="FJ59" s="134"/>
      <c r="FK59" s="134"/>
      <c r="FL59" s="134"/>
      <c r="FM59" s="134"/>
      <c r="FN59" s="134"/>
      <c r="FO59" s="134"/>
      <c r="FP59" s="134"/>
      <c r="FQ59" s="134"/>
      <c r="FR59" s="134"/>
      <c r="FS59" s="134"/>
      <c r="FT59" s="134"/>
      <c r="FU59" s="134"/>
      <c r="FV59" s="134"/>
      <c r="FW59" s="134"/>
      <c r="FX59" s="134"/>
      <c r="FY59" s="134"/>
      <c r="FZ59" s="134"/>
      <c r="GA59" s="134"/>
      <c r="GB59" s="134"/>
      <c r="GC59" s="134"/>
      <c r="GD59" s="134"/>
      <c r="GE59" s="134"/>
      <c r="GF59" s="134"/>
      <c r="GG59" s="134"/>
      <c r="GH59" s="134"/>
      <c r="GI59" s="134"/>
      <c r="GJ59" s="134"/>
      <c r="GK59" s="134"/>
      <c r="GL59" s="134"/>
      <c r="GM59" s="134"/>
      <c r="GN59" s="134"/>
      <c r="GO59" s="134"/>
      <c r="GP59" s="134"/>
      <c r="GQ59" s="134"/>
      <c r="GR59" s="134"/>
      <c r="GS59" s="134"/>
      <c r="GT59" s="134"/>
      <c r="GU59" s="134"/>
      <c r="GV59" s="134"/>
      <c r="GW59" s="134"/>
      <c r="GX59" s="134"/>
      <c r="GY59" s="134"/>
      <c r="GZ59" s="134"/>
      <c r="HA59" s="134"/>
      <c r="HB59" s="134"/>
      <c r="HC59" s="134"/>
      <c r="HD59" s="134"/>
      <c r="HE59" s="134"/>
      <c r="HF59" s="134"/>
      <c r="HG59" s="134"/>
      <c r="HH59" s="134"/>
      <c r="HI59" s="134"/>
      <c r="HJ59" s="134"/>
      <c r="HK59" s="134"/>
      <c r="HL59" s="134"/>
      <c r="HM59" s="134"/>
      <c r="HN59" s="134"/>
      <c r="HO59" s="134"/>
      <c r="HP59" s="134"/>
      <c r="HQ59" s="134"/>
      <c r="HR59" s="134"/>
      <c r="HS59" s="134"/>
      <c r="HT59" s="134"/>
      <c r="HU59" s="134"/>
      <c r="HV59" s="134"/>
      <c r="HW59" s="134"/>
      <c r="HX59" s="134"/>
      <c r="HY59" s="134"/>
      <c r="HZ59" s="134"/>
      <c r="IA59" s="134"/>
      <c r="IB59" s="134"/>
      <c r="IC59" s="134"/>
      <c r="ID59" s="134"/>
      <c r="IE59" s="134"/>
      <c r="IF59" s="134"/>
      <c r="IG59" s="134"/>
      <c r="IH59" s="134"/>
      <c r="II59" s="134"/>
      <c r="IJ59" s="134"/>
      <c r="IK59" s="134"/>
      <c r="IL59" s="134"/>
      <c r="IM59" s="134"/>
      <c r="IN59" s="134"/>
      <c r="IO59" s="134"/>
      <c r="IP59" s="134"/>
      <c r="IQ59" s="134"/>
      <c r="IR59" s="134"/>
      <c r="IS59" s="134"/>
      <c r="IT59" s="134"/>
      <c r="IU59" s="134"/>
      <c r="IV59" s="134"/>
      <c r="IW59" s="134"/>
      <c r="IX59" s="134"/>
      <c r="IY59" s="134"/>
      <c r="IZ59" s="134"/>
      <c r="JA59" s="134"/>
      <c r="JB59" s="134"/>
      <c r="JC59" s="134"/>
      <c r="JD59" s="134"/>
      <c r="JE59" s="134"/>
      <c r="JF59" s="134"/>
    </row>
    <row r="60" spans="1:266" ht="15" customHeight="1">
      <c r="A60" s="242"/>
      <c r="B60" s="355"/>
      <c r="C60" s="332"/>
      <c r="D60" s="332"/>
      <c r="E60" s="332"/>
      <c r="F60" s="332"/>
      <c r="G60" s="332"/>
      <c r="H60" s="332"/>
      <c r="I60" s="332"/>
      <c r="J60" s="356"/>
      <c r="P60" s="208"/>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212"/>
      <c r="AR60" s="212"/>
      <c r="AS60" s="212"/>
      <c r="AT60" s="134"/>
      <c r="AU60" s="134"/>
      <c r="AV60" s="212"/>
      <c r="AW60" s="212"/>
      <c r="AX60" s="212"/>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4"/>
      <c r="CH60" s="134"/>
      <c r="CI60" s="134"/>
      <c r="CJ60" s="134"/>
      <c r="CK60" s="134"/>
      <c r="CL60" s="134"/>
      <c r="CM60" s="134"/>
      <c r="CN60" s="134"/>
      <c r="CO60" s="134"/>
      <c r="CP60" s="134"/>
      <c r="CQ60" s="134"/>
      <c r="CR60" s="134"/>
      <c r="CS60" s="134"/>
      <c r="CT60" s="134"/>
      <c r="CU60" s="134"/>
      <c r="CV60" s="134"/>
      <c r="CW60" s="134"/>
      <c r="CX60" s="134"/>
      <c r="CY60" s="134"/>
      <c r="CZ60" s="134"/>
      <c r="DA60" s="134"/>
      <c r="DB60" s="134"/>
      <c r="DC60" s="134"/>
      <c r="DD60" s="134"/>
      <c r="DE60" s="134"/>
      <c r="DF60" s="134"/>
      <c r="DG60" s="134"/>
      <c r="DH60" s="134"/>
      <c r="DI60" s="134"/>
      <c r="DJ60" s="134"/>
      <c r="DK60" s="134"/>
      <c r="DL60" s="134"/>
      <c r="DM60" s="134"/>
      <c r="DN60" s="134"/>
      <c r="DO60" s="134"/>
      <c r="DP60" s="134"/>
      <c r="DQ60" s="134"/>
      <c r="DR60" s="134"/>
      <c r="DS60" s="134"/>
      <c r="DT60" s="134"/>
      <c r="DU60" s="134"/>
      <c r="DV60" s="134"/>
      <c r="DW60" s="134"/>
      <c r="DX60" s="134"/>
      <c r="DY60" s="134"/>
      <c r="DZ60" s="134"/>
      <c r="EA60" s="134"/>
      <c r="EB60" s="134"/>
      <c r="EC60" s="134"/>
      <c r="ED60" s="134"/>
      <c r="EE60" s="134"/>
      <c r="EF60" s="134"/>
      <c r="EG60" s="134"/>
      <c r="EH60" s="134"/>
      <c r="EI60" s="134"/>
      <c r="EJ60" s="134"/>
      <c r="EK60" s="134"/>
      <c r="EL60" s="134"/>
      <c r="EM60" s="134"/>
      <c r="EN60" s="134"/>
      <c r="EO60" s="134"/>
      <c r="EP60" s="134"/>
      <c r="EQ60" s="134"/>
      <c r="ER60" s="134"/>
      <c r="ES60" s="134"/>
      <c r="ET60" s="134"/>
      <c r="EU60" s="134"/>
      <c r="EV60" s="134"/>
      <c r="EW60" s="134"/>
      <c r="EX60" s="134"/>
      <c r="EY60" s="134"/>
      <c r="EZ60" s="134"/>
      <c r="FA60" s="134"/>
      <c r="FB60" s="134"/>
      <c r="FC60" s="134"/>
      <c r="FD60" s="134"/>
      <c r="FE60" s="134"/>
      <c r="FF60" s="134"/>
      <c r="FG60" s="134"/>
      <c r="FH60" s="134"/>
      <c r="FI60" s="134"/>
      <c r="FJ60" s="134"/>
      <c r="FK60" s="134"/>
      <c r="FL60" s="134"/>
      <c r="FM60" s="134"/>
      <c r="FN60" s="134"/>
      <c r="FO60" s="134"/>
      <c r="FP60" s="134"/>
      <c r="FQ60" s="134"/>
      <c r="FR60" s="134"/>
      <c r="FS60" s="134"/>
      <c r="FT60" s="134"/>
      <c r="FU60" s="134"/>
      <c r="FV60" s="134"/>
      <c r="FW60" s="134"/>
      <c r="FX60" s="134"/>
      <c r="FY60" s="134"/>
      <c r="FZ60" s="134"/>
      <c r="GA60" s="134"/>
      <c r="GB60" s="134"/>
      <c r="GC60" s="134"/>
      <c r="GD60" s="134"/>
      <c r="GE60" s="134"/>
      <c r="GF60" s="134"/>
      <c r="GG60" s="134"/>
      <c r="GH60" s="134"/>
      <c r="GI60" s="134"/>
      <c r="GJ60" s="134"/>
      <c r="GK60" s="134"/>
      <c r="GL60" s="134"/>
      <c r="GM60" s="134"/>
      <c r="GN60" s="134"/>
      <c r="GO60" s="134"/>
      <c r="GP60" s="134"/>
      <c r="GQ60" s="134"/>
      <c r="GR60" s="134"/>
      <c r="GS60" s="134"/>
      <c r="GT60" s="134"/>
      <c r="GU60" s="134"/>
      <c r="GV60" s="134"/>
      <c r="GW60" s="134"/>
      <c r="GX60" s="134"/>
      <c r="GY60" s="134"/>
      <c r="GZ60" s="134"/>
      <c r="HA60" s="134"/>
      <c r="HB60" s="134"/>
      <c r="HC60" s="134"/>
      <c r="HD60" s="134"/>
      <c r="HE60" s="134"/>
      <c r="HF60" s="134"/>
      <c r="HG60" s="134"/>
      <c r="HH60" s="134"/>
      <c r="HI60" s="134"/>
      <c r="HJ60" s="134"/>
      <c r="HK60" s="134"/>
      <c r="HL60" s="134"/>
      <c r="HM60" s="134"/>
      <c r="HN60" s="134"/>
      <c r="HO60" s="134"/>
      <c r="HP60" s="134"/>
      <c r="HQ60" s="134"/>
      <c r="HR60" s="134"/>
      <c r="HS60" s="134"/>
      <c r="HT60" s="134"/>
      <c r="HU60" s="134"/>
      <c r="HV60" s="134"/>
      <c r="HW60" s="134"/>
      <c r="HX60" s="134"/>
      <c r="HY60" s="134"/>
      <c r="HZ60" s="134"/>
      <c r="IA60" s="134"/>
      <c r="IB60" s="134"/>
      <c r="IC60" s="134"/>
      <c r="ID60" s="134"/>
      <c r="IE60" s="134"/>
      <c r="IF60" s="134"/>
      <c r="IG60" s="134"/>
      <c r="IH60" s="134"/>
      <c r="II60" s="134"/>
      <c r="IJ60" s="134"/>
      <c r="IK60" s="134"/>
      <c r="IL60" s="134"/>
      <c r="IM60" s="134"/>
      <c r="IN60" s="134"/>
      <c r="IO60" s="134"/>
      <c r="IP60" s="134"/>
      <c r="IQ60" s="134"/>
      <c r="IR60" s="134"/>
      <c r="IS60" s="134"/>
      <c r="IT60" s="134"/>
      <c r="IU60" s="134"/>
      <c r="IV60" s="134"/>
      <c r="IW60" s="134"/>
      <c r="IX60" s="134"/>
      <c r="IY60" s="134"/>
      <c r="IZ60" s="134"/>
      <c r="JA60" s="134"/>
      <c r="JB60" s="134"/>
      <c r="JC60" s="134"/>
      <c r="JD60" s="134"/>
      <c r="JE60" s="134"/>
      <c r="JF60" s="134"/>
    </row>
    <row r="61" spans="1:266" ht="15" customHeight="1">
      <c r="A61" s="242"/>
      <c r="B61" s="355"/>
      <c r="C61" s="332"/>
      <c r="D61" s="332"/>
      <c r="E61" s="332"/>
      <c r="F61" s="332"/>
      <c r="G61" s="332"/>
      <c r="H61" s="332"/>
      <c r="I61" s="332"/>
      <c r="J61" s="356"/>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212"/>
      <c r="AR61" s="212"/>
      <c r="AS61" s="212"/>
      <c r="AT61" s="134"/>
      <c r="AU61" s="134"/>
      <c r="AV61" s="212"/>
      <c r="AW61" s="212"/>
      <c r="AX61" s="212"/>
      <c r="AY61" s="134"/>
      <c r="AZ61" s="134"/>
      <c r="BA61" s="134"/>
      <c r="BB61" s="134"/>
      <c r="BC61" s="134"/>
      <c r="BD61" s="134"/>
      <c r="BE61" s="134"/>
      <c r="BF61" s="134"/>
      <c r="BG61" s="134"/>
      <c r="BH61" s="134"/>
      <c r="BI61" s="134"/>
      <c r="BJ61" s="134"/>
      <c r="BK61" s="134"/>
      <c r="BL61" s="134"/>
      <c r="BM61" s="134"/>
      <c r="BN61" s="134"/>
      <c r="BO61" s="134"/>
      <c r="BP61" s="134"/>
      <c r="BQ61" s="134"/>
      <c r="BR61" s="134"/>
      <c r="BS61" s="134"/>
      <c r="BT61" s="134"/>
      <c r="BU61" s="134"/>
      <c r="BV61" s="134"/>
      <c r="BW61" s="134"/>
      <c r="BX61" s="134"/>
      <c r="BY61" s="134"/>
      <c r="BZ61" s="134"/>
      <c r="CA61" s="134"/>
      <c r="CB61" s="134"/>
      <c r="CC61" s="134"/>
      <c r="CD61" s="134"/>
      <c r="CE61" s="134"/>
      <c r="CF61" s="134"/>
      <c r="CG61" s="134"/>
      <c r="CH61" s="134"/>
      <c r="CI61" s="134"/>
      <c r="CJ61" s="134"/>
      <c r="CK61" s="134"/>
      <c r="CL61" s="134"/>
      <c r="CM61" s="134"/>
      <c r="CN61" s="134"/>
      <c r="CO61" s="134"/>
      <c r="CP61" s="134"/>
      <c r="CQ61" s="134"/>
      <c r="CR61" s="134"/>
      <c r="CS61" s="134"/>
      <c r="CT61" s="134"/>
      <c r="CU61" s="134"/>
      <c r="CV61" s="134"/>
      <c r="CW61" s="134"/>
      <c r="CX61" s="134"/>
      <c r="CY61" s="134"/>
      <c r="CZ61" s="134"/>
      <c r="DA61" s="134"/>
      <c r="DB61" s="134"/>
      <c r="DC61" s="134"/>
      <c r="DD61" s="134"/>
      <c r="DE61" s="134"/>
      <c r="DF61" s="134"/>
      <c r="DG61" s="134"/>
      <c r="DH61" s="134"/>
      <c r="DI61" s="134"/>
      <c r="DJ61" s="134"/>
      <c r="DK61" s="134"/>
      <c r="DL61" s="134"/>
      <c r="DM61" s="134"/>
      <c r="DN61" s="134"/>
      <c r="DO61" s="134"/>
      <c r="DP61" s="134"/>
      <c r="DQ61" s="134"/>
      <c r="DR61" s="134"/>
      <c r="DS61" s="134"/>
      <c r="DT61" s="134"/>
      <c r="DU61" s="134"/>
      <c r="DV61" s="134"/>
      <c r="DW61" s="134"/>
      <c r="DX61" s="134"/>
      <c r="DY61" s="134"/>
      <c r="DZ61" s="134"/>
      <c r="EA61" s="134"/>
      <c r="EB61" s="134"/>
      <c r="EC61" s="134"/>
      <c r="ED61" s="134"/>
      <c r="EE61" s="134"/>
      <c r="EF61" s="134"/>
      <c r="EG61" s="134"/>
      <c r="EH61" s="134"/>
      <c r="EI61" s="134"/>
      <c r="EJ61" s="134"/>
      <c r="EK61" s="134"/>
      <c r="EL61" s="134"/>
      <c r="EM61" s="134"/>
      <c r="EN61" s="134"/>
      <c r="EO61" s="134"/>
      <c r="EP61" s="134"/>
      <c r="EQ61" s="134"/>
      <c r="ER61" s="134"/>
      <c r="ES61" s="134"/>
      <c r="ET61" s="134"/>
      <c r="EU61" s="134"/>
      <c r="EV61" s="134"/>
      <c r="EW61" s="134"/>
      <c r="EX61" s="134"/>
      <c r="EY61" s="134"/>
      <c r="EZ61" s="134"/>
      <c r="FA61" s="134"/>
      <c r="FB61" s="134"/>
      <c r="FC61" s="134"/>
      <c r="FD61" s="134"/>
      <c r="FE61" s="134"/>
      <c r="FF61" s="134"/>
      <c r="FG61" s="134"/>
      <c r="FH61" s="134"/>
      <c r="FI61" s="134"/>
      <c r="FJ61" s="134"/>
      <c r="FK61" s="134"/>
      <c r="FL61" s="134"/>
      <c r="FM61" s="134"/>
      <c r="FN61" s="134"/>
      <c r="FO61" s="134"/>
      <c r="FP61" s="134"/>
      <c r="FQ61" s="134"/>
      <c r="FR61" s="134"/>
      <c r="FS61" s="134"/>
      <c r="FT61" s="134"/>
      <c r="FU61" s="134"/>
      <c r="FV61" s="134"/>
      <c r="FW61" s="134"/>
      <c r="FX61" s="134"/>
      <c r="FY61" s="134"/>
      <c r="FZ61" s="134"/>
      <c r="GA61" s="134"/>
      <c r="GB61" s="134"/>
      <c r="GC61" s="134"/>
      <c r="GD61" s="134"/>
      <c r="GE61" s="134"/>
      <c r="GF61" s="134"/>
      <c r="GG61" s="134"/>
      <c r="GH61" s="134"/>
      <c r="GI61" s="134"/>
      <c r="GJ61" s="134"/>
      <c r="GK61" s="134"/>
      <c r="GL61" s="134"/>
      <c r="GM61" s="134"/>
      <c r="GN61" s="134"/>
      <c r="GO61" s="134"/>
      <c r="GP61" s="134"/>
      <c r="GQ61" s="134"/>
      <c r="GR61" s="134"/>
      <c r="GS61" s="134"/>
      <c r="GT61" s="134"/>
      <c r="GU61" s="134"/>
      <c r="GV61" s="134"/>
      <c r="GW61" s="134"/>
      <c r="GX61" s="134"/>
      <c r="GY61" s="134"/>
      <c r="GZ61" s="134"/>
      <c r="HA61" s="134"/>
      <c r="HB61" s="134"/>
      <c r="HC61" s="134"/>
      <c r="HD61" s="134"/>
      <c r="HE61" s="134"/>
      <c r="HF61" s="134"/>
      <c r="HG61" s="134"/>
      <c r="HH61" s="134"/>
      <c r="HI61" s="134"/>
      <c r="HJ61" s="134"/>
      <c r="HK61" s="134"/>
      <c r="HL61" s="134"/>
      <c r="HM61" s="134"/>
      <c r="HN61" s="134"/>
      <c r="HO61" s="134"/>
      <c r="HP61" s="134"/>
      <c r="HQ61" s="134"/>
      <c r="HR61" s="134"/>
      <c r="HS61" s="134"/>
      <c r="HT61" s="134"/>
      <c r="HU61" s="134"/>
      <c r="HV61" s="134"/>
      <c r="HW61" s="134"/>
      <c r="HX61" s="134"/>
      <c r="HY61" s="134"/>
      <c r="HZ61" s="134"/>
      <c r="IA61" s="134"/>
      <c r="IB61" s="134"/>
      <c r="IC61" s="134"/>
      <c r="ID61" s="134"/>
      <c r="IE61" s="134"/>
      <c r="IF61" s="134"/>
      <c r="IG61" s="134"/>
      <c r="IH61" s="134"/>
      <c r="II61" s="134"/>
      <c r="IJ61" s="134"/>
      <c r="IK61" s="134"/>
      <c r="IL61" s="134"/>
      <c r="IM61" s="134"/>
      <c r="IN61" s="134"/>
      <c r="IO61" s="134"/>
      <c r="IP61" s="134"/>
      <c r="IQ61" s="134"/>
      <c r="IR61" s="134"/>
      <c r="IS61" s="134"/>
      <c r="IT61" s="134"/>
      <c r="IU61" s="134"/>
      <c r="IV61" s="134"/>
      <c r="IW61" s="134"/>
      <c r="IX61" s="134"/>
      <c r="IY61" s="134"/>
      <c r="IZ61" s="134"/>
      <c r="JA61" s="134"/>
      <c r="JB61" s="134"/>
      <c r="JC61" s="134"/>
      <c r="JD61" s="134"/>
      <c r="JE61" s="134"/>
      <c r="JF61" s="134"/>
    </row>
    <row r="62" spans="1:266" ht="15" customHeight="1" thickBot="1">
      <c r="A62" s="242"/>
      <c r="B62" s="357"/>
      <c r="C62" s="358"/>
      <c r="D62" s="358"/>
      <c r="E62" s="358"/>
      <c r="F62" s="358"/>
      <c r="G62" s="358"/>
      <c r="H62" s="358"/>
      <c r="I62" s="358"/>
      <c r="J62" s="359"/>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212"/>
      <c r="AR62" s="212"/>
      <c r="AS62" s="212"/>
      <c r="AT62" s="134"/>
      <c r="AU62" s="134"/>
      <c r="AV62" s="212"/>
      <c r="AW62" s="212"/>
      <c r="AX62" s="212"/>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34"/>
      <c r="BW62" s="134"/>
      <c r="BX62" s="134"/>
      <c r="BY62" s="134"/>
      <c r="BZ62" s="134"/>
      <c r="CA62" s="134"/>
      <c r="CB62" s="134"/>
      <c r="CC62" s="134"/>
      <c r="CD62" s="134"/>
      <c r="CE62" s="134"/>
      <c r="CF62" s="134"/>
      <c r="CG62" s="134"/>
      <c r="CH62" s="134"/>
      <c r="CI62" s="134"/>
      <c r="CJ62" s="134"/>
      <c r="CK62" s="134"/>
      <c r="CL62" s="134"/>
      <c r="CM62" s="134"/>
      <c r="CN62" s="134"/>
      <c r="CO62" s="134"/>
      <c r="CP62" s="134"/>
      <c r="CQ62" s="134"/>
      <c r="CR62" s="134"/>
      <c r="CS62" s="134"/>
      <c r="CT62" s="134"/>
      <c r="CU62" s="134"/>
      <c r="CV62" s="134"/>
      <c r="CW62" s="134"/>
      <c r="CX62" s="134"/>
      <c r="CY62" s="134"/>
      <c r="CZ62" s="134"/>
      <c r="DA62" s="134"/>
      <c r="DB62" s="134"/>
      <c r="DC62" s="134"/>
      <c r="DD62" s="134"/>
      <c r="DE62" s="134"/>
      <c r="DF62" s="134"/>
      <c r="DG62" s="134"/>
      <c r="DH62" s="134"/>
      <c r="DI62" s="134"/>
      <c r="DJ62" s="134"/>
      <c r="DK62" s="134"/>
      <c r="DL62" s="134"/>
      <c r="DM62" s="134"/>
      <c r="DN62" s="134"/>
      <c r="DO62" s="134"/>
      <c r="DP62" s="134"/>
      <c r="DQ62" s="134"/>
      <c r="DR62" s="134"/>
      <c r="DS62" s="134"/>
      <c r="DT62" s="134"/>
      <c r="DU62" s="134"/>
      <c r="DV62" s="134"/>
      <c r="DW62" s="134"/>
      <c r="DX62" s="134"/>
      <c r="DY62" s="134"/>
      <c r="DZ62" s="134"/>
      <c r="EA62" s="134"/>
      <c r="EB62" s="134"/>
      <c r="EC62" s="134"/>
      <c r="ED62" s="134"/>
      <c r="EE62" s="134"/>
      <c r="EF62" s="134"/>
      <c r="EG62" s="134"/>
      <c r="EH62" s="134"/>
      <c r="EI62" s="134"/>
      <c r="EJ62" s="134"/>
      <c r="EK62" s="134"/>
      <c r="EL62" s="134"/>
      <c r="EM62" s="134"/>
      <c r="EN62" s="134"/>
      <c r="EO62" s="134"/>
      <c r="EP62" s="134"/>
      <c r="EQ62" s="134"/>
      <c r="ER62" s="134"/>
      <c r="ES62" s="134"/>
      <c r="ET62" s="134"/>
      <c r="EU62" s="134"/>
      <c r="EV62" s="134"/>
      <c r="EW62" s="134"/>
      <c r="EX62" s="134"/>
      <c r="EY62" s="134"/>
      <c r="EZ62" s="134"/>
      <c r="FA62" s="134"/>
      <c r="FB62" s="134"/>
      <c r="FC62" s="134"/>
      <c r="FD62" s="134"/>
      <c r="FE62" s="134"/>
      <c r="FF62" s="134"/>
      <c r="FG62" s="134"/>
      <c r="FH62" s="134"/>
      <c r="FI62" s="134"/>
      <c r="FJ62" s="134"/>
      <c r="FK62" s="134"/>
      <c r="FL62" s="134"/>
      <c r="FM62" s="134"/>
      <c r="FN62" s="134"/>
      <c r="FO62" s="134"/>
      <c r="FP62" s="134"/>
      <c r="FQ62" s="134"/>
      <c r="FR62" s="134"/>
      <c r="FS62" s="134"/>
      <c r="FT62" s="134"/>
      <c r="FU62" s="134"/>
      <c r="FV62" s="134"/>
      <c r="FW62" s="134"/>
      <c r="FX62" s="134"/>
      <c r="FY62" s="134"/>
      <c r="FZ62" s="134"/>
      <c r="GA62" s="134"/>
      <c r="GB62" s="134"/>
      <c r="GC62" s="134"/>
      <c r="GD62" s="134"/>
      <c r="GE62" s="134"/>
      <c r="GF62" s="134"/>
      <c r="GG62" s="134"/>
      <c r="GH62" s="134"/>
      <c r="GI62" s="134"/>
      <c r="GJ62" s="134"/>
      <c r="GK62" s="134"/>
      <c r="GL62" s="134"/>
      <c r="GM62" s="134"/>
      <c r="GN62" s="134"/>
      <c r="GO62" s="134"/>
      <c r="GP62" s="134"/>
      <c r="GQ62" s="134"/>
      <c r="GR62" s="134"/>
      <c r="GS62" s="134"/>
      <c r="GT62" s="134"/>
      <c r="GU62" s="134"/>
      <c r="GV62" s="134"/>
      <c r="GW62" s="134"/>
      <c r="GX62" s="134"/>
      <c r="GY62" s="134"/>
      <c r="GZ62" s="134"/>
      <c r="HA62" s="134"/>
      <c r="HB62" s="134"/>
      <c r="HC62" s="134"/>
      <c r="HD62" s="134"/>
      <c r="HE62" s="134"/>
      <c r="HF62" s="134"/>
      <c r="HG62" s="134"/>
      <c r="HH62" s="134"/>
      <c r="HI62" s="134"/>
      <c r="HJ62" s="134"/>
      <c r="HK62" s="134"/>
      <c r="HL62" s="134"/>
      <c r="HM62" s="134"/>
      <c r="HN62" s="134"/>
      <c r="HO62" s="134"/>
      <c r="HP62" s="134"/>
      <c r="HQ62" s="134"/>
      <c r="HR62" s="134"/>
      <c r="HS62" s="134"/>
      <c r="HT62" s="134"/>
      <c r="HU62" s="134"/>
      <c r="HV62" s="134"/>
      <c r="HW62" s="134"/>
      <c r="HX62" s="134"/>
      <c r="HY62" s="134"/>
      <c r="HZ62" s="134"/>
      <c r="IA62" s="134"/>
      <c r="IB62" s="134"/>
      <c r="IC62" s="134"/>
      <c r="ID62" s="134"/>
      <c r="IE62" s="134"/>
      <c r="IF62" s="134"/>
      <c r="IG62" s="134"/>
      <c r="IH62" s="134"/>
      <c r="II62" s="134"/>
      <c r="IJ62" s="134"/>
      <c r="IK62" s="134"/>
      <c r="IL62" s="134"/>
      <c r="IM62" s="134"/>
      <c r="IN62" s="134"/>
      <c r="IO62" s="134"/>
      <c r="IP62" s="134"/>
      <c r="IQ62" s="134"/>
      <c r="IR62" s="134"/>
      <c r="IS62" s="134"/>
      <c r="IT62" s="134"/>
      <c r="IU62" s="134"/>
      <c r="IV62" s="134"/>
      <c r="IW62" s="134"/>
      <c r="IX62" s="134"/>
      <c r="IY62" s="134"/>
      <c r="IZ62" s="134"/>
      <c r="JA62" s="134"/>
      <c r="JB62" s="134"/>
      <c r="JC62" s="134"/>
      <c r="JD62" s="134"/>
      <c r="JE62" s="134"/>
      <c r="JF62" s="134"/>
    </row>
    <row r="63" spans="1:266" ht="15.75" customHeight="1">
      <c r="A63" s="242"/>
      <c r="B63" s="332"/>
      <c r="C63" s="332"/>
      <c r="D63" s="332"/>
      <c r="E63" s="332"/>
      <c r="F63" s="332"/>
      <c r="G63" s="332"/>
      <c r="H63" s="332"/>
      <c r="I63" s="332"/>
      <c r="J63" s="332"/>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212"/>
      <c r="AR63" s="212"/>
      <c r="AS63" s="212"/>
      <c r="AT63" s="134"/>
      <c r="AU63" s="134"/>
      <c r="AV63" s="212"/>
      <c r="AW63" s="212"/>
      <c r="AX63" s="212"/>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4"/>
      <c r="CC63" s="134"/>
      <c r="CD63" s="134"/>
      <c r="CE63" s="134"/>
      <c r="CF63" s="134"/>
      <c r="CG63" s="134"/>
      <c r="CH63" s="134"/>
      <c r="CI63" s="134"/>
      <c r="CJ63" s="134"/>
      <c r="CK63" s="134"/>
      <c r="CL63" s="134"/>
      <c r="CM63" s="134"/>
      <c r="CN63" s="134"/>
      <c r="CO63" s="134"/>
      <c r="CP63" s="134"/>
      <c r="CQ63" s="134"/>
      <c r="CR63" s="134"/>
      <c r="CS63" s="134"/>
      <c r="CT63" s="134"/>
      <c r="CU63" s="134"/>
      <c r="CV63" s="134"/>
      <c r="CW63" s="134"/>
      <c r="CX63" s="134"/>
      <c r="CY63" s="134"/>
      <c r="CZ63" s="134"/>
      <c r="DA63" s="134"/>
      <c r="DB63" s="134"/>
      <c r="DC63" s="134"/>
      <c r="DD63" s="134"/>
      <c r="DE63" s="134"/>
      <c r="DF63" s="134"/>
      <c r="DG63" s="134"/>
      <c r="DH63" s="134"/>
      <c r="DI63" s="134"/>
      <c r="DJ63" s="134"/>
      <c r="DK63" s="134"/>
      <c r="DL63" s="134"/>
      <c r="DM63" s="134"/>
      <c r="DN63" s="134"/>
      <c r="DO63" s="134"/>
      <c r="DP63" s="134"/>
      <c r="DQ63" s="134"/>
      <c r="DR63" s="134"/>
      <c r="DS63" s="134"/>
      <c r="DT63" s="134"/>
      <c r="DU63" s="134"/>
      <c r="DV63" s="134"/>
      <c r="DW63" s="134"/>
      <c r="DX63" s="134"/>
      <c r="DY63" s="134"/>
      <c r="DZ63" s="134"/>
      <c r="EA63" s="134"/>
      <c r="EB63" s="134"/>
      <c r="EC63" s="134"/>
      <c r="ED63" s="134"/>
      <c r="EE63" s="134"/>
      <c r="EF63" s="134"/>
      <c r="EG63" s="134"/>
      <c r="EH63" s="134"/>
      <c r="EI63" s="134"/>
      <c r="EJ63" s="134"/>
      <c r="EK63" s="134"/>
      <c r="EL63" s="134"/>
      <c r="EM63" s="134"/>
      <c r="EN63" s="134"/>
      <c r="EO63" s="134"/>
      <c r="EP63" s="134"/>
      <c r="EQ63" s="134"/>
      <c r="ER63" s="134"/>
      <c r="ES63" s="134"/>
      <c r="ET63" s="134"/>
      <c r="EU63" s="134"/>
      <c r="EV63" s="134"/>
      <c r="EW63" s="134"/>
      <c r="EX63" s="134"/>
      <c r="EY63" s="134"/>
      <c r="EZ63" s="134"/>
      <c r="FA63" s="134"/>
      <c r="FB63" s="134"/>
      <c r="FC63" s="134"/>
      <c r="FD63" s="134"/>
      <c r="FE63" s="134"/>
      <c r="FF63" s="134"/>
      <c r="FG63" s="134"/>
      <c r="FH63" s="134"/>
      <c r="FI63" s="134"/>
      <c r="FJ63" s="134"/>
      <c r="FK63" s="134"/>
      <c r="FL63" s="134"/>
      <c r="FM63" s="134"/>
      <c r="FN63" s="134"/>
      <c r="FO63" s="134"/>
      <c r="FP63" s="134"/>
      <c r="FQ63" s="134"/>
      <c r="FR63" s="134"/>
      <c r="FS63" s="134"/>
      <c r="FT63" s="134"/>
      <c r="FU63" s="134"/>
      <c r="FV63" s="134"/>
      <c r="FW63" s="134"/>
      <c r="FX63" s="134"/>
      <c r="FY63" s="134"/>
      <c r="FZ63" s="134"/>
      <c r="GA63" s="134"/>
      <c r="GB63" s="134"/>
      <c r="GC63" s="134"/>
      <c r="GD63" s="134"/>
      <c r="GE63" s="134"/>
      <c r="GF63" s="134"/>
      <c r="GG63" s="134"/>
      <c r="GH63" s="134"/>
      <c r="GI63" s="134"/>
      <c r="GJ63" s="134"/>
      <c r="GK63" s="134"/>
      <c r="GL63" s="134"/>
      <c r="GM63" s="134"/>
      <c r="GN63" s="134"/>
      <c r="GO63" s="134"/>
      <c r="GP63" s="134"/>
      <c r="GQ63" s="134"/>
      <c r="GR63" s="134"/>
      <c r="GS63" s="134"/>
      <c r="GT63" s="134"/>
      <c r="GU63" s="134"/>
      <c r="GV63" s="134"/>
      <c r="GW63" s="134"/>
      <c r="GX63" s="134"/>
      <c r="GY63" s="134"/>
      <c r="GZ63" s="134"/>
      <c r="HA63" s="134"/>
      <c r="HB63" s="134"/>
      <c r="HC63" s="134"/>
      <c r="HD63" s="134"/>
      <c r="HE63" s="134"/>
      <c r="HF63" s="134"/>
      <c r="HG63" s="134"/>
      <c r="HH63" s="134"/>
      <c r="HI63" s="134"/>
      <c r="HJ63" s="134"/>
      <c r="HK63" s="134"/>
      <c r="HL63" s="134"/>
      <c r="HM63" s="134"/>
      <c r="HN63" s="134"/>
      <c r="HO63" s="134"/>
      <c r="HP63" s="134"/>
      <c r="HQ63" s="134"/>
      <c r="HR63" s="134"/>
      <c r="HS63" s="134"/>
      <c r="HT63" s="134"/>
      <c r="HU63" s="134"/>
      <c r="HV63" s="134"/>
      <c r="HW63" s="134"/>
      <c r="HX63" s="134"/>
      <c r="HY63" s="134"/>
      <c r="HZ63" s="134"/>
      <c r="IA63" s="134"/>
      <c r="IB63" s="134"/>
      <c r="IC63" s="134"/>
      <c r="ID63" s="134"/>
      <c r="IE63" s="134"/>
      <c r="IF63" s="134"/>
      <c r="IG63" s="134"/>
      <c r="IH63" s="134"/>
      <c r="II63" s="134"/>
      <c r="IJ63" s="134"/>
      <c r="IK63" s="134"/>
      <c r="IL63" s="134"/>
      <c r="IM63" s="134"/>
      <c r="IN63" s="134"/>
      <c r="IO63" s="134"/>
      <c r="IP63" s="134"/>
      <c r="IQ63" s="134"/>
      <c r="IR63" s="134"/>
      <c r="IS63" s="134"/>
      <c r="IT63" s="134"/>
      <c r="IU63" s="134"/>
      <c r="IV63" s="134"/>
      <c r="IW63" s="134"/>
      <c r="IX63" s="134"/>
      <c r="IY63" s="134"/>
      <c r="IZ63" s="134"/>
      <c r="JA63" s="134"/>
      <c r="JB63" s="134"/>
      <c r="JC63" s="134"/>
      <c r="JD63" s="134"/>
      <c r="JE63" s="134"/>
      <c r="JF63" s="134"/>
    </row>
    <row r="64" spans="1:266">
      <c r="B64" s="332"/>
      <c r="C64" s="332"/>
      <c r="D64" s="332"/>
      <c r="E64" s="332"/>
      <c r="F64" s="332"/>
      <c r="G64" s="332"/>
      <c r="H64" s="332"/>
      <c r="I64" s="332"/>
      <c r="J64" s="332"/>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212"/>
      <c r="AR64" s="212"/>
      <c r="AS64" s="212"/>
      <c r="AT64" s="134"/>
      <c r="AU64" s="134"/>
      <c r="AV64" s="212"/>
      <c r="AW64" s="212"/>
      <c r="AX64" s="212"/>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c r="CS64" s="134"/>
      <c r="CT64" s="134"/>
      <c r="CU64" s="134"/>
      <c r="CV64" s="134"/>
      <c r="CW64" s="134"/>
      <c r="CX64" s="134"/>
      <c r="CY64" s="134"/>
      <c r="CZ64" s="134"/>
      <c r="DA64" s="134"/>
      <c r="DB64" s="134"/>
      <c r="DC64" s="134"/>
      <c r="DD64" s="134"/>
      <c r="DE64" s="134"/>
      <c r="DF64" s="134"/>
      <c r="DG64" s="134"/>
      <c r="DH64" s="134"/>
      <c r="DI64" s="134"/>
      <c r="DJ64" s="134"/>
      <c r="DK64" s="134"/>
      <c r="DL64" s="134"/>
      <c r="DM64" s="134"/>
      <c r="DN64" s="134"/>
      <c r="DO64" s="134"/>
      <c r="DP64" s="134"/>
      <c r="DQ64" s="134"/>
      <c r="DR64" s="134"/>
      <c r="DS64" s="134"/>
      <c r="DT64" s="134"/>
      <c r="DU64" s="134"/>
      <c r="DV64" s="134"/>
      <c r="DW64" s="134"/>
      <c r="DX64" s="134"/>
      <c r="DY64" s="134"/>
      <c r="DZ64" s="134"/>
      <c r="EA64" s="134"/>
      <c r="EB64" s="134"/>
      <c r="EC64" s="134"/>
      <c r="ED64" s="134"/>
      <c r="EE64" s="134"/>
      <c r="EF64" s="134"/>
      <c r="EG64" s="134"/>
      <c r="EH64" s="134"/>
      <c r="EI64" s="134"/>
      <c r="EJ64" s="134"/>
      <c r="EK64" s="134"/>
      <c r="EL64" s="134"/>
      <c r="EM64" s="134"/>
      <c r="EN64" s="134"/>
      <c r="EO64" s="134"/>
      <c r="EP64" s="134"/>
      <c r="EQ64" s="134"/>
      <c r="ER64" s="134"/>
      <c r="ES64" s="134"/>
      <c r="ET64" s="134"/>
      <c r="EU64" s="134"/>
      <c r="EV64" s="134"/>
      <c r="EW64" s="134"/>
      <c r="EX64" s="134"/>
      <c r="EY64" s="134"/>
      <c r="EZ64" s="134"/>
      <c r="FA64" s="134"/>
      <c r="FB64" s="134"/>
      <c r="FC64" s="134"/>
      <c r="FD64" s="134"/>
      <c r="FE64" s="134"/>
      <c r="FF64" s="134"/>
      <c r="FG64" s="134"/>
      <c r="FH64" s="134"/>
      <c r="FI64" s="134"/>
      <c r="FJ64" s="134"/>
      <c r="FK64" s="134"/>
      <c r="FL64" s="134"/>
      <c r="FM64" s="134"/>
      <c r="FN64" s="134"/>
      <c r="FO64" s="134"/>
      <c r="FP64" s="134"/>
      <c r="FQ64" s="134"/>
      <c r="FR64" s="134"/>
      <c r="FS64" s="134"/>
      <c r="FT64" s="134"/>
      <c r="FU64" s="134"/>
      <c r="FV64" s="134"/>
      <c r="FW64" s="134"/>
      <c r="FX64" s="134"/>
      <c r="FY64" s="134"/>
      <c r="FZ64" s="134"/>
      <c r="GA64" s="134"/>
      <c r="GB64" s="134"/>
      <c r="GC64" s="134"/>
      <c r="GD64" s="134"/>
      <c r="GE64" s="134"/>
      <c r="GF64" s="134"/>
      <c r="GG64" s="134"/>
      <c r="GH64" s="134"/>
      <c r="GI64" s="134"/>
      <c r="GJ64" s="134"/>
      <c r="GK64" s="134"/>
      <c r="GL64" s="134"/>
      <c r="GM64" s="134"/>
      <c r="GN64" s="134"/>
      <c r="GO64" s="134"/>
      <c r="GP64" s="134"/>
      <c r="GQ64" s="134"/>
      <c r="GR64" s="134"/>
      <c r="GS64" s="134"/>
      <c r="GT64" s="134"/>
      <c r="GU64" s="134"/>
      <c r="GV64" s="134"/>
      <c r="GW64" s="134"/>
      <c r="GX64" s="134"/>
      <c r="GY64" s="134"/>
      <c r="GZ64" s="134"/>
      <c r="HA64" s="134"/>
      <c r="HB64" s="134"/>
      <c r="HC64" s="134"/>
      <c r="HD64" s="134"/>
      <c r="HE64" s="134"/>
      <c r="HF64" s="134"/>
      <c r="HG64" s="134"/>
      <c r="HH64" s="134"/>
      <c r="HI64" s="134"/>
      <c r="HJ64" s="134"/>
      <c r="HK64" s="134"/>
      <c r="HL64" s="134"/>
      <c r="HM64" s="134"/>
      <c r="HN64" s="134"/>
      <c r="HO64" s="134"/>
      <c r="HP64" s="134"/>
      <c r="HQ64" s="134"/>
      <c r="HR64" s="134"/>
      <c r="HS64" s="134"/>
      <c r="HT64" s="134"/>
      <c r="HU64" s="134"/>
      <c r="HV64" s="134"/>
      <c r="HW64" s="134"/>
      <c r="HX64" s="134"/>
      <c r="HY64" s="134"/>
      <c r="HZ64" s="134"/>
      <c r="IA64" s="134"/>
      <c r="IB64" s="134"/>
      <c r="IC64" s="134"/>
      <c r="ID64" s="134"/>
      <c r="IE64" s="134"/>
      <c r="IF64" s="134"/>
      <c r="IG64" s="134"/>
      <c r="IH64" s="134"/>
      <c r="II64" s="134"/>
      <c r="IJ64" s="134"/>
      <c r="IK64" s="134"/>
      <c r="IL64" s="134"/>
      <c r="IM64" s="134"/>
      <c r="IN64" s="134"/>
      <c r="IO64" s="134"/>
      <c r="IP64" s="134"/>
      <c r="IQ64" s="134"/>
      <c r="IR64" s="134"/>
      <c r="IS64" s="134"/>
      <c r="IT64" s="134"/>
      <c r="IU64" s="134"/>
      <c r="IV64" s="134"/>
      <c r="IW64" s="134"/>
      <c r="IX64" s="134"/>
      <c r="IY64" s="134"/>
      <c r="IZ64" s="134"/>
      <c r="JA64" s="134"/>
      <c r="JB64" s="134"/>
      <c r="JC64" s="134"/>
      <c r="JD64" s="134"/>
      <c r="JE64" s="134"/>
      <c r="JF64" s="134"/>
    </row>
    <row r="65" spans="1:266">
      <c r="B65" s="332"/>
      <c r="C65" s="332"/>
      <c r="D65" s="332"/>
      <c r="E65" s="332"/>
      <c r="F65" s="332"/>
      <c r="G65" s="332"/>
      <c r="H65" s="332"/>
      <c r="I65" s="332"/>
      <c r="J65" s="332"/>
      <c r="L65" s="242"/>
      <c r="M65" s="242"/>
      <c r="N65" s="242"/>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212"/>
      <c r="AR65" s="212"/>
      <c r="AS65" s="212"/>
      <c r="AT65" s="134"/>
      <c r="AU65" s="134"/>
      <c r="AV65" s="212"/>
      <c r="AW65" s="212"/>
      <c r="AX65" s="212"/>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c r="HS65" s="134"/>
      <c r="HT65" s="134"/>
      <c r="HU65" s="134"/>
      <c r="HV65" s="134"/>
      <c r="HW65" s="134"/>
      <c r="HX65" s="134"/>
      <c r="HY65" s="134"/>
      <c r="HZ65" s="134"/>
      <c r="IA65" s="134"/>
      <c r="IB65" s="134"/>
      <c r="IC65" s="134"/>
      <c r="ID65" s="134"/>
      <c r="IE65" s="134"/>
      <c r="IF65" s="134"/>
      <c r="IG65" s="134"/>
      <c r="IH65" s="134"/>
      <c r="II65" s="134"/>
      <c r="IJ65" s="134"/>
      <c r="IK65" s="134"/>
      <c r="IL65" s="134"/>
      <c r="IM65" s="134"/>
      <c r="IN65" s="134"/>
      <c r="IO65" s="134"/>
      <c r="IP65" s="134"/>
      <c r="IQ65" s="134"/>
      <c r="IR65" s="134"/>
      <c r="IS65" s="134"/>
      <c r="IT65" s="134"/>
      <c r="IU65" s="134"/>
      <c r="IV65" s="134"/>
      <c r="IW65" s="134"/>
      <c r="IX65" s="134"/>
      <c r="IY65" s="134"/>
      <c r="IZ65" s="134"/>
      <c r="JA65" s="134"/>
      <c r="JB65" s="134"/>
      <c r="JC65" s="134"/>
      <c r="JD65" s="134"/>
      <c r="JE65" s="134"/>
      <c r="JF65" s="134"/>
    </row>
    <row r="66" spans="1:266">
      <c r="A66" s="14"/>
      <c r="B66" s="332"/>
      <c r="C66" s="332"/>
      <c r="D66" s="332"/>
      <c r="E66" s="332"/>
      <c r="F66" s="332"/>
      <c r="G66" s="332"/>
      <c r="H66" s="332"/>
      <c r="I66" s="332"/>
      <c r="J66" s="332"/>
      <c r="K66" s="242"/>
      <c r="L66" s="242"/>
      <c r="M66" s="242"/>
      <c r="N66" s="242"/>
      <c r="O66" s="242"/>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212"/>
      <c r="AR66" s="212"/>
      <c r="AS66" s="212"/>
      <c r="AT66" s="134"/>
      <c r="AU66" s="134"/>
      <c r="AV66" s="212"/>
      <c r="AW66" s="212"/>
      <c r="AX66" s="212"/>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c r="CS66" s="134"/>
      <c r="CT66" s="134"/>
      <c r="CU66" s="134"/>
      <c r="CV66" s="134"/>
      <c r="CW66" s="134"/>
      <c r="CX66" s="134"/>
      <c r="CY66" s="134"/>
      <c r="CZ66" s="134"/>
      <c r="DA66" s="134"/>
      <c r="DB66" s="134"/>
      <c r="DC66" s="134"/>
      <c r="DD66" s="134"/>
      <c r="DE66" s="134"/>
      <c r="DF66" s="134"/>
      <c r="DG66" s="134"/>
      <c r="DH66" s="134"/>
      <c r="DI66" s="134"/>
      <c r="DJ66" s="134"/>
      <c r="DK66" s="134"/>
      <c r="DL66" s="134"/>
      <c r="DM66" s="134"/>
      <c r="DN66" s="134"/>
      <c r="DO66" s="134"/>
      <c r="DP66" s="134"/>
      <c r="DQ66" s="134"/>
      <c r="DR66" s="134"/>
      <c r="DS66" s="134"/>
      <c r="DT66" s="134"/>
      <c r="DU66" s="134"/>
      <c r="DV66" s="134"/>
      <c r="DW66" s="134"/>
      <c r="DX66" s="134"/>
      <c r="DY66" s="134"/>
      <c r="DZ66" s="134"/>
      <c r="EA66" s="134"/>
      <c r="EB66" s="134"/>
      <c r="EC66" s="134"/>
      <c r="ED66" s="134"/>
      <c r="EE66" s="134"/>
      <c r="EF66" s="134"/>
      <c r="EG66" s="134"/>
      <c r="EH66" s="134"/>
      <c r="EI66" s="134"/>
      <c r="EJ66" s="134"/>
      <c r="EK66" s="134"/>
      <c r="EL66" s="134"/>
      <c r="EM66" s="134"/>
      <c r="EN66" s="134"/>
      <c r="EO66" s="134"/>
      <c r="EP66" s="134"/>
      <c r="EQ66" s="134"/>
      <c r="ER66" s="134"/>
      <c r="ES66" s="134"/>
      <c r="ET66" s="134"/>
      <c r="EU66" s="134"/>
      <c r="EV66" s="134"/>
      <c r="EW66" s="134"/>
      <c r="EX66" s="134"/>
      <c r="EY66" s="134"/>
      <c r="EZ66" s="134"/>
      <c r="FA66" s="134"/>
      <c r="FB66" s="134"/>
      <c r="FC66" s="134"/>
      <c r="FD66" s="134"/>
      <c r="FE66" s="134"/>
      <c r="FF66" s="134"/>
      <c r="FG66" s="134"/>
      <c r="FH66" s="134"/>
      <c r="FI66" s="134"/>
      <c r="FJ66" s="134"/>
      <c r="FK66" s="134"/>
      <c r="FL66" s="134"/>
      <c r="FM66" s="134"/>
      <c r="FN66" s="134"/>
      <c r="FO66" s="134"/>
      <c r="FP66" s="134"/>
      <c r="FQ66" s="134"/>
      <c r="FR66" s="134"/>
      <c r="FS66" s="134"/>
      <c r="FT66" s="134"/>
      <c r="FU66" s="134"/>
      <c r="FV66" s="134"/>
      <c r="FW66" s="134"/>
      <c r="FX66" s="134"/>
      <c r="FY66" s="134"/>
      <c r="FZ66" s="134"/>
      <c r="GA66" s="134"/>
      <c r="GB66" s="134"/>
      <c r="GC66" s="134"/>
      <c r="GD66" s="134"/>
      <c r="GE66" s="134"/>
      <c r="GF66" s="134"/>
      <c r="GG66" s="134"/>
      <c r="GH66" s="134"/>
      <c r="GI66" s="134"/>
      <c r="GJ66" s="134"/>
      <c r="GK66" s="134"/>
      <c r="GL66" s="134"/>
      <c r="GM66" s="134"/>
      <c r="GN66" s="134"/>
      <c r="GO66" s="134"/>
      <c r="GP66" s="134"/>
      <c r="GQ66" s="134"/>
      <c r="GR66" s="134"/>
      <c r="GS66" s="134"/>
      <c r="GT66" s="134"/>
      <c r="GU66" s="134"/>
      <c r="GV66" s="134"/>
      <c r="GW66" s="134"/>
      <c r="GX66" s="134"/>
      <c r="GY66" s="134"/>
      <c r="GZ66" s="134"/>
      <c r="HA66" s="134"/>
      <c r="HB66" s="134"/>
      <c r="HC66" s="134"/>
      <c r="HD66" s="134"/>
      <c r="HE66" s="134"/>
      <c r="HF66" s="134"/>
      <c r="HG66" s="134"/>
      <c r="HH66" s="134"/>
      <c r="HI66" s="134"/>
      <c r="HJ66" s="134"/>
      <c r="HK66" s="134"/>
      <c r="HL66" s="134"/>
      <c r="HM66" s="134"/>
      <c r="HN66" s="134"/>
      <c r="HO66" s="134"/>
      <c r="HP66" s="134"/>
      <c r="HQ66" s="134"/>
      <c r="HR66" s="134"/>
      <c r="HS66" s="134"/>
      <c r="HT66" s="134"/>
      <c r="HU66" s="134"/>
      <c r="HV66" s="134"/>
      <c r="HW66" s="134"/>
      <c r="HX66" s="134"/>
      <c r="HY66" s="134"/>
      <c r="HZ66" s="134"/>
      <c r="IA66" s="134"/>
      <c r="IB66" s="134"/>
      <c r="IC66" s="134"/>
      <c r="ID66" s="134"/>
      <c r="IE66" s="134"/>
      <c r="IF66" s="134"/>
      <c r="IG66" s="134"/>
      <c r="IH66" s="134"/>
      <c r="II66" s="134"/>
      <c r="IJ66" s="134"/>
      <c r="IK66" s="134"/>
      <c r="IL66" s="134"/>
      <c r="IM66" s="134"/>
      <c r="IN66" s="134"/>
      <c r="IO66" s="134"/>
      <c r="IP66" s="134"/>
      <c r="IQ66" s="134"/>
      <c r="IR66" s="134"/>
      <c r="IS66" s="134"/>
      <c r="IT66" s="134"/>
      <c r="IU66" s="134"/>
      <c r="IV66" s="134"/>
      <c r="IW66" s="134"/>
      <c r="IX66" s="134"/>
      <c r="IY66" s="134"/>
      <c r="IZ66" s="134"/>
      <c r="JA66" s="134"/>
      <c r="JB66" s="134"/>
      <c r="JC66" s="134"/>
      <c r="JD66" s="134"/>
      <c r="JE66" s="134"/>
      <c r="JF66" s="134"/>
    </row>
    <row r="67" spans="1:266" ht="15" customHeight="1">
      <c r="A67" s="14"/>
      <c r="B67" s="333"/>
      <c r="C67" s="333"/>
      <c r="D67" s="333"/>
      <c r="E67" s="333"/>
      <c r="F67" s="333"/>
      <c r="G67" s="333"/>
      <c r="H67" s="333"/>
      <c r="I67" s="333"/>
      <c r="J67" s="333"/>
      <c r="K67" s="242"/>
      <c r="L67" s="242"/>
      <c r="M67" s="242"/>
      <c r="N67" s="242"/>
      <c r="O67" s="242"/>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212"/>
      <c r="AR67" s="212"/>
      <c r="AS67" s="212"/>
      <c r="AT67" s="134"/>
      <c r="AU67" s="134"/>
      <c r="AV67" s="212"/>
      <c r="AW67" s="212"/>
      <c r="AX67" s="212"/>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c r="CS67" s="134"/>
      <c r="CT67" s="134"/>
      <c r="CU67" s="134"/>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134"/>
      <c r="GB67" s="134"/>
      <c r="GC67" s="134"/>
      <c r="GD67" s="134"/>
      <c r="GE67" s="134"/>
      <c r="GF67" s="134"/>
      <c r="GG67" s="134"/>
      <c r="GH67" s="134"/>
      <c r="GI67" s="134"/>
      <c r="GJ67" s="134"/>
      <c r="GK67" s="134"/>
      <c r="GL67" s="134"/>
      <c r="GM67" s="134"/>
      <c r="GN67" s="134"/>
      <c r="GO67" s="134"/>
      <c r="GP67" s="134"/>
      <c r="GQ67" s="134"/>
      <c r="GR67" s="134"/>
      <c r="GS67" s="134"/>
      <c r="GT67" s="134"/>
      <c r="GU67" s="134"/>
      <c r="GV67" s="134"/>
      <c r="GW67" s="134"/>
      <c r="GX67" s="134"/>
      <c r="GY67" s="134"/>
      <c r="GZ67" s="134"/>
      <c r="HA67" s="134"/>
      <c r="HB67" s="134"/>
      <c r="HC67" s="134"/>
      <c r="HD67" s="134"/>
      <c r="HE67" s="134"/>
      <c r="HF67" s="134"/>
      <c r="HG67" s="134"/>
      <c r="HH67" s="134"/>
      <c r="HI67" s="134"/>
      <c r="HJ67" s="134"/>
      <c r="HK67" s="134"/>
      <c r="HL67" s="134"/>
      <c r="HM67" s="134"/>
      <c r="HN67" s="134"/>
      <c r="HO67" s="134"/>
      <c r="HP67" s="134"/>
      <c r="HQ67" s="134"/>
      <c r="HR67" s="134"/>
      <c r="HS67" s="134"/>
      <c r="HT67" s="134"/>
      <c r="HU67" s="134"/>
      <c r="HV67" s="134"/>
      <c r="HW67" s="134"/>
      <c r="HX67" s="134"/>
      <c r="HY67" s="134"/>
      <c r="HZ67" s="134"/>
      <c r="IA67" s="134"/>
      <c r="IB67" s="134"/>
      <c r="IC67" s="134"/>
      <c r="ID67" s="134"/>
      <c r="IE67" s="134"/>
      <c r="IF67" s="134"/>
      <c r="IG67" s="134"/>
      <c r="IH67" s="134"/>
      <c r="II67" s="134"/>
      <c r="IJ67" s="134"/>
      <c r="IK67" s="134"/>
      <c r="IL67" s="134"/>
      <c r="IM67" s="134"/>
      <c r="IN67" s="134"/>
      <c r="IO67" s="134"/>
      <c r="IP67" s="134"/>
      <c r="IQ67" s="134"/>
      <c r="IR67" s="134"/>
      <c r="IS67" s="134"/>
      <c r="IT67" s="134"/>
      <c r="IU67" s="134"/>
      <c r="IV67" s="134"/>
      <c r="IW67" s="134"/>
      <c r="IX67" s="134"/>
      <c r="IY67" s="134"/>
      <c r="IZ67" s="134"/>
      <c r="JA67" s="134"/>
      <c r="JB67" s="134"/>
      <c r="JC67" s="134"/>
      <c r="JD67" s="134"/>
      <c r="JE67" s="134"/>
      <c r="JF67" s="134"/>
    </row>
    <row r="68" spans="1:266">
      <c r="A68" s="14"/>
      <c r="B68" s="333"/>
      <c r="C68" s="333"/>
      <c r="D68" s="333"/>
      <c r="E68" s="333"/>
      <c r="F68" s="333"/>
      <c r="G68" s="333"/>
      <c r="H68" s="333"/>
      <c r="I68" s="333"/>
      <c r="J68" s="333"/>
      <c r="K68" s="242"/>
      <c r="L68" s="14"/>
      <c r="M68" s="14"/>
      <c r="N68" s="14"/>
      <c r="O68" s="242"/>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212"/>
      <c r="AR68" s="212"/>
      <c r="AS68" s="212"/>
      <c r="AT68" s="134"/>
      <c r="AU68" s="134"/>
      <c r="AV68" s="212"/>
      <c r="AW68" s="212"/>
      <c r="AX68" s="212"/>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34"/>
      <c r="CM68" s="134"/>
      <c r="CN68" s="134"/>
      <c r="CO68" s="134"/>
      <c r="CP68" s="134"/>
      <c r="CQ68" s="134"/>
      <c r="CR68" s="134"/>
      <c r="CS68" s="134"/>
      <c r="CT68" s="13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134"/>
      <c r="GB68" s="134"/>
      <c r="GC68" s="134"/>
      <c r="GD68" s="134"/>
      <c r="GE68" s="134"/>
      <c r="GF68" s="134"/>
      <c r="GG68" s="134"/>
      <c r="GH68" s="134"/>
      <c r="GI68" s="134"/>
      <c r="GJ68" s="134"/>
      <c r="GK68" s="134"/>
      <c r="GL68" s="134"/>
      <c r="GM68" s="134"/>
      <c r="GN68" s="134"/>
      <c r="GO68" s="134"/>
      <c r="GP68" s="134"/>
      <c r="GQ68" s="134"/>
      <c r="GR68" s="134"/>
      <c r="GS68" s="134"/>
      <c r="GT68" s="134"/>
      <c r="GU68" s="134"/>
      <c r="GV68" s="134"/>
      <c r="GW68" s="134"/>
      <c r="GX68" s="134"/>
      <c r="GY68" s="134"/>
      <c r="GZ68" s="134"/>
      <c r="HA68" s="134"/>
      <c r="HB68" s="134"/>
      <c r="HC68" s="134"/>
      <c r="HD68" s="134"/>
      <c r="HE68" s="134"/>
      <c r="HF68" s="134"/>
      <c r="HG68" s="134"/>
      <c r="HH68" s="134"/>
      <c r="HI68" s="134"/>
      <c r="HJ68" s="134"/>
      <c r="HK68" s="134"/>
      <c r="HL68" s="134"/>
      <c r="HM68" s="134"/>
      <c r="HN68" s="134"/>
      <c r="HO68" s="134"/>
      <c r="HP68" s="134"/>
      <c r="HQ68" s="134"/>
      <c r="HR68" s="134"/>
      <c r="HS68" s="134"/>
      <c r="HT68" s="134"/>
      <c r="HU68" s="134"/>
      <c r="HV68" s="134"/>
      <c r="HW68" s="134"/>
      <c r="HX68" s="134"/>
      <c r="HY68" s="134"/>
      <c r="HZ68" s="134"/>
      <c r="IA68" s="134"/>
      <c r="IB68" s="134"/>
      <c r="IC68" s="134"/>
      <c r="ID68" s="134"/>
      <c r="IE68" s="134"/>
      <c r="IF68" s="134"/>
      <c r="IG68" s="134"/>
      <c r="IH68" s="134"/>
      <c r="II68" s="134"/>
      <c r="IJ68" s="134"/>
      <c r="IK68" s="134"/>
      <c r="IL68" s="134"/>
      <c r="IM68" s="134"/>
      <c r="IN68" s="134"/>
      <c r="IO68" s="134"/>
      <c r="IP68" s="134"/>
      <c r="IQ68" s="134"/>
      <c r="IR68" s="134"/>
      <c r="IS68" s="134"/>
      <c r="IT68" s="134"/>
      <c r="IU68" s="134"/>
      <c r="IV68" s="134"/>
      <c r="IW68" s="134"/>
      <c r="IX68" s="134"/>
      <c r="IY68" s="134"/>
      <c r="IZ68" s="134"/>
      <c r="JA68" s="134"/>
      <c r="JB68" s="134"/>
      <c r="JC68" s="134"/>
      <c r="JD68" s="134"/>
      <c r="JE68" s="134"/>
      <c r="JF68" s="134"/>
    </row>
    <row r="69" spans="1:266">
      <c r="A69" s="14"/>
      <c r="B69" s="333"/>
      <c r="C69" s="333"/>
      <c r="D69" s="333"/>
      <c r="E69" s="333"/>
      <c r="F69" s="333"/>
      <c r="G69" s="333"/>
      <c r="H69" s="333"/>
      <c r="I69" s="333"/>
      <c r="J69" s="333"/>
      <c r="K69" s="14"/>
      <c r="L69" s="14"/>
      <c r="M69" s="14"/>
      <c r="N69" s="14"/>
      <c r="O69" s="1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212"/>
      <c r="AR69" s="212"/>
      <c r="AS69" s="212"/>
      <c r="AT69" s="134"/>
      <c r="AU69" s="134"/>
      <c r="AV69" s="212"/>
      <c r="AW69" s="212"/>
      <c r="AX69" s="212"/>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c r="CS69" s="134"/>
      <c r="CT69" s="13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134"/>
      <c r="GB69" s="134"/>
      <c r="GC69" s="134"/>
      <c r="GD69" s="134"/>
      <c r="GE69" s="134"/>
      <c r="GF69" s="134"/>
      <c r="GG69" s="134"/>
      <c r="GH69" s="134"/>
      <c r="GI69" s="134"/>
      <c r="GJ69" s="134"/>
      <c r="GK69" s="134"/>
      <c r="GL69" s="134"/>
      <c r="GM69" s="134"/>
      <c r="GN69" s="134"/>
      <c r="GO69" s="134"/>
      <c r="GP69" s="134"/>
      <c r="GQ69" s="134"/>
      <c r="GR69" s="134"/>
      <c r="GS69" s="134"/>
      <c r="GT69" s="134"/>
      <c r="GU69" s="134"/>
      <c r="GV69" s="134"/>
      <c r="GW69" s="134"/>
      <c r="GX69" s="134"/>
      <c r="GY69" s="134"/>
      <c r="GZ69" s="134"/>
      <c r="HA69" s="134"/>
      <c r="HB69" s="134"/>
      <c r="HC69" s="134"/>
      <c r="HD69" s="134"/>
      <c r="HE69" s="134"/>
      <c r="HF69" s="134"/>
      <c r="HG69" s="134"/>
      <c r="HH69" s="134"/>
      <c r="HI69" s="134"/>
      <c r="HJ69" s="134"/>
      <c r="HK69" s="134"/>
      <c r="HL69" s="134"/>
      <c r="HM69" s="134"/>
      <c r="HN69" s="134"/>
      <c r="HO69" s="134"/>
      <c r="HP69" s="134"/>
      <c r="HQ69" s="134"/>
      <c r="HR69" s="134"/>
      <c r="HS69" s="134"/>
      <c r="HT69" s="134"/>
      <c r="HU69" s="134"/>
      <c r="HV69" s="134"/>
      <c r="HW69" s="134"/>
      <c r="HX69" s="134"/>
      <c r="HY69" s="134"/>
      <c r="HZ69" s="134"/>
      <c r="IA69" s="134"/>
      <c r="IB69" s="134"/>
      <c r="IC69" s="134"/>
      <c r="ID69" s="134"/>
      <c r="IE69" s="134"/>
      <c r="IF69" s="134"/>
      <c r="IG69" s="134"/>
      <c r="IH69" s="134"/>
      <c r="II69" s="134"/>
      <c r="IJ69" s="134"/>
      <c r="IK69" s="134"/>
      <c r="IL69" s="134"/>
      <c r="IM69" s="134"/>
      <c r="IN69" s="134"/>
      <c r="IO69" s="134"/>
      <c r="IP69" s="134"/>
      <c r="IQ69" s="134"/>
      <c r="IR69" s="134"/>
      <c r="IS69" s="134"/>
      <c r="IT69" s="134"/>
      <c r="IU69" s="134"/>
      <c r="IV69" s="134"/>
      <c r="IW69" s="134"/>
      <c r="IX69" s="134"/>
      <c r="IY69" s="134"/>
      <c r="IZ69" s="134"/>
      <c r="JA69" s="134"/>
      <c r="JB69" s="134"/>
      <c r="JC69" s="134"/>
      <c r="JD69" s="134"/>
      <c r="JE69" s="134"/>
      <c r="JF69" s="134"/>
    </row>
    <row r="70" spans="1:266">
      <c r="A70" s="14"/>
      <c r="B70" s="333"/>
      <c r="C70" s="333"/>
      <c r="D70" s="333"/>
      <c r="E70" s="333"/>
      <c r="F70" s="333"/>
      <c r="G70" s="333"/>
      <c r="H70" s="333"/>
      <c r="I70" s="333"/>
      <c r="J70" s="333"/>
      <c r="K70" s="14"/>
      <c r="L70" s="14"/>
      <c r="M70" s="14"/>
      <c r="N70" s="14"/>
      <c r="O70" s="1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212"/>
      <c r="AR70" s="212"/>
      <c r="AS70" s="212"/>
      <c r="AT70" s="134"/>
      <c r="AU70" s="134"/>
      <c r="AV70" s="212"/>
      <c r="AW70" s="212"/>
      <c r="AX70" s="212"/>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c r="CS70" s="134"/>
      <c r="CT70" s="13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134"/>
      <c r="GB70" s="134"/>
      <c r="GC70" s="134"/>
      <c r="GD70" s="134"/>
      <c r="GE70" s="134"/>
      <c r="GF70" s="134"/>
      <c r="GG70" s="134"/>
      <c r="GH70" s="134"/>
      <c r="GI70" s="134"/>
      <c r="GJ70" s="134"/>
      <c r="GK70" s="134"/>
      <c r="GL70" s="134"/>
      <c r="GM70" s="134"/>
      <c r="GN70" s="134"/>
      <c r="GO70" s="134"/>
      <c r="GP70" s="134"/>
      <c r="GQ70" s="134"/>
      <c r="GR70" s="134"/>
      <c r="GS70" s="134"/>
      <c r="GT70" s="134"/>
      <c r="GU70" s="134"/>
      <c r="GV70" s="134"/>
      <c r="GW70" s="134"/>
      <c r="GX70" s="134"/>
      <c r="GY70" s="134"/>
      <c r="GZ70" s="134"/>
      <c r="HA70" s="134"/>
      <c r="HB70" s="134"/>
      <c r="HC70" s="134"/>
      <c r="HD70" s="134"/>
      <c r="HE70" s="134"/>
      <c r="HF70" s="134"/>
      <c r="HG70" s="134"/>
      <c r="HH70" s="134"/>
      <c r="HI70" s="134"/>
      <c r="HJ70" s="134"/>
      <c r="HK70" s="134"/>
      <c r="HL70" s="134"/>
      <c r="HM70" s="134"/>
      <c r="HN70" s="134"/>
      <c r="HO70" s="134"/>
      <c r="HP70" s="134"/>
      <c r="HQ70" s="134"/>
      <c r="HR70" s="134"/>
      <c r="HS70" s="134"/>
      <c r="HT70" s="134"/>
      <c r="HU70" s="134"/>
      <c r="HV70" s="134"/>
      <c r="HW70" s="134"/>
      <c r="HX70" s="134"/>
      <c r="HY70" s="134"/>
      <c r="HZ70" s="134"/>
      <c r="IA70" s="134"/>
      <c r="IB70" s="134"/>
      <c r="IC70" s="134"/>
      <c r="ID70" s="134"/>
      <c r="IE70" s="134"/>
      <c r="IF70" s="134"/>
      <c r="IG70" s="134"/>
      <c r="IH70" s="134"/>
      <c r="II70" s="134"/>
      <c r="IJ70" s="134"/>
      <c r="IK70" s="134"/>
      <c r="IL70" s="134"/>
      <c r="IM70" s="134"/>
      <c r="IN70" s="134"/>
      <c r="IO70" s="134"/>
      <c r="IP70" s="134"/>
      <c r="IQ70" s="134"/>
      <c r="IR70" s="134"/>
      <c r="IS70" s="134"/>
      <c r="IT70" s="134"/>
      <c r="IU70" s="134"/>
      <c r="IV70" s="134"/>
      <c r="IW70" s="134"/>
      <c r="IX70" s="134"/>
      <c r="IY70" s="134"/>
      <c r="IZ70" s="134"/>
      <c r="JA70" s="134"/>
      <c r="JB70" s="134"/>
      <c r="JC70" s="134"/>
      <c r="JD70" s="134"/>
      <c r="JE70" s="134"/>
      <c r="JF70" s="134"/>
    </row>
    <row r="71" spans="1:266">
      <c r="A71" s="14"/>
      <c r="B71" s="333"/>
      <c r="C71" s="333"/>
      <c r="D71" s="333"/>
      <c r="E71" s="333"/>
      <c r="F71" s="333"/>
      <c r="G71" s="333"/>
      <c r="H71" s="333"/>
      <c r="I71" s="333"/>
      <c r="J71" s="333"/>
      <c r="K71" s="14"/>
      <c r="L71" s="14"/>
      <c r="M71" s="14"/>
      <c r="N71" s="14"/>
      <c r="O71" s="1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212"/>
      <c r="AR71" s="212"/>
      <c r="AS71" s="212"/>
      <c r="AT71" s="134"/>
      <c r="AU71" s="134"/>
      <c r="AV71" s="212"/>
      <c r="AW71" s="212"/>
      <c r="AX71" s="212"/>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34"/>
      <c r="CM71" s="134"/>
      <c r="CN71" s="134"/>
      <c r="CO71" s="134"/>
      <c r="CP71" s="134"/>
      <c r="CQ71" s="134"/>
      <c r="CR71" s="134"/>
      <c r="CS71" s="134"/>
      <c r="CT71" s="134"/>
      <c r="CU71" s="134"/>
      <c r="CV71" s="134"/>
      <c r="CW71" s="134"/>
      <c r="CX71" s="134"/>
      <c r="CY71" s="134"/>
      <c r="CZ71" s="134"/>
      <c r="DA71" s="134"/>
      <c r="DB71" s="134"/>
      <c r="DC71" s="134"/>
      <c r="DD71" s="134"/>
      <c r="DE71" s="134"/>
      <c r="DF71" s="134"/>
      <c r="DG71" s="134"/>
      <c r="DH71" s="134"/>
      <c r="DI71" s="134"/>
      <c r="DJ71" s="134"/>
      <c r="DK71" s="134"/>
      <c r="DL71" s="134"/>
      <c r="DM71" s="134"/>
      <c r="DN71" s="134"/>
      <c r="DO71" s="134"/>
      <c r="DP71" s="134"/>
      <c r="DQ71" s="134"/>
      <c r="DR71" s="134"/>
      <c r="DS71" s="134"/>
      <c r="DT71" s="134"/>
      <c r="DU71" s="134"/>
      <c r="DV71" s="134"/>
      <c r="DW71" s="134"/>
      <c r="DX71" s="134"/>
      <c r="DY71" s="134"/>
      <c r="DZ71" s="134"/>
      <c r="EA71" s="134"/>
      <c r="EB71" s="134"/>
      <c r="EC71" s="134"/>
      <c r="ED71" s="134"/>
      <c r="EE71" s="134"/>
      <c r="EF71" s="134"/>
      <c r="EG71" s="134"/>
      <c r="EH71" s="134"/>
      <c r="EI71" s="134"/>
      <c r="EJ71" s="134"/>
      <c r="EK71" s="134"/>
      <c r="EL71" s="134"/>
      <c r="EM71" s="134"/>
      <c r="EN71" s="134"/>
      <c r="EO71" s="134"/>
      <c r="EP71" s="134"/>
      <c r="EQ71" s="134"/>
      <c r="ER71" s="134"/>
      <c r="ES71" s="134"/>
      <c r="ET71" s="134"/>
      <c r="EU71" s="134"/>
      <c r="EV71" s="134"/>
      <c r="EW71" s="134"/>
      <c r="EX71" s="134"/>
      <c r="EY71" s="134"/>
      <c r="EZ71" s="134"/>
      <c r="FA71" s="134"/>
      <c r="FB71" s="134"/>
      <c r="FC71" s="134"/>
      <c r="FD71" s="134"/>
      <c r="FE71" s="134"/>
      <c r="FF71" s="134"/>
      <c r="FG71" s="134"/>
      <c r="FH71" s="134"/>
      <c r="FI71" s="134"/>
      <c r="FJ71" s="134"/>
      <c r="FK71" s="134"/>
      <c r="FL71" s="134"/>
      <c r="FM71" s="134"/>
      <c r="FN71" s="134"/>
      <c r="FO71" s="134"/>
      <c r="FP71" s="134"/>
      <c r="FQ71" s="134"/>
      <c r="FR71" s="134"/>
      <c r="FS71" s="134"/>
      <c r="FT71" s="134"/>
      <c r="FU71" s="134"/>
      <c r="FV71" s="134"/>
      <c r="FW71" s="134"/>
      <c r="FX71" s="134"/>
      <c r="FY71" s="134"/>
      <c r="FZ71" s="134"/>
      <c r="GA71" s="134"/>
      <c r="GB71" s="134"/>
      <c r="GC71" s="134"/>
      <c r="GD71" s="134"/>
      <c r="GE71" s="134"/>
      <c r="GF71" s="134"/>
      <c r="GG71" s="134"/>
      <c r="GH71" s="134"/>
      <c r="GI71" s="134"/>
      <c r="GJ71" s="134"/>
      <c r="GK71" s="134"/>
      <c r="GL71" s="134"/>
      <c r="GM71" s="134"/>
      <c r="GN71" s="134"/>
      <c r="GO71" s="134"/>
      <c r="GP71" s="134"/>
      <c r="GQ71" s="134"/>
      <c r="GR71" s="134"/>
      <c r="GS71" s="134"/>
      <c r="GT71" s="134"/>
      <c r="GU71" s="134"/>
      <c r="GV71" s="134"/>
      <c r="GW71" s="134"/>
      <c r="GX71" s="134"/>
      <c r="GY71" s="134"/>
      <c r="GZ71" s="134"/>
      <c r="HA71" s="134"/>
      <c r="HB71" s="134"/>
      <c r="HC71" s="134"/>
      <c r="HD71" s="134"/>
      <c r="HE71" s="134"/>
      <c r="HF71" s="134"/>
      <c r="HG71" s="134"/>
      <c r="HH71" s="134"/>
      <c r="HI71" s="134"/>
      <c r="HJ71" s="134"/>
      <c r="HK71" s="134"/>
      <c r="HL71" s="134"/>
      <c r="HM71" s="134"/>
      <c r="HN71" s="134"/>
      <c r="HO71" s="134"/>
      <c r="HP71" s="134"/>
      <c r="HQ71" s="134"/>
      <c r="HR71" s="134"/>
      <c r="HS71" s="134"/>
      <c r="HT71" s="134"/>
      <c r="HU71" s="134"/>
      <c r="HV71" s="134"/>
      <c r="HW71" s="134"/>
      <c r="HX71" s="134"/>
      <c r="HY71" s="134"/>
      <c r="HZ71" s="134"/>
      <c r="IA71" s="134"/>
      <c r="IB71" s="134"/>
      <c r="IC71" s="134"/>
      <c r="ID71" s="134"/>
      <c r="IE71" s="134"/>
      <c r="IF71" s="134"/>
      <c r="IG71" s="134"/>
      <c r="IH71" s="134"/>
      <c r="II71" s="134"/>
      <c r="IJ71" s="134"/>
      <c r="IK71" s="134"/>
      <c r="IL71" s="134"/>
      <c r="IM71" s="134"/>
      <c r="IN71" s="134"/>
      <c r="IO71" s="134"/>
      <c r="IP71" s="134"/>
      <c r="IQ71" s="134"/>
      <c r="IR71" s="134"/>
      <c r="IS71" s="134"/>
      <c r="IT71" s="134"/>
      <c r="IU71" s="134"/>
      <c r="IV71" s="134"/>
      <c r="IW71" s="134"/>
      <c r="IX71" s="134"/>
      <c r="IY71" s="134"/>
      <c r="IZ71" s="134"/>
      <c r="JA71" s="134"/>
      <c r="JB71" s="134"/>
      <c r="JC71" s="134"/>
      <c r="JD71" s="134"/>
      <c r="JE71" s="134"/>
      <c r="JF71" s="134"/>
    </row>
    <row r="72" spans="1:266">
      <c r="A72" s="14"/>
      <c r="B72" s="333"/>
      <c r="C72" s="333"/>
      <c r="D72" s="333"/>
      <c r="E72" s="333"/>
      <c r="F72" s="333"/>
      <c r="G72" s="333"/>
      <c r="H72" s="333"/>
      <c r="I72" s="333"/>
      <c r="J72" s="333"/>
      <c r="K72" s="14"/>
      <c r="L72" s="14"/>
      <c r="M72" s="14"/>
      <c r="N72" s="14"/>
      <c r="O72" s="1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212"/>
      <c r="AR72" s="212"/>
      <c r="AS72" s="212"/>
      <c r="AT72" s="134"/>
      <c r="AU72" s="134"/>
      <c r="AV72" s="212"/>
      <c r="AW72" s="212"/>
      <c r="AX72" s="212"/>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c r="CS72" s="134"/>
      <c r="CT72" s="134"/>
      <c r="CU72" s="134"/>
      <c r="CV72" s="134"/>
      <c r="CW72" s="134"/>
      <c r="CX72" s="134"/>
      <c r="CY72" s="134"/>
      <c r="CZ72" s="134"/>
      <c r="DA72" s="134"/>
      <c r="DB72" s="134"/>
      <c r="DC72" s="134"/>
      <c r="DD72" s="134"/>
      <c r="DE72" s="134"/>
      <c r="DF72" s="134"/>
      <c r="DG72" s="134"/>
      <c r="DH72" s="134"/>
      <c r="DI72" s="134"/>
      <c r="DJ72" s="134"/>
      <c r="DK72" s="134"/>
      <c r="DL72" s="134"/>
      <c r="DM72" s="134"/>
      <c r="DN72" s="134"/>
      <c r="DO72" s="134"/>
      <c r="DP72" s="134"/>
      <c r="DQ72" s="134"/>
      <c r="DR72" s="134"/>
      <c r="DS72" s="134"/>
      <c r="DT72" s="134"/>
      <c r="DU72" s="134"/>
      <c r="DV72" s="134"/>
      <c r="DW72" s="134"/>
      <c r="DX72" s="134"/>
      <c r="DY72" s="134"/>
      <c r="DZ72" s="134"/>
      <c r="EA72" s="134"/>
      <c r="EB72" s="134"/>
      <c r="EC72" s="134"/>
      <c r="ED72" s="134"/>
      <c r="EE72" s="134"/>
      <c r="EF72" s="134"/>
      <c r="EG72" s="134"/>
      <c r="EH72" s="134"/>
      <c r="EI72" s="134"/>
      <c r="EJ72" s="134"/>
      <c r="EK72" s="134"/>
      <c r="EL72" s="134"/>
      <c r="EM72" s="134"/>
      <c r="EN72" s="134"/>
      <c r="EO72" s="134"/>
      <c r="EP72" s="134"/>
      <c r="EQ72" s="134"/>
      <c r="ER72" s="134"/>
      <c r="ES72" s="134"/>
      <c r="ET72" s="134"/>
      <c r="EU72" s="134"/>
      <c r="EV72" s="134"/>
      <c r="EW72" s="134"/>
      <c r="EX72" s="134"/>
      <c r="EY72" s="134"/>
      <c r="EZ72" s="134"/>
      <c r="FA72" s="134"/>
      <c r="FB72" s="134"/>
      <c r="FC72" s="134"/>
      <c r="FD72" s="134"/>
      <c r="FE72" s="134"/>
      <c r="FF72" s="134"/>
      <c r="FG72" s="134"/>
      <c r="FH72" s="134"/>
      <c r="FI72" s="134"/>
      <c r="FJ72" s="134"/>
      <c r="FK72" s="134"/>
      <c r="FL72" s="134"/>
      <c r="FM72" s="134"/>
      <c r="FN72" s="134"/>
      <c r="FO72" s="134"/>
      <c r="FP72" s="134"/>
      <c r="FQ72" s="134"/>
      <c r="FR72" s="134"/>
      <c r="FS72" s="134"/>
      <c r="FT72" s="134"/>
      <c r="FU72" s="134"/>
      <c r="FV72" s="134"/>
      <c r="FW72" s="134"/>
      <c r="FX72" s="134"/>
      <c r="FY72" s="134"/>
      <c r="FZ72" s="134"/>
      <c r="GA72" s="134"/>
      <c r="GB72" s="134"/>
      <c r="GC72" s="134"/>
      <c r="GD72" s="134"/>
      <c r="GE72" s="134"/>
      <c r="GF72" s="134"/>
      <c r="GG72" s="134"/>
      <c r="GH72" s="134"/>
      <c r="GI72" s="134"/>
      <c r="GJ72" s="134"/>
      <c r="GK72" s="134"/>
      <c r="GL72" s="134"/>
      <c r="GM72" s="134"/>
      <c r="GN72" s="134"/>
      <c r="GO72" s="134"/>
      <c r="GP72" s="134"/>
      <c r="GQ72" s="134"/>
      <c r="GR72" s="134"/>
      <c r="GS72" s="134"/>
      <c r="GT72" s="134"/>
      <c r="GU72" s="134"/>
      <c r="GV72" s="134"/>
      <c r="GW72" s="134"/>
      <c r="GX72" s="134"/>
      <c r="GY72" s="134"/>
      <c r="GZ72" s="134"/>
      <c r="HA72" s="134"/>
      <c r="HB72" s="134"/>
      <c r="HC72" s="134"/>
      <c r="HD72" s="134"/>
      <c r="HE72" s="134"/>
      <c r="HF72" s="134"/>
      <c r="HG72" s="134"/>
      <c r="HH72" s="134"/>
      <c r="HI72" s="134"/>
      <c r="HJ72" s="134"/>
      <c r="HK72" s="134"/>
      <c r="HL72" s="134"/>
      <c r="HM72" s="134"/>
      <c r="HN72" s="134"/>
      <c r="HO72" s="134"/>
      <c r="HP72" s="134"/>
      <c r="HQ72" s="134"/>
      <c r="HR72" s="134"/>
      <c r="HS72" s="134"/>
      <c r="HT72" s="134"/>
      <c r="HU72" s="134"/>
      <c r="HV72" s="134"/>
      <c r="HW72" s="134"/>
      <c r="HX72" s="134"/>
      <c r="HY72" s="134"/>
      <c r="HZ72" s="134"/>
      <c r="IA72" s="134"/>
      <c r="IB72" s="134"/>
      <c r="IC72" s="134"/>
      <c r="ID72" s="134"/>
      <c r="IE72" s="134"/>
      <c r="IF72" s="134"/>
      <c r="IG72" s="134"/>
      <c r="IH72" s="134"/>
      <c r="II72" s="134"/>
      <c r="IJ72" s="134"/>
      <c r="IK72" s="134"/>
      <c r="IL72" s="134"/>
      <c r="IM72" s="134"/>
      <c r="IN72" s="134"/>
      <c r="IO72" s="134"/>
      <c r="IP72" s="134"/>
      <c r="IQ72" s="134"/>
      <c r="IR72" s="134"/>
      <c r="IS72" s="134"/>
      <c r="IT72" s="134"/>
      <c r="IU72" s="134"/>
      <c r="IV72" s="134"/>
      <c r="IW72" s="134"/>
      <c r="IX72" s="134"/>
      <c r="IY72" s="134"/>
      <c r="IZ72" s="134"/>
      <c r="JA72" s="134"/>
      <c r="JB72" s="134"/>
      <c r="JC72" s="134"/>
      <c r="JD72" s="134"/>
      <c r="JE72" s="134"/>
      <c r="JF72" s="134"/>
    </row>
    <row r="73" spans="1:266">
      <c r="A73" s="14"/>
      <c r="B73" s="333"/>
      <c r="C73" s="333"/>
      <c r="D73" s="333"/>
      <c r="E73" s="333"/>
      <c r="F73" s="333"/>
      <c r="G73" s="333"/>
      <c r="H73" s="333"/>
      <c r="I73" s="333"/>
      <c r="J73" s="333"/>
      <c r="K73" s="14"/>
      <c r="L73" s="14"/>
      <c r="M73" s="14"/>
      <c r="N73" s="14"/>
      <c r="O73" s="1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212"/>
      <c r="AR73" s="212"/>
      <c r="AS73" s="212"/>
      <c r="AT73" s="134"/>
      <c r="AU73" s="134"/>
      <c r="AV73" s="212"/>
      <c r="AW73" s="214"/>
      <c r="AX73" s="212"/>
      <c r="AY73" s="134"/>
      <c r="AZ73" s="214"/>
      <c r="BA73" s="21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X73" s="134"/>
      <c r="BY73" s="134"/>
      <c r="BZ73" s="134"/>
      <c r="CA73" s="134"/>
      <c r="CB73" s="134"/>
      <c r="CC73" s="134"/>
      <c r="CD73" s="134"/>
      <c r="CE73" s="134"/>
      <c r="CF73" s="134"/>
      <c r="CG73" s="134"/>
      <c r="CH73" s="134"/>
      <c r="CI73" s="134"/>
      <c r="CJ73" s="134"/>
      <c r="CK73" s="134"/>
      <c r="CL73" s="134"/>
      <c r="CM73" s="134"/>
      <c r="CN73" s="134"/>
      <c r="CO73" s="134"/>
      <c r="CP73" s="134"/>
      <c r="CQ73" s="134"/>
      <c r="CR73" s="134"/>
      <c r="CS73" s="134"/>
      <c r="CT73" s="134"/>
      <c r="CU73" s="134"/>
      <c r="CV73" s="134"/>
      <c r="CW73" s="134"/>
      <c r="CX73" s="134"/>
      <c r="CY73" s="134"/>
      <c r="CZ73" s="134"/>
      <c r="DA73" s="134"/>
      <c r="DB73" s="134"/>
      <c r="DC73" s="134"/>
      <c r="DD73" s="134"/>
      <c r="DE73" s="134"/>
      <c r="DF73" s="134"/>
      <c r="DG73" s="134"/>
      <c r="DH73" s="134"/>
      <c r="DI73" s="134"/>
      <c r="DJ73" s="134"/>
      <c r="DK73" s="134"/>
      <c r="DL73" s="134"/>
      <c r="DM73" s="134"/>
      <c r="DN73" s="134"/>
      <c r="DO73" s="134"/>
      <c r="DP73" s="134"/>
      <c r="DQ73" s="134"/>
      <c r="DR73" s="134"/>
      <c r="DS73" s="134"/>
      <c r="DT73" s="134"/>
      <c r="DU73" s="134"/>
      <c r="DV73" s="134"/>
      <c r="DW73" s="134"/>
      <c r="DX73" s="134"/>
      <c r="DY73" s="134"/>
      <c r="DZ73" s="134"/>
      <c r="EA73" s="134"/>
      <c r="EB73" s="134"/>
      <c r="EC73" s="134"/>
      <c r="ED73" s="134"/>
      <c r="EE73" s="134"/>
      <c r="EF73" s="134"/>
      <c r="EG73" s="134"/>
      <c r="EH73" s="134"/>
      <c r="EI73" s="134"/>
      <c r="EJ73" s="134"/>
      <c r="EK73" s="134"/>
      <c r="EL73" s="134"/>
      <c r="EM73" s="134"/>
      <c r="EN73" s="134"/>
      <c r="EO73" s="134"/>
      <c r="EP73" s="134"/>
      <c r="EQ73" s="134"/>
      <c r="ER73" s="134"/>
      <c r="ES73" s="134"/>
      <c r="ET73" s="134"/>
      <c r="EU73" s="134"/>
      <c r="EV73" s="134"/>
      <c r="EW73" s="134"/>
      <c r="EX73" s="134"/>
      <c r="EY73" s="134"/>
      <c r="EZ73" s="134"/>
      <c r="FA73" s="134"/>
      <c r="FB73" s="134"/>
      <c r="FC73" s="134"/>
      <c r="FD73" s="134"/>
      <c r="FE73" s="134"/>
      <c r="FF73" s="134"/>
      <c r="FG73" s="134"/>
      <c r="FH73" s="134"/>
      <c r="FI73" s="134"/>
      <c r="FJ73" s="134"/>
      <c r="FK73" s="134"/>
      <c r="FL73" s="134"/>
      <c r="FM73" s="134"/>
      <c r="FN73" s="134"/>
      <c r="FO73" s="134"/>
      <c r="FP73" s="134"/>
      <c r="FQ73" s="134"/>
      <c r="FR73" s="134"/>
      <c r="FS73" s="134"/>
      <c r="FT73" s="134"/>
      <c r="FU73" s="134"/>
      <c r="FV73" s="134"/>
      <c r="FW73" s="134"/>
      <c r="FX73" s="134"/>
      <c r="FY73" s="134"/>
      <c r="FZ73" s="134"/>
      <c r="GA73" s="134"/>
      <c r="GB73" s="134"/>
      <c r="GC73" s="134"/>
      <c r="GD73" s="134"/>
      <c r="GE73" s="134"/>
      <c r="GF73" s="134"/>
      <c r="GG73" s="134"/>
      <c r="GH73" s="134"/>
      <c r="GI73" s="134"/>
      <c r="GJ73" s="134"/>
      <c r="GK73" s="134"/>
      <c r="GL73" s="134"/>
      <c r="GM73" s="134"/>
      <c r="GN73" s="134"/>
      <c r="GO73" s="134"/>
      <c r="GP73" s="134"/>
      <c r="GQ73" s="134"/>
      <c r="GR73" s="134"/>
      <c r="GS73" s="134"/>
      <c r="GT73" s="134"/>
      <c r="GU73" s="134"/>
      <c r="GV73" s="134"/>
      <c r="GW73" s="134"/>
      <c r="GX73" s="134"/>
      <c r="GY73" s="134"/>
      <c r="GZ73" s="134"/>
      <c r="HA73" s="134"/>
      <c r="HB73" s="134"/>
      <c r="HC73" s="134"/>
      <c r="HD73" s="134"/>
      <c r="HE73" s="134"/>
      <c r="HF73" s="134"/>
      <c r="HG73" s="134"/>
      <c r="HH73" s="134"/>
      <c r="HI73" s="134"/>
      <c r="HJ73" s="134"/>
      <c r="HK73" s="134"/>
      <c r="HL73" s="134"/>
      <c r="HM73" s="134"/>
      <c r="HN73" s="134"/>
      <c r="HO73" s="134"/>
      <c r="HP73" s="134"/>
      <c r="HQ73" s="134"/>
      <c r="HR73" s="134"/>
      <c r="HS73" s="134"/>
      <c r="HT73" s="134"/>
      <c r="HU73" s="134"/>
      <c r="HV73" s="134"/>
      <c r="HW73" s="134"/>
      <c r="HX73" s="134"/>
      <c r="HY73" s="134"/>
      <c r="HZ73" s="134"/>
      <c r="IA73" s="134"/>
      <c r="IB73" s="134"/>
      <c r="IC73" s="134"/>
      <c r="ID73" s="134"/>
      <c r="IE73" s="134"/>
      <c r="IF73" s="134"/>
      <c r="IG73" s="134"/>
      <c r="IH73" s="134"/>
      <c r="II73" s="134"/>
      <c r="IJ73" s="134"/>
      <c r="IK73" s="134"/>
      <c r="IL73" s="134"/>
      <c r="IM73" s="134"/>
      <c r="IN73" s="134"/>
      <c r="IO73" s="134"/>
      <c r="IP73" s="134"/>
      <c r="IQ73" s="134"/>
      <c r="IR73" s="134"/>
      <c r="IS73" s="134"/>
      <c r="IT73" s="134"/>
      <c r="IU73" s="134"/>
      <c r="IV73" s="134"/>
      <c r="IW73" s="134"/>
      <c r="IX73" s="134"/>
      <c r="IY73" s="134"/>
      <c r="IZ73" s="134"/>
      <c r="JA73" s="134"/>
      <c r="JB73" s="134"/>
      <c r="JC73" s="134"/>
      <c r="JD73" s="134"/>
      <c r="JE73" s="134"/>
      <c r="JF73" s="134"/>
    </row>
    <row r="74" spans="1:266">
      <c r="B74" s="14"/>
      <c r="C74" s="14"/>
      <c r="D74" s="14"/>
      <c r="E74" s="14"/>
      <c r="F74" s="14"/>
      <c r="G74" s="14"/>
      <c r="H74" s="14"/>
      <c r="I74" s="14"/>
      <c r="J74" s="14"/>
      <c r="K74" s="14"/>
      <c r="L74" s="14"/>
      <c r="M74" s="14"/>
      <c r="N74" s="14"/>
      <c r="O74" s="1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212"/>
      <c r="AR74" s="212"/>
      <c r="AS74" s="212"/>
      <c r="AT74" s="134"/>
      <c r="AU74" s="134"/>
      <c r="AV74" s="212"/>
      <c r="AW74" s="214"/>
      <c r="AX74" s="212"/>
      <c r="AY74" s="134"/>
      <c r="AZ74" s="214"/>
      <c r="BA74" s="21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34"/>
      <c r="CH74" s="134"/>
      <c r="CI74" s="134"/>
      <c r="CJ74" s="134"/>
      <c r="CK74" s="134"/>
      <c r="CL74" s="134"/>
      <c r="CM74" s="134"/>
      <c r="CN74" s="134"/>
      <c r="CO74" s="134"/>
      <c r="CP74" s="134"/>
      <c r="CQ74" s="134"/>
      <c r="CR74" s="134"/>
      <c r="CS74" s="134"/>
      <c r="CT74" s="134"/>
      <c r="CU74" s="134"/>
      <c r="CV74" s="134"/>
      <c r="CW74" s="134"/>
      <c r="CX74" s="134"/>
      <c r="CY74" s="134"/>
      <c r="CZ74" s="134"/>
      <c r="DA74" s="134"/>
      <c r="DB74" s="134"/>
      <c r="DC74" s="134"/>
      <c r="DD74" s="134"/>
      <c r="DE74" s="134"/>
      <c r="DF74" s="134"/>
      <c r="DG74" s="134"/>
      <c r="DH74" s="134"/>
      <c r="DI74" s="134"/>
      <c r="DJ74" s="134"/>
      <c r="DK74" s="134"/>
      <c r="DL74" s="134"/>
      <c r="DM74" s="134"/>
      <c r="DN74" s="134"/>
      <c r="DO74" s="134"/>
      <c r="DP74" s="134"/>
      <c r="DQ74" s="134"/>
      <c r="DR74" s="134"/>
      <c r="DS74" s="134"/>
      <c r="DT74" s="134"/>
      <c r="DU74" s="134"/>
      <c r="DV74" s="134"/>
      <c r="DW74" s="134"/>
      <c r="DX74" s="134"/>
      <c r="DY74" s="134"/>
      <c r="DZ74" s="134"/>
      <c r="EA74" s="134"/>
      <c r="EB74" s="134"/>
      <c r="EC74" s="134"/>
      <c r="ED74" s="134"/>
      <c r="EE74" s="134"/>
      <c r="EF74" s="134"/>
      <c r="EG74" s="134"/>
      <c r="EH74" s="134"/>
      <c r="EI74" s="134"/>
      <c r="EJ74" s="134"/>
      <c r="EK74" s="134"/>
      <c r="EL74" s="134"/>
      <c r="EM74" s="134"/>
      <c r="EN74" s="134"/>
      <c r="EO74" s="134"/>
      <c r="EP74" s="134"/>
      <c r="EQ74" s="134"/>
      <c r="ER74" s="134"/>
      <c r="ES74" s="134"/>
      <c r="ET74" s="134"/>
      <c r="EU74" s="134"/>
      <c r="EV74" s="134"/>
      <c r="EW74" s="134"/>
      <c r="EX74" s="134"/>
      <c r="EY74" s="134"/>
      <c r="EZ74" s="134"/>
      <c r="FA74" s="134"/>
      <c r="FB74" s="134"/>
      <c r="FC74" s="134"/>
      <c r="FD74" s="134"/>
      <c r="FE74" s="134"/>
      <c r="FF74" s="134"/>
      <c r="FG74" s="134"/>
      <c r="FH74" s="134"/>
      <c r="FI74" s="134"/>
      <c r="FJ74" s="134"/>
      <c r="FK74" s="134"/>
      <c r="FL74" s="134"/>
      <c r="FM74" s="134"/>
      <c r="FN74" s="134"/>
      <c r="FO74" s="134"/>
      <c r="FP74" s="134"/>
      <c r="FQ74" s="134"/>
      <c r="FR74" s="134"/>
      <c r="FS74" s="134"/>
      <c r="FT74" s="134"/>
      <c r="FU74" s="134"/>
      <c r="FV74" s="134"/>
      <c r="FW74" s="134"/>
      <c r="FX74" s="134"/>
      <c r="FY74" s="134"/>
      <c r="FZ74" s="134"/>
      <c r="GA74" s="134"/>
      <c r="GB74" s="134"/>
      <c r="GC74" s="134"/>
      <c r="GD74" s="134"/>
      <c r="GE74" s="134"/>
      <c r="GF74" s="134"/>
      <c r="GG74" s="134"/>
      <c r="GH74" s="134"/>
      <c r="GI74" s="134"/>
      <c r="GJ74" s="134"/>
      <c r="GK74" s="134"/>
      <c r="GL74" s="134"/>
      <c r="GM74" s="134"/>
      <c r="GN74" s="134"/>
      <c r="GO74" s="134"/>
      <c r="GP74" s="134"/>
      <c r="GQ74" s="134"/>
      <c r="GR74" s="134"/>
      <c r="GS74" s="134"/>
      <c r="GT74" s="134"/>
      <c r="GU74" s="134"/>
      <c r="GV74" s="134"/>
      <c r="GW74" s="134"/>
      <c r="GX74" s="134"/>
      <c r="GY74" s="134"/>
      <c r="GZ74" s="134"/>
      <c r="HA74" s="134"/>
      <c r="HB74" s="134"/>
      <c r="HC74" s="134"/>
      <c r="HD74" s="134"/>
      <c r="HE74" s="134"/>
      <c r="HF74" s="134"/>
      <c r="HG74" s="134"/>
      <c r="HH74" s="134"/>
      <c r="HI74" s="134"/>
      <c r="HJ74" s="134"/>
      <c r="HK74" s="134"/>
      <c r="HL74" s="134"/>
      <c r="HM74" s="134"/>
      <c r="HN74" s="134"/>
      <c r="HO74" s="134"/>
      <c r="HP74" s="134"/>
      <c r="HQ74" s="134"/>
      <c r="HR74" s="134"/>
      <c r="HS74" s="134"/>
      <c r="HT74" s="134"/>
      <c r="HU74" s="134"/>
      <c r="HV74" s="134"/>
      <c r="HW74" s="134"/>
      <c r="HX74" s="134"/>
      <c r="HY74" s="134"/>
      <c r="HZ74" s="134"/>
      <c r="IA74" s="134"/>
      <c r="IB74" s="134"/>
      <c r="IC74" s="134"/>
      <c r="ID74" s="134"/>
      <c r="IE74" s="134"/>
      <c r="IF74" s="134"/>
      <c r="IG74" s="134"/>
      <c r="IH74" s="134"/>
      <c r="II74" s="134"/>
      <c r="IJ74" s="134"/>
      <c r="IK74" s="134"/>
      <c r="IL74" s="134"/>
      <c r="IM74" s="134"/>
      <c r="IN74" s="134"/>
      <c r="IO74" s="134"/>
      <c r="IP74" s="134"/>
      <c r="IQ74" s="134"/>
      <c r="IR74" s="134"/>
      <c r="IS74" s="134"/>
      <c r="IT74" s="134"/>
      <c r="IU74" s="134"/>
      <c r="IV74" s="134"/>
      <c r="IW74" s="134"/>
      <c r="IX74" s="134"/>
      <c r="IY74" s="134"/>
      <c r="IZ74" s="134"/>
      <c r="JA74" s="134"/>
      <c r="JB74" s="134"/>
      <c r="JC74" s="134"/>
      <c r="JD74" s="134"/>
      <c r="JE74" s="134"/>
      <c r="JF74" s="134"/>
    </row>
    <row r="75" spans="1:266">
      <c r="B75" s="14"/>
      <c r="C75" s="14"/>
      <c r="D75" s="14"/>
      <c r="E75" s="14"/>
      <c r="F75" s="14"/>
      <c r="G75" s="14"/>
      <c r="H75" s="14"/>
      <c r="I75" s="14"/>
      <c r="J75" s="14"/>
      <c r="K75" s="14"/>
      <c r="L75" s="14"/>
      <c r="M75" s="14"/>
      <c r="N75" s="14"/>
      <c r="O75" s="1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212"/>
      <c r="AR75" s="212"/>
      <c r="AS75" s="212"/>
      <c r="AT75" s="134"/>
      <c r="AU75" s="134"/>
      <c r="AV75" s="212"/>
      <c r="AW75" s="214"/>
      <c r="AX75" s="212"/>
      <c r="AY75" s="134"/>
      <c r="AZ75" s="214"/>
      <c r="BA75" s="214"/>
      <c r="BB75" s="134"/>
      <c r="BC75" s="134"/>
      <c r="BD75" s="134"/>
      <c r="BE75" s="134"/>
      <c r="BF75" s="134"/>
      <c r="BG75" s="134"/>
      <c r="BH75" s="134"/>
      <c r="BI75" s="134"/>
      <c r="BJ75" s="134"/>
      <c r="BK75" s="134"/>
      <c r="BL75" s="134"/>
      <c r="BM75" s="134"/>
      <c r="BN75" s="134"/>
      <c r="BO75" s="134"/>
      <c r="BP75" s="134"/>
      <c r="BQ75" s="134"/>
      <c r="BR75" s="134"/>
      <c r="BS75" s="134"/>
      <c r="BT75" s="134"/>
      <c r="BU75" s="134"/>
      <c r="BV75" s="134"/>
      <c r="BW75" s="134"/>
      <c r="BX75" s="134"/>
      <c r="BY75" s="134"/>
      <c r="BZ75" s="134"/>
      <c r="CA75" s="134"/>
      <c r="CB75" s="134"/>
      <c r="CC75" s="134"/>
      <c r="CD75" s="134"/>
      <c r="CE75" s="134"/>
      <c r="CF75" s="134"/>
      <c r="CG75" s="134"/>
      <c r="CH75" s="134"/>
      <c r="CI75" s="134"/>
      <c r="CJ75" s="134"/>
      <c r="CK75" s="134"/>
      <c r="CL75" s="134"/>
      <c r="CM75" s="134"/>
      <c r="CN75" s="134"/>
      <c r="CO75" s="134"/>
      <c r="CP75" s="134"/>
      <c r="CQ75" s="134"/>
      <c r="CR75" s="134"/>
      <c r="CS75" s="134"/>
      <c r="CT75" s="134"/>
      <c r="CU75" s="134"/>
      <c r="CV75" s="134"/>
      <c r="CW75" s="134"/>
      <c r="CX75" s="134"/>
      <c r="CY75" s="134"/>
      <c r="CZ75" s="134"/>
      <c r="DA75" s="134"/>
      <c r="DB75" s="134"/>
      <c r="DC75" s="134"/>
      <c r="DD75" s="134"/>
      <c r="DE75" s="134"/>
      <c r="DF75" s="134"/>
      <c r="DG75" s="134"/>
      <c r="DH75" s="134"/>
      <c r="DI75" s="134"/>
      <c r="DJ75" s="134"/>
      <c r="DK75" s="134"/>
      <c r="DL75" s="134"/>
      <c r="DM75" s="134"/>
      <c r="DN75" s="134"/>
      <c r="DO75" s="134"/>
      <c r="DP75" s="134"/>
      <c r="DQ75" s="134"/>
      <c r="DR75" s="134"/>
      <c r="DS75" s="134"/>
      <c r="DT75" s="134"/>
      <c r="DU75" s="134"/>
      <c r="DV75" s="134"/>
      <c r="DW75" s="134"/>
      <c r="DX75" s="134"/>
      <c r="DY75" s="134"/>
      <c r="DZ75" s="134"/>
      <c r="EA75" s="134"/>
      <c r="EB75" s="134"/>
      <c r="EC75" s="134"/>
      <c r="ED75" s="134"/>
      <c r="EE75" s="134"/>
      <c r="EF75" s="134"/>
      <c r="EG75" s="134"/>
      <c r="EH75" s="134"/>
      <c r="EI75" s="134"/>
      <c r="EJ75" s="134"/>
      <c r="EK75" s="134"/>
      <c r="EL75" s="134"/>
      <c r="EM75" s="134"/>
      <c r="EN75" s="134"/>
      <c r="EO75" s="134"/>
      <c r="EP75" s="134"/>
      <c r="EQ75" s="134"/>
      <c r="ER75" s="134"/>
      <c r="ES75" s="134"/>
      <c r="ET75" s="134"/>
      <c r="EU75" s="134"/>
      <c r="EV75" s="134"/>
      <c r="EW75" s="134"/>
      <c r="EX75" s="134"/>
      <c r="EY75" s="134"/>
      <c r="EZ75" s="134"/>
      <c r="FA75" s="134"/>
      <c r="FB75" s="134"/>
      <c r="FC75" s="134"/>
      <c r="FD75" s="134"/>
      <c r="FE75" s="134"/>
      <c r="FF75" s="134"/>
      <c r="FG75" s="134"/>
      <c r="FH75" s="134"/>
      <c r="FI75" s="134"/>
      <c r="FJ75" s="134"/>
      <c r="FK75" s="134"/>
      <c r="FL75" s="134"/>
      <c r="FM75" s="134"/>
      <c r="FN75" s="134"/>
      <c r="FO75" s="134"/>
      <c r="FP75" s="134"/>
      <c r="FQ75" s="134"/>
      <c r="FR75" s="134"/>
      <c r="FS75" s="134"/>
      <c r="FT75" s="134"/>
      <c r="FU75" s="134"/>
      <c r="FV75" s="134"/>
      <c r="FW75" s="134"/>
      <c r="FX75" s="134"/>
      <c r="FY75" s="134"/>
      <c r="FZ75" s="134"/>
      <c r="GA75" s="134"/>
      <c r="GB75" s="134"/>
      <c r="GC75" s="134"/>
      <c r="GD75" s="134"/>
      <c r="GE75" s="134"/>
      <c r="GF75" s="134"/>
      <c r="GG75" s="134"/>
      <c r="GH75" s="134"/>
      <c r="GI75" s="134"/>
      <c r="GJ75" s="134"/>
      <c r="GK75" s="134"/>
      <c r="GL75" s="134"/>
      <c r="GM75" s="134"/>
      <c r="GN75" s="134"/>
      <c r="GO75" s="134"/>
      <c r="GP75" s="134"/>
      <c r="GQ75" s="134"/>
      <c r="GR75" s="134"/>
      <c r="GS75" s="134"/>
      <c r="GT75" s="134"/>
      <c r="GU75" s="134"/>
      <c r="GV75" s="134"/>
      <c r="GW75" s="134"/>
      <c r="GX75" s="134"/>
      <c r="GY75" s="134"/>
      <c r="GZ75" s="134"/>
      <c r="HA75" s="134"/>
      <c r="HB75" s="134"/>
      <c r="HC75" s="134"/>
      <c r="HD75" s="134"/>
      <c r="HE75" s="134"/>
      <c r="HF75" s="134"/>
      <c r="HG75" s="134"/>
      <c r="HH75" s="134"/>
      <c r="HI75" s="134"/>
      <c r="HJ75" s="134"/>
      <c r="HK75" s="134"/>
      <c r="HL75" s="134"/>
      <c r="HM75" s="134"/>
      <c r="HN75" s="134"/>
      <c r="HO75" s="134"/>
      <c r="HP75" s="134"/>
      <c r="HQ75" s="134"/>
      <c r="HR75" s="134"/>
      <c r="HS75" s="134"/>
      <c r="HT75" s="134"/>
      <c r="HU75" s="134"/>
      <c r="HV75" s="134"/>
      <c r="HW75" s="134"/>
      <c r="HX75" s="134"/>
      <c r="HY75" s="134"/>
      <c r="HZ75" s="134"/>
      <c r="IA75" s="134"/>
      <c r="IB75" s="134"/>
      <c r="IC75" s="134"/>
      <c r="ID75" s="134"/>
      <c r="IE75" s="134"/>
      <c r="IF75" s="134"/>
      <c r="IG75" s="134"/>
      <c r="IH75" s="134"/>
      <c r="II75" s="134"/>
      <c r="IJ75" s="134"/>
      <c r="IK75" s="134"/>
      <c r="IL75" s="134"/>
      <c r="IM75" s="134"/>
      <c r="IN75" s="134"/>
      <c r="IO75" s="134"/>
      <c r="IP75" s="134"/>
      <c r="IQ75" s="134"/>
      <c r="IR75" s="134"/>
      <c r="IS75" s="134"/>
      <c r="IT75" s="134"/>
      <c r="IU75" s="134"/>
      <c r="IV75" s="134"/>
      <c r="IW75" s="134"/>
      <c r="IX75" s="134"/>
      <c r="IY75" s="134"/>
      <c r="IZ75" s="134"/>
      <c r="JA75" s="134"/>
      <c r="JB75" s="134"/>
      <c r="JC75" s="134"/>
      <c r="JD75" s="134"/>
      <c r="JE75" s="134"/>
      <c r="JF75" s="134"/>
    </row>
    <row r="76" spans="1:266">
      <c r="B76" s="14"/>
      <c r="C76" s="14"/>
      <c r="D76" s="14"/>
      <c r="E76" s="14"/>
      <c r="F76" s="14"/>
      <c r="G76" s="14"/>
      <c r="H76" s="14"/>
      <c r="I76" s="14"/>
      <c r="J76" s="14"/>
      <c r="K76" s="14"/>
      <c r="L76" s="14"/>
      <c r="M76" s="14"/>
      <c r="N76" s="14"/>
      <c r="O76" s="1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212"/>
      <c r="AR76" s="212"/>
      <c r="AS76" s="212"/>
      <c r="AT76" s="134"/>
      <c r="AU76" s="134"/>
      <c r="AV76" s="212"/>
      <c r="AW76" s="214"/>
      <c r="AX76" s="212"/>
      <c r="AY76" s="134"/>
      <c r="AZ76" s="134"/>
      <c r="BA76" s="214"/>
      <c r="BB76" s="134"/>
      <c r="BC76" s="134"/>
      <c r="BD76" s="134"/>
      <c r="BE76" s="134"/>
      <c r="BF76" s="134"/>
      <c r="BG76" s="134"/>
      <c r="BH76" s="134"/>
      <c r="BI76" s="134"/>
      <c r="BJ76" s="134"/>
      <c r="BK76" s="134"/>
      <c r="BL76" s="134"/>
      <c r="BM76" s="134"/>
      <c r="BN76" s="134"/>
      <c r="BO76" s="134"/>
      <c r="BP76" s="134"/>
      <c r="BQ76" s="134"/>
      <c r="BR76" s="134"/>
      <c r="BS76" s="134"/>
      <c r="BT76" s="134"/>
      <c r="BU76" s="134"/>
      <c r="BV76" s="134"/>
      <c r="BW76" s="134"/>
      <c r="BX76" s="134"/>
      <c r="BY76" s="134"/>
      <c r="BZ76" s="134"/>
      <c r="CA76" s="134"/>
      <c r="CB76" s="134"/>
      <c r="CC76" s="134"/>
      <c r="CD76" s="134"/>
      <c r="CE76" s="134"/>
      <c r="CF76" s="134"/>
      <c r="CG76" s="134"/>
      <c r="CH76" s="134"/>
      <c r="CI76" s="134"/>
      <c r="CJ76" s="134"/>
      <c r="CK76" s="134"/>
      <c r="CL76" s="134"/>
      <c r="CM76" s="134"/>
      <c r="CN76" s="134"/>
      <c r="CO76" s="134"/>
      <c r="CP76" s="134"/>
      <c r="CQ76" s="134"/>
      <c r="CR76" s="134"/>
      <c r="CS76" s="134"/>
      <c r="CT76" s="134"/>
      <c r="CU76" s="134"/>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134"/>
      <c r="GB76" s="134"/>
      <c r="GC76" s="134"/>
      <c r="GD76" s="134"/>
      <c r="GE76" s="134"/>
      <c r="GF76" s="134"/>
      <c r="GG76" s="134"/>
      <c r="GH76" s="134"/>
      <c r="GI76" s="134"/>
      <c r="GJ76" s="134"/>
      <c r="GK76" s="134"/>
      <c r="GL76" s="134"/>
      <c r="GM76" s="134"/>
      <c r="GN76" s="134"/>
      <c r="GO76" s="134"/>
      <c r="GP76" s="134"/>
      <c r="GQ76" s="134"/>
      <c r="GR76" s="134"/>
      <c r="GS76" s="134"/>
      <c r="GT76" s="134"/>
      <c r="GU76" s="134"/>
      <c r="GV76" s="134"/>
      <c r="GW76" s="134"/>
      <c r="GX76" s="134"/>
      <c r="GY76" s="134"/>
      <c r="GZ76" s="134"/>
      <c r="HA76" s="134"/>
      <c r="HB76" s="134"/>
      <c r="HC76" s="134"/>
      <c r="HD76" s="134"/>
      <c r="HE76" s="134"/>
      <c r="HF76" s="134"/>
      <c r="HG76" s="134"/>
      <c r="HH76" s="134"/>
      <c r="HI76" s="134"/>
      <c r="HJ76" s="134"/>
      <c r="HK76" s="134"/>
      <c r="HL76" s="134"/>
      <c r="HM76" s="134"/>
      <c r="HN76" s="134"/>
      <c r="HO76" s="134"/>
      <c r="HP76" s="134"/>
      <c r="HQ76" s="134"/>
      <c r="HR76" s="134"/>
      <c r="HS76" s="134"/>
      <c r="HT76" s="134"/>
      <c r="HU76" s="134"/>
      <c r="HV76" s="134"/>
      <c r="HW76" s="134"/>
      <c r="HX76" s="134"/>
      <c r="HY76" s="134"/>
      <c r="HZ76" s="134"/>
      <c r="IA76" s="134"/>
      <c r="IB76" s="134"/>
      <c r="IC76" s="134"/>
      <c r="ID76" s="134"/>
      <c r="IE76" s="134"/>
      <c r="IF76" s="134"/>
      <c r="IG76" s="134"/>
      <c r="IH76" s="134"/>
      <c r="II76" s="134"/>
      <c r="IJ76" s="134"/>
      <c r="IK76" s="134"/>
      <c r="IL76" s="134"/>
      <c r="IM76" s="134"/>
      <c r="IN76" s="134"/>
      <c r="IO76" s="134"/>
      <c r="IP76" s="134"/>
      <c r="IQ76" s="134"/>
      <c r="IR76" s="134"/>
      <c r="IS76" s="134"/>
      <c r="IT76" s="134"/>
      <c r="IU76" s="134"/>
      <c r="IV76" s="134"/>
      <c r="IW76" s="134"/>
      <c r="IX76" s="134"/>
      <c r="IY76" s="134"/>
      <c r="IZ76" s="134"/>
      <c r="JA76" s="134"/>
      <c r="JB76" s="134"/>
      <c r="JC76" s="134"/>
      <c r="JD76" s="134"/>
      <c r="JE76" s="134"/>
      <c r="JF76" s="134"/>
    </row>
    <row r="77" spans="1:266" ht="17.25">
      <c r="B77" s="94"/>
      <c r="C77" s="94"/>
      <c r="D77" s="95"/>
      <c r="E77" s="14"/>
      <c r="F77" s="14"/>
      <c r="G77" s="14"/>
      <c r="H77" s="14"/>
      <c r="I77" s="14"/>
      <c r="J77" s="14"/>
      <c r="K77" s="14"/>
      <c r="O77" s="1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212"/>
      <c r="AR77" s="212"/>
      <c r="AS77" s="212"/>
      <c r="AT77" s="134"/>
      <c r="AU77" s="134"/>
      <c r="AV77" s="212"/>
      <c r="AW77" s="212"/>
      <c r="AX77" s="212"/>
      <c r="AY77" s="134"/>
      <c r="AZ77" s="134"/>
      <c r="BA77" s="134"/>
      <c r="BB77" s="134"/>
      <c r="BC77" s="134"/>
      <c r="BD77" s="134"/>
      <c r="BE77" s="134"/>
      <c r="BF77" s="134"/>
      <c r="BG77" s="134"/>
      <c r="BH77" s="134"/>
      <c r="BI77" s="134"/>
      <c r="BJ77" s="134"/>
      <c r="BK77" s="134"/>
      <c r="BL77" s="134"/>
      <c r="BM77" s="134"/>
      <c r="BN77" s="134"/>
      <c r="BO77" s="134"/>
      <c r="BP77" s="134"/>
      <c r="BQ77" s="134"/>
      <c r="BR77" s="134"/>
      <c r="BS77" s="134"/>
      <c r="BT77" s="134"/>
      <c r="BU77" s="134"/>
      <c r="BV77" s="134"/>
      <c r="BW77" s="134"/>
      <c r="BX77" s="134"/>
      <c r="BY77" s="134"/>
      <c r="BZ77" s="134"/>
      <c r="CA77" s="134"/>
      <c r="CB77" s="134"/>
      <c r="CC77" s="134"/>
      <c r="CD77" s="134"/>
      <c r="CE77" s="134"/>
      <c r="CF77" s="134"/>
      <c r="CG77" s="134"/>
      <c r="CH77" s="134"/>
      <c r="CI77" s="134"/>
      <c r="CJ77" s="134"/>
      <c r="CK77" s="134"/>
      <c r="CL77" s="134"/>
      <c r="CM77" s="134"/>
      <c r="CN77" s="134"/>
      <c r="CO77" s="134"/>
      <c r="CP77" s="134"/>
      <c r="CQ77" s="134"/>
      <c r="CR77" s="134"/>
      <c r="CS77" s="134"/>
      <c r="CT77" s="13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134"/>
      <c r="GB77" s="134"/>
      <c r="GC77" s="134"/>
      <c r="GD77" s="134"/>
      <c r="GE77" s="134"/>
      <c r="GF77" s="134"/>
      <c r="GG77" s="134"/>
      <c r="GH77" s="134"/>
      <c r="GI77" s="134"/>
      <c r="GJ77" s="134"/>
      <c r="GK77" s="134"/>
      <c r="GL77" s="134"/>
      <c r="GM77" s="134"/>
      <c r="GN77" s="134"/>
      <c r="GO77" s="134"/>
      <c r="GP77" s="134"/>
      <c r="GQ77" s="134"/>
      <c r="GR77" s="134"/>
      <c r="GS77" s="134"/>
      <c r="GT77" s="134"/>
      <c r="GU77" s="134"/>
      <c r="GV77" s="134"/>
      <c r="GW77" s="134"/>
      <c r="GX77" s="134"/>
      <c r="GY77" s="134"/>
      <c r="GZ77" s="134"/>
      <c r="HA77" s="134"/>
      <c r="HB77" s="134"/>
      <c r="HC77" s="134"/>
      <c r="HD77" s="134"/>
      <c r="HE77" s="134"/>
      <c r="HF77" s="134"/>
      <c r="HG77" s="134"/>
      <c r="HH77" s="134"/>
      <c r="HI77" s="134"/>
      <c r="HJ77" s="134"/>
      <c r="HK77" s="134"/>
      <c r="HL77" s="134"/>
      <c r="HM77" s="134"/>
      <c r="HN77" s="134"/>
      <c r="HO77" s="134"/>
      <c r="HP77" s="134"/>
      <c r="HQ77" s="134"/>
      <c r="HR77" s="134"/>
      <c r="HS77" s="134"/>
      <c r="HT77" s="134"/>
      <c r="HU77" s="134"/>
      <c r="HV77" s="134"/>
      <c r="HW77" s="134"/>
      <c r="HX77" s="134"/>
      <c r="HY77" s="134"/>
      <c r="HZ77" s="134"/>
      <c r="IA77" s="134"/>
      <c r="IB77" s="134"/>
      <c r="IC77" s="134"/>
      <c r="ID77" s="134"/>
      <c r="IE77" s="134"/>
      <c r="IF77" s="134"/>
      <c r="IG77" s="134"/>
      <c r="IH77" s="134"/>
      <c r="II77" s="134"/>
      <c r="IJ77" s="134"/>
      <c r="IK77" s="134"/>
      <c r="IL77" s="134"/>
      <c r="IM77" s="134"/>
      <c r="IN77" s="134"/>
      <c r="IO77" s="134"/>
      <c r="IP77" s="134"/>
      <c r="IQ77" s="134"/>
      <c r="IR77" s="134"/>
      <c r="IS77" s="134"/>
      <c r="IT77" s="134"/>
      <c r="IU77" s="134"/>
      <c r="IV77" s="134"/>
      <c r="IW77" s="134"/>
      <c r="IX77" s="134"/>
      <c r="IY77" s="134"/>
      <c r="IZ77" s="134"/>
      <c r="JA77" s="134"/>
      <c r="JB77" s="134"/>
      <c r="JC77" s="134"/>
      <c r="JD77" s="134"/>
      <c r="JE77" s="134"/>
      <c r="JF77" s="134"/>
    </row>
    <row r="78" spans="1:266" ht="17.25">
      <c r="B78" s="94"/>
      <c r="C78" s="94"/>
      <c r="D78" s="95"/>
      <c r="E78" s="1"/>
      <c r="F78" s="1"/>
      <c r="G78" s="1"/>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212"/>
      <c r="AR78" s="212"/>
      <c r="AS78" s="212"/>
      <c r="AT78" s="134"/>
      <c r="AU78" s="134"/>
      <c r="AV78" s="212"/>
      <c r="AW78" s="212"/>
      <c r="AX78" s="212"/>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4"/>
      <c r="CI78" s="134"/>
      <c r="CJ78" s="134"/>
      <c r="CK78" s="134"/>
      <c r="CL78" s="134"/>
      <c r="CM78" s="134"/>
      <c r="CN78" s="134"/>
      <c r="CO78" s="134"/>
      <c r="CP78" s="134"/>
      <c r="CQ78" s="134"/>
      <c r="CR78" s="134"/>
      <c r="CS78" s="134"/>
      <c r="CT78" s="13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134"/>
      <c r="GB78" s="134"/>
      <c r="GC78" s="134"/>
      <c r="GD78" s="134"/>
      <c r="GE78" s="134"/>
      <c r="GF78" s="134"/>
      <c r="GG78" s="134"/>
      <c r="GH78" s="134"/>
      <c r="GI78" s="134"/>
      <c r="GJ78" s="134"/>
      <c r="GK78" s="134"/>
      <c r="GL78" s="134"/>
      <c r="GM78" s="134"/>
      <c r="GN78" s="134"/>
      <c r="GO78" s="134"/>
      <c r="GP78" s="134"/>
      <c r="GQ78" s="134"/>
      <c r="GR78" s="134"/>
      <c r="GS78" s="134"/>
      <c r="GT78" s="134"/>
      <c r="GU78" s="134"/>
      <c r="GV78" s="134"/>
      <c r="GW78" s="134"/>
      <c r="GX78" s="134"/>
      <c r="GY78" s="134"/>
      <c r="GZ78" s="134"/>
      <c r="HA78" s="134"/>
      <c r="HB78" s="134"/>
      <c r="HC78" s="134"/>
      <c r="HD78" s="134"/>
      <c r="HE78" s="134"/>
      <c r="HF78" s="134"/>
      <c r="HG78" s="134"/>
      <c r="HH78" s="134"/>
      <c r="HI78" s="134"/>
      <c r="HJ78" s="134"/>
      <c r="HK78" s="134"/>
      <c r="HL78" s="134"/>
      <c r="HM78" s="134"/>
      <c r="HN78" s="134"/>
      <c r="HO78" s="134"/>
      <c r="HP78" s="134"/>
      <c r="HQ78" s="134"/>
      <c r="HR78" s="134"/>
      <c r="HS78" s="134"/>
      <c r="HT78" s="134"/>
      <c r="HU78" s="134"/>
      <c r="HV78" s="134"/>
      <c r="HW78" s="134"/>
      <c r="HX78" s="134"/>
      <c r="HY78" s="134"/>
      <c r="HZ78" s="134"/>
      <c r="IA78" s="134"/>
      <c r="IB78" s="134"/>
      <c r="IC78" s="134"/>
      <c r="ID78" s="134"/>
      <c r="IE78" s="134"/>
      <c r="IF78" s="134"/>
      <c r="IG78" s="134"/>
      <c r="IH78" s="134"/>
      <c r="II78" s="134"/>
      <c r="IJ78" s="134"/>
      <c r="IK78" s="134"/>
      <c r="IL78" s="134"/>
      <c r="IM78" s="134"/>
      <c r="IN78" s="134"/>
      <c r="IO78" s="134"/>
      <c r="IP78" s="134"/>
      <c r="IQ78" s="134"/>
      <c r="IR78" s="134"/>
      <c r="IS78" s="134"/>
      <c r="IT78" s="134"/>
      <c r="IU78" s="134"/>
      <c r="IV78" s="134"/>
      <c r="IW78" s="134"/>
      <c r="IX78" s="134"/>
      <c r="IY78" s="134"/>
      <c r="IZ78" s="134"/>
      <c r="JA78" s="134"/>
      <c r="JB78" s="134"/>
      <c r="JC78" s="134"/>
      <c r="JD78" s="134"/>
      <c r="JE78" s="134"/>
      <c r="JF78" s="134"/>
    </row>
    <row r="79" spans="1:266" ht="17.25">
      <c r="B79" s="94"/>
      <c r="C79" s="94"/>
      <c r="D79" s="96"/>
      <c r="E79" s="1"/>
      <c r="F79" s="1"/>
      <c r="G79" s="1"/>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212"/>
      <c r="AR79" s="212"/>
      <c r="AS79" s="212"/>
      <c r="AT79" s="134"/>
      <c r="AU79" s="134"/>
      <c r="AV79" s="212"/>
      <c r="AW79" s="134"/>
      <c r="AX79" s="212"/>
      <c r="AY79" s="134"/>
      <c r="AZ79" s="134"/>
      <c r="BA79" s="134"/>
      <c r="BB79" s="134"/>
      <c r="BC79" s="134"/>
      <c r="BD79" s="134"/>
      <c r="BE79" s="134"/>
      <c r="BF79" s="134"/>
      <c r="BG79" s="134"/>
      <c r="BH79" s="134"/>
      <c r="BI79" s="134"/>
      <c r="BJ79" s="134"/>
      <c r="BK79" s="134"/>
      <c r="BL79" s="134"/>
      <c r="BM79" s="134"/>
      <c r="BN79" s="134"/>
      <c r="BO79" s="134"/>
      <c r="BP79" s="134"/>
      <c r="BQ79" s="134"/>
      <c r="BR79" s="134"/>
      <c r="BS79" s="134"/>
      <c r="BT79" s="134"/>
      <c r="BU79" s="134"/>
      <c r="BV79" s="134"/>
      <c r="BW79" s="134"/>
      <c r="BX79" s="134"/>
      <c r="BY79" s="134"/>
      <c r="BZ79" s="134"/>
      <c r="CA79" s="134"/>
      <c r="CB79" s="134"/>
      <c r="CC79" s="134"/>
      <c r="CD79" s="134"/>
      <c r="CE79" s="134"/>
      <c r="CF79" s="134"/>
      <c r="CG79" s="134"/>
      <c r="CH79" s="134"/>
      <c r="CI79" s="134"/>
      <c r="CJ79" s="134"/>
      <c r="CK79" s="134"/>
      <c r="CL79" s="134"/>
      <c r="CM79" s="134"/>
      <c r="CN79" s="134"/>
      <c r="CO79" s="134"/>
      <c r="CP79" s="134"/>
      <c r="CQ79" s="134"/>
      <c r="CR79" s="134"/>
      <c r="CS79" s="134"/>
      <c r="CT79" s="13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134"/>
      <c r="GB79" s="134"/>
      <c r="GC79" s="134"/>
      <c r="GD79" s="134"/>
      <c r="GE79" s="134"/>
      <c r="GF79" s="134"/>
      <c r="GG79" s="134"/>
      <c r="GH79" s="134"/>
      <c r="GI79" s="134"/>
      <c r="GJ79" s="134"/>
      <c r="GK79" s="134"/>
      <c r="GL79" s="134"/>
      <c r="GM79" s="134"/>
      <c r="GN79" s="134"/>
      <c r="GO79" s="134"/>
      <c r="GP79" s="134"/>
      <c r="GQ79" s="134"/>
      <c r="GR79" s="134"/>
      <c r="GS79" s="134"/>
      <c r="GT79" s="134"/>
      <c r="GU79" s="134"/>
      <c r="GV79" s="134"/>
      <c r="GW79" s="134"/>
      <c r="GX79" s="134"/>
      <c r="GY79" s="134"/>
      <c r="GZ79" s="134"/>
      <c r="HA79" s="134"/>
      <c r="HB79" s="134"/>
      <c r="HC79" s="134"/>
      <c r="HD79" s="134"/>
      <c r="HE79" s="134"/>
      <c r="HF79" s="134"/>
      <c r="HG79" s="134"/>
      <c r="HH79" s="134"/>
      <c r="HI79" s="134"/>
      <c r="HJ79" s="134"/>
      <c r="HK79" s="134"/>
      <c r="HL79" s="134"/>
      <c r="HM79" s="134"/>
      <c r="HN79" s="134"/>
      <c r="HO79" s="134"/>
      <c r="HP79" s="134"/>
      <c r="HQ79" s="134"/>
      <c r="HR79" s="134"/>
      <c r="HS79" s="134"/>
      <c r="HT79" s="134"/>
      <c r="HU79" s="134"/>
      <c r="HV79" s="134"/>
      <c r="HW79" s="134"/>
      <c r="HX79" s="134"/>
      <c r="HY79" s="134"/>
      <c r="HZ79" s="134"/>
      <c r="IA79" s="134"/>
      <c r="IB79" s="134"/>
      <c r="IC79" s="134"/>
      <c r="ID79" s="134"/>
      <c r="IE79" s="134"/>
      <c r="IF79" s="134"/>
      <c r="IG79" s="134"/>
      <c r="IH79" s="134"/>
      <c r="II79" s="134"/>
      <c r="IJ79" s="134"/>
      <c r="IK79" s="134"/>
      <c r="IL79" s="134"/>
      <c r="IM79" s="134"/>
      <c r="IN79" s="134"/>
      <c r="IO79" s="134"/>
      <c r="IP79" s="134"/>
      <c r="IQ79" s="134"/>
      <c r="IR79" s="134"/>
      <c r="IS79" s="134"/>
      <c r="IT79" s="134"/>
      <c r="IU79" s="134"/>
      <c r="IV79" s="134"/>
      <c r="IW79" s="134"/>
      <c r="IX79" s="134"/>
      <c r="IY79" s="134"/>
      <c r="IZ79" s="134"/>
      <c r="JA79" s="134"/>
      <c r="JB79" s="134"/>
      <c r="JC79" s="134"/>
      <c r="JD79" s="134"/>
      <c r="JE79" s="134"/>
      <c r="JF79" s="134"/>
    </row>
    <row r="80" spans="1:266" ht="17.25">
      <c r="B80" s="97"/>
      <c r="C80" s="97"/>
      <c r="D80" s="98"/>
      <c r="E80" s="1"/>
      <c r="F80" s="1"/>
      <c r="G80" s="1"/>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212"/>
      <c r="AR80" s="212"/>
      <c r="AS80" s="212"/>
      <c r="AT80" s="134"/>
      <c r="AU80" s="134"/>
      <c r="AV80" s="212"/>
      <c r="AW80" s="212"/>
      <c r="AX80" s="212"/>
      <c r="AY80" s="134"/>
      <c r="AZ80" s="134"/>
      <c r="BA80" s="134"/>
      <c r="BB80" s="134"/>
      <c r="BC80" s="134"/>
      <c r="BD80" s="134"/>
      <c r="BE80" s="134"/>
      <c r="BF80" s="134"/>
      <c r="BG80" s="134"/>
      <c r="BH80" s="134"/>
      <c r="BI80" s="134"/>
      <c r="BJ80" s="134"/>
      <c r="BK80" s="134"/>
      <c r="BL80" s="134"/>
      <c r="BM80" s="134"/>
      <c r="BN80" s="134"/>
      <c r="BO80" s="134"/>
      <c r="BP80" s="134"/>
      <c r="BQ80" s="134"/>
      <c r="BR80" s="134"/>
      <c r="BS80" s="134"/>
      <c r="BT80" s="134"/>
      <c r="BU80" s="134"/>
      <c r="BV80" s="134"/>
      <c r="BW80" s="134"/>
      <c r="BX80" s="134"/>
      <c r="BY80" s="134"/>
      <c r="BZ80" s="134"/>
      <c r="CA80" s="134"/>
      <c r="CB80" s="134"/>
      <c r="CC80" s="134"/>
      <c r="CD80" s="134"/>
      <c r="CE80" s="134"/>
      <c r="CF80" s="134"/>
      <c r="CG80" s="134"/>
      <c r="CH80" s="134"/>
      <c r="CI80" s="134"/>
      <c r="CJ80" s="134"/>
      <c r="CK80" s="134"/>
      <c r="CL80" s="134"/>
      <c r="CM80" s="134"/>
      <c r="CN80" s="134"/>
      <c r="CO80" s="134"/>
      <c r="CP80" s="134"/>
      <c r="CQ80" s="134"/>
      <c r="CR80" s="134"/>
      <c r="CS80" s="134"/>
      <c r="CT80" s="134"/>
      <c r="CU80" s="134"/>
      <c r="CV80" s="134"/>
      <c r="CW80" s="134"/>
      <c r="CX80" s="134"/>
      <c r="CY80" s="134"/>
      <c r="CZ80" s="134"/>
      <c r="DA80" s="134"/>
      <c r="DB80" s="134"/>
      <c r="DC80" s="134"/>
      <c r="DD80" s="134"/>
      <c r="DE80" s="134"/>
      <c r="DF80" s="134"/>
      <c r="DG80" s="134"/>
      <c r="DH80" s="134"/>
      <c r="DI80" s="134"/>
      <c r="DJ80" s="134"/>
      <c r="DK80" s="134"/>
      <c r="DL80" s="134"/>
      <c r="DM80" s="134"/>
      <c r="DN80" s="134"/>
      <c r="DO80" s="134"/>
      <c r="DP80" s="134"/>
      <c r="DQ80" s="134"/>
      <c r="DR80" s="134"/>
      <c r="DS80" s="134"/>
      <c r="DT80" s="134"/>
      <c r="DU80" s="134"/>
      <c r="DV80" s="134"/>
      <c r="DW80" s="134"/>
      <c r="DX80" s="134"/>
      <c r="DY80" s="134"/>
      <c r="DZ80" s="134"/>
      <c r="EA80" s="134"/>
      <c r="EB80" s="134"/>
      <c r="EC80" s="134"/>
      <c r="ED80" s="134"/>
      <c r="EE80" s="134"/>
      <c r="EF80" s="134"/>
      <c r="EG80" s="134"/>
      <c r="EH80" s="134"/>
      <c r="EI80" s="134"/>
      <c r="EJ80" s="134"/>
      <c r="EK80" s="134"/>
      <c r="EL80" s="134"/>
      <c r="EM80" s="134"/>
      <c r="EN80" s="134"/>
      <c r="EO80" s="134"/>
      <c r="EP80" s="134"/>
      <c r="EQ80" s="134"/>
      <c r="ER80" s="134"/>
      <c r="ES80" s="134"/>
      <c r="ET80" s="134"/>
      <c r="EU80" s="134"/>
      <c r="EV80" s="134"/>
      <c r="EW80" s="134"/>
      <c r="EX80" s="134"/>
      <c r="EY80" s="134"/>
      <c r="EZ80" s="134"/>
      <c r="FA80" s="134"/>
      <c r="FB80" s="134"/>
      <c r="FC80" s="134"/>
      <c r="FD80" s="134"/>
      <c r="FE80" s="134"/>
      <c r="FF80" s="134"/>
      <c r="FG80" s="134"/>
      <c r="FH80" s="134"/>
      <c r="FI80" s="134"/>
      <c r="FJ80" s="134"/>
      <c r="FK80" s="134"/>
      <c r="FL80" s="134"/>
      <c r="FM80" s="134"/>
      <c r="FN80" s="134"/>
      <c r="FO80" s="134"/>
      <c r="FP80" s="134"/>
      <c r="FQ80" s="134"/>
      <c r="FR80" s="134"/>
      <c r="FS80" s="134"/>
      <c r="FT80" s="134"/>
      <c r="FU80" s="134"/>
      <c r="FV80" s="134"/>
      <c r="FW80" s="134"/>
      <c r="FX80" s="134"/>
      <c r="FY80" s="134"/>
      <c r="FZ80" s="134"/>
      <c r="GA80" s="134"/>
      <c r="GB80" s="134"/>
      <c r="GC80" s="134"/>
      <c r="GD80" s="134"/>
      <c r="GE80" s="134"/>
      <c r="GF80" s="134"/>
      <c r="GG80" s="134"/>
      <c r="GH80" s="134"/>
      <c r="GI80" s="134"/>
      <c r="GJ80" s="134"/>
      <c r="GK80" s="134"/>
      <c r="GL80" s="134"/>
      <c r="GM80" s="134"/>
      <c r="GN80" s="134"/>
      <c r="GO80" s="134"/>
      <c r="GP80" s="134"/>
      <c r="GQ80" s="134"/>
      <c r="GR80" s="134"/>
      <c r="GS80" s="134"/>
      <c r="GT80" s="134"/>
      <c r="GU80" s="134"/>
      <c r="GV80" s="134"/>
      <c r="GW80" s="134"/>
      <c r="GX80" s="134"/>
      <c r="GY80" s="134"/>
      <c r="GZ80" s="134"/>
      <c r="HA80" s="134"/>
      <c r="HB80" s="134"/>
      <c r="HC80" s="134"/>
      <c r="HD80" s="134"/>
      <c r="HE80" s="134"/>
      <c r="HF80" s="134"/>
      <c r="HG80" s="134"/>
      <c r="HH80" s="134"/>
      <c r="HI80" s="134"/>
      <c r="HJ80" s="134"/>
      <c r="HK80" s="134"/>
      <c r="HL80" s="134"/>
      <c r="HM80" s="134"/>
      <c r="HN80" s="134"/>
      <c r="HO80" s="134"/>
      <c r="HP80" s="134"/>
      <c r="HQ80" s="134"/>
      <c r="HR80" s="134"/>
      <c r="HS80" s="134"/>
      <c r="HT80" s="134"/>
      <c r="HU80" s="134"/>
      <c r="HV80" s="134"/>
      <c r="HW80" s="134"/>
      <c r="HX80" s="134"/>
      <c r="HY80" s="134"/>
      <c r="HZ80" s="134"/>
      <c r="IA80" s="134"/>
      <c r="IB80" s="134"/>
      <c r="IC80" s="134"/>
      <c r="ID80" s="134"/>
      <c r="IE80" s="134"/>
      <c r="IF80" s="134"/>
      <c r="IG80" s="134"/>
      <c r="IH80" s="134"/>
      <c r="II80" s="134"/>
      <c r="IJ80" s="134"/>
      <c r="IK80" s="134"/>
      <c r="IL80" s="134"/>
      <c r="IM80" s="134"/>
      <c r="IN80" s="134"/>
      <c r="IO80" s="134"/>
      <c r="IP80" s="134"/>
      <c r="IQ80" s="134"/>
      <c r="IR80" s="134"/>
      <c r="IS80" s="134"/>
      <c r="IT80" s="134"/>
      <c r="IU80" s="134"/>
      <c r="IV80" s="134"/>
      <c r="IW80" s="134"/>
      <c r="IX80" s="134"/>
      <c r="IY80" s="134"/>
      <c r="IZ80" s="134"/>
      <c r="JA80" s="134"/>
      <c r="JB80" s="134"/>
      <c r="JC80" s="134"/>
      <c r="JD80" s="134"/>
      <c r="JE80" s="134"/>
      <c r="JF80" s="134"/>
    </row>
    <row r="81" spans="2:266">
      <c r="B81" s="5"/>
      <c r="C81" s="5"/>
      <c r="D81" s="12"/>
      <c r="E81" s="1"/>
      <c r="F81" s="1"/>
      <c r="G81" s="1"/>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212"/>
      <c r="AR81" s="212"/>
      <c r="AS81" s="212"/>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c r="BS81" s="134"/>
      <c r="BT81" s="134"/>
      <c r="BU81" s="134"/>
      <c r="BV81" s="134"/>
      <c r="BW81" s="134"/>
      <c r="BX81" s="134"/>
      <c r="BY81" s="134"/>
      <c r="BZ81" s="134"/>
      <c r="CA81" s="134"/>
      <c r="CB81" s="134"/>
      <c r="CC81" s="134"/>
      <c r="CD81" s="134"/>
      <c r="CE81" s="134"/>
      <c r="CF81" s="134"/>
      <c r="CG81" s="134"/>
      <c r="CH81" s="134"/>
      <c r="CI81" s="134"/>
      <c r="CJ81" s="134"/>
      <c r="CK81" s="134"/>
      <c r="CL81" s="134"/>
      <c r="CM81" s="134"/>
      <c r="CN81" s="134"/>
      <c r="CO81" s="134"/>
      <c r="CP81" s="134"/>
      <c r="CQ81" s="134"/>
      <c r="CR81" s="134"/>
      <c r="CS81" s="134"/>
      <c r="CT81" s="134"/>
      <c r="CU81" s="134"/>
      <c r="CV81" s="134"/>
      <c r="CW81" s="134"/>
      <c r="CX81" s="134"/>
      <c r="CY81" s="134"/>
      <c r="CZ81" s="134"/>
      <c r="DA81" s="134"/>
      <c r="DB81" s="134"/>
      <c r="DC81" s="134"/>
      <c r="DD81" s="134"/>
      <c r="DE81" s="134"/>
      <c r="DF81" s="134"/>
      <c r="DG81" s="134"/>
      <c r="DH81" s="134"/>
      <c r="DI81" s="134"/>
      <c r="DJ81" s="134"/>
      <c r="DK81" s="134"/>
      <c r="DL81" s="134"/>
      <c r="DM81" s="134"/>
      <c r="DN81" s="134"/>
      <c r="DO81" s="134"/>
      <c r="DP81" s="134"/>
      <c r="DQ81" s="134"/>
      <c r="DR81" s="134"/>
      <c r="DS81" s="134"/>
      <c r="DT81" s="134"/>
      <c r="DU81" s="134"/>
      <c r="DV81" s="134"/>
      <c r="DW81" s="134"/>
      <c r="DX81" s="134"/>
      <c r="DY81" s="134"/>
      <c r="DZ81" s="134"/>
      <c r="EA81" s="134"/>
      <c r="EB81" s="134"/>
      <c r="EC81" s="134"/>
      <c r="ED81" s="134"/>
      <c r="EE81" s="134"/>
      <c r="EF81" s="134"/>
      <c r="EG81" s="134"/>
      <c r="EH81" s="134"/>
      <c r="EI81" s="134"/>
      <c r="EJ81" s="134"/>
      <c r="EK81" s="134"/>
      <c r="EL81" s="134"/>
      <c r="EM81" s="134"/>
      <c r="EN81" s="134"/>
      <c r="EO81" s="134"/>
      <c r="EP81" s="134"/>
      <c r="EQ81" s="134"/>
      <c r="ER81" s="134"/>
      <c r="ES81" s="134"/>
      <c r="ET81" s="134"/>
      <c r="EU81" s="134"/>
      <c r="EV81" s="134"/>
      <c r="EW81" s="134"/>
      <c r="EX81" s="134"/>
      <c r="EY81" s="134"/>
      <c r="EZ81" s="134"/>
      <c r="FA81" s="134"/>
      <c r="FB81" s="134"/>
      <c r="FC81" s="134"/>
      <c r="FD81" s="134"/>
      <c r="FE81" s="134"/>
      <c r="FF81" s="134"/>
      <c r="FG81" s="134"/>
      <c r="FH81" s="134"/>
      <c r="FI81" s="134"/>
      <c r="FJ81" s="134"/>
      <c r="FK81" s="134"/>
      <c r="FL81" s="134"/>
      <c r="FM81" s="134"/>
      <c r="FN81" s="134"/>
      <c r="FO81" s="134"/>
      <c r="FP81" s="134"/>
      <c r="FQ81" s="134"/>
      <c r="FR81" s="134"/>
      <c r="FS81" s="134"/>
      <c r="FT81" s="134"/>
      <c r="FU81" s="134"/>
      <c r="FV81" s="134"/>
      <c r="FW81" s="134"/>
      <c r="FX81" s="134"/>
      <c r="FY81" s="134"/>
      <c r="FZ81" s="134"/>
      <c r="GA81" s="134"/>
      <c r="GB81" s="134"/>
      <c r="GC81" s="134"/>
      <c r="GD81" s="134"/>
      <c r="GE81" s="134"/>
      <c r="GF81" s="134"/>
      <c r="GG81" s="134"/>
      <c r="GH81" s="134"/>
      <c r="GI81" s="134"/>
      <c r="GJ81" s="134"/>
      <c r="GK81" s="134"/>
      <c r="GL81" s="134"/>
      <c r="GM81" s="134"/>
      <c r="GN81" s="134"/>
      <c r="GO81" s="134"/>
      <c r="GP81" s="134"/>
      <c r="GQ81" s="134"/>
      <c r="GR81" s="134"/>
      <c r="GS81" s="134"/>
      <c r="GT81" s="134"/>
      <c r="GU81" s="134"/>
      <c r="GV81" s="134"/>
      <c r="GW81" s="134"/>
      <c r="GX81" s="134"/>
      <c r="GY81" s="134"/>
      <c r="GZ81" s="134"/>
      <c r="HA81" s="134"/>
      <c r="HB81" s="134"/>
      <c r="HC81" s="134"/>
      <c r="HD81" s="134"/>
      <c r="HE81" s="134"/>
      <c r="HF81" s="134"/>
      <c r="HG81" s="134"/>
      <c r="HH81" s="134"/>
      <c r="HI81" s="134"/>
      <c r="HJ81" s="134"/>
      <c r="HK81" s="134"/>
      <c r="HL81" s="134"/>
      <c r="HM81" s="134"/>
      <c r="HN81" s="134"/>
      <c r="HO81" s="134"/>
      <c r="HP81" s="134"/>
      <c r="HQ81" s="134"/>
      <c r="HR81" s="134"/>
      <c r="HS81" s="134"/>
      <c r="HT81" s="134"/>
      <c r="HU81" s="134"/>
      <c r="HV81" s="134"/>
      <c r="HW81" s="134"/>
      <c r="HX81" s="134"/>
      <c r="HY81" s="134"/>
      <c r="HZ81" s="134"/>
      <c r="IA81" s="134"/>
      <c r="IB81" s="134"/>
      <c r="IC81" s="134"/>
      <c r="ID81" s="134"/>
      <c r="IE81" s="134"/>
      <c r="IF81" s="134"/>
      <c r="IG81" s="134"/>
      <c r="IH81" s="134"/>
      <c r="II81" s="134"/>
      <c r="IJ81" s="134"/>
      <c r="IK81" s="134"/>
      <c r="IL81" s="134"/>
      <c r="IM81" s="134"/>
      <c r="IN81" s="134"/>
      <c r="IO81" s="134"/>
      <c r="IP81" s="134"/>
      <c r="IQ81" s="134"/>
      <c r="IR81" s="134"/>
      <c r="IS81" s="134"/>
      <c r="IT81" s="134"/>
      <c r="IU81" s="134"/>
      <c r="IV81" s="134"/>
      <c r="IW81" s="134"/>
      <c r="IX81" s="134"/>
      <c r="IY81" s="134"/>
      <c r="IZ81" s="134"/>
      <c r="JA81" s="134"/>
      <c r="JB81" s="134"/>
      <c r="JC81" s="134"/>
      <c r="JD81" s="134"/>
      <c r="JE81" s="134"/>
      <c r="JF81" s="134"/>
    </row>
    <row r="82" spans="2:266">
      <c r="B82" s="5"/>
      <c r="C82" s="5"/>
      <c r="D82" s="12"/>
      <c r="E82" s="1"/>
      <c r="F82" s="1"/>
      <c r="G82" s="1"/>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34"/>
      <c r="CF82" s="134"/>
      <c r="CG82" s="134"/>
      <c r="CH82" s="134"/>
      <c r="CI82" s="134"/>
      <c r="CJ82" s="134"/>
      <c r="CK82" s="134"/>
      <c r="CL82" s="134"/>
      <c r="CM82" s="134"/>
      <c r="CN82" s="134"/>
      <c r="CO82" s="134"/>
      <c r="CP82" s="134"/>
      <c r="CQ82" s="134"/>
      <c r="CR82" s="134"/>
      <c r="CS82" s="134"/>
      <c r="CT82" s="134"/>
      <c r="CU82" s="134"/>
      <c r="CV82" s="134"/>
      <c r="CW82" s="134"/>
      <c r="CX82" s="134"/>
      <c r="CY82" s="134"/>
      <c r="CZ82" s="134"/>
      <c r="DA82" s="134"/>
      <c r="DB82" s="134"/>
      <c r="DC82" s="134"/>
      <c r="DD82" s="134"/>
      <c r="DE82" s="134"/>
      <c r="DF82" s="134"/>
      <c r="DG82" s="134"/>
      <c r="DH82" s="134"/>
      <c r="DI82" s="134"/>
      <c r="DJ82" s="134"/>
      <c r="DK82" s="134"/>
      <c r="DL82" s="134"/>
      <c r="DM82" s="134"/>
      <c r="DN82" s="134"/>
      <c r="DO82" s="134"/>
      <c r="DP82" s="134"/>
      <c r="DQ82" s="134"/>
      <c r="DR82" s="134"/>
      <c r="DS82" s="134"/>
      <c r="DT82" s="134"/>
      <c r="DU82" s="134"/>
      <c r="DV82" s="134"/>
      <c r="DW82" s="134"/>
      <c r="DX82" s="134"/>
      <c r="DY82" s="134"/>
      <c r="DZ82" s="134"/>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134"/>
      <c r="IK82" s="134"/>
      <c r="IL82" s="134"/>
      <c r="IM82" s="134"/>
      <c r="IN82" s="134"/>
      <c r="IO82" s="134"/>
      <c r="IP82" s="134"/>
      <c r="IQ82" s="134"/>
      <c r="IR82" s="134"/>
      <c r="IS82" s="134"/>
      <c r="IT82" s="134"/>
      <c r="IU82" s="134"/>
      <c r="IV82" s="134"/>
      <c r="IW82" s="134"/>
      <c r="IX82" s="134"/>
      <c r="IY82" s="134"/>
      <c r="IZ82" s="134"/>
      <c r="JA82" s="134"/>
      <c r="JB82" s="134"/>
      <c r="JC82" s="134"/>
      <c r="JD82" s="134"/>
      <c r="JE82" s="134"/>
      <c r="JF82" s="134"/>
    </row>
    <row r="83" spans="2:266">
      <c r="B83" s="5"/>
      <c r="C83" s="5"/>
      <c r="D83" s="12"/>
      <c r="E83" s="1"/>
      <c r="F83" s="1"/>
      <c r="G83" s="1"/>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4"/>
      <c r="BZ83" s="134"/>
      <c r="CA83" s="134"/>
      <c r="CB83" s="134"/>
      <c r="CC83" s="134"/>
      <c r="CD83" s="134"/>
      <c r="CE83" s="134"/>
      <c r="CF83" s="134"/>
      <c r="CG83" s="134"/>
      <c r="CH83" s="134"/>
      <c r="CI83" s="134"/>
      <c r="CJ83" s="134"/>
      <c r="CK83" s="134"/>
      <c r="CL83" s="134"/>
      <c r="CM83" s="134"/>
      <c r="CN83" s="134"/>
      <c r="CO83" s="134"/>
      <c r="CP83" s="134"/>
      <c r="CQ83" s="134"/>
      <c r="CR83" s="134"/>
      <c r="CS83" s="134"/>
      <c r="CT83" s="134"/>
      <c r="CU83" s="134"/>
      <c r="CV83" s="134"/>
      <c r="CW83" s="134"/>
      <c r="CX83" s="134"/>
      <c r="CY83" s="134"/>
      <c r="CZ83" s="134"/>
      <c r="DA83" s="134"/>
      <c r="DB83" s="134"/>
      <c r="DC83" s="134"/>
      <c r="DD83" s="134"/>
      <c r="DE83" s="134"/>
      <c r="DF83" s="134"/>
      <c r="DG83" s="134"/>
      <c r="DH83" s="134"/>
      <c r="DI83" s="134"/>
      <c r="DJ83" s="134"/>
      <c r="DK83" s="134"/>
      <c r="DL83" s="134"/>
      <c r="DM83" s="134"/>
      <c r="DN83" s="134"/>
      <c r="DO83" s="134"/>
      <c r="DP83" s="134"/>
      <c r="DQ83" s="134"/>
      <c r="DR83" s="134"/>
      <c r="DS83" s="134"/>
      <c r="DT83" s="134"/>
      <c r="DU83" s="134"/>
      <c r="DV83" s="134"/>
      <c r="DW83" s="134"/>
      <c r="DX83" s="134"/>
      <c r="DY83" s="134"/>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134"/>
      <c r="IK83" s="134"/>
      <c r="IL83" s="134"/>
      <c r="IM83" s="134"/>
      <c r="IN83" s="134"/>
      <c r="IO83" s="134"/>
      <c r="IP83" s="134"/>
      <c r="IQ83" s="134"/>
      <c r="IR83" s="134"/>
      <c r="IS83" s="134"/>
      <c r="IT83" s="134"/>
      <c r="IU83" s="134"/>
      <c r="IV83" s="134"/>
      <c r="IW83" s="134"/>
      <c r="IX83" s="134"/>
      <c r="IY83" s="134"/>
      <c r="IZ83" s="134"/>
      <c r="JA83" s="134"/>
      <c r="JB83" s="134"/>
      <c r="JC83" s="134"/>
      <c r="JD83" s="134"/>
      <c r="JE83" s="134"/>
      <c r="JF83" s="134"/>
    </row>
    <row r="84" spans="2:266">
      <c r="B84" s="5"/>
      <c r="C84" s="5"/>
      <c r="D84" s="12"/>
      <c r="E84" s="1"/>
      <c r="F84" s="1"/>
      <c r="G84" s="1"/>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c r="CS84" s="134"/>
      <c r="CT84" s="134"/>
      <c r="CU84" s="134"/>
      <c r="CV84" s="134"/>
      <c r="CW84" s="134"/>
      <c r="CX84" s="134"/>
      <c r="CY84" s="134"/>
      <c r="CZ84" s="134"/>
      <c r="DA84" s="134"/>
      <c r="DB84" s="134"/>
      <c r="DC84" s="134"/>
      <c r="DD84" s="134"/>
      <c r="DE84" s="134"/>
      <c r="DF84" s="134"/>
      <c r="DG84" s="134"/>
      <c r="DH84" s="134"/>
      <c r="DI84" s="134"/>
      <c r="DJ84" s="134"/>
      <c r="DK84" s="134"/>
      <c r="DL84" s="134"/>
      <c r="DM84" s="134"/>
      <c r="DN84" s="134"/>
      <c r="DO84" s="134"/>
      <c r="DP84" s="134"/>
      <c r="DQ84" s="134"/>
      <c r="DR84" s="134"/>
      <c r="DS84" s="134"/>
      <c r="DT84" s="134"/>
      <c r="DU84" s="134"/>
      <c r="DV84" s="134"/>
      <c r="DW84" s="134"/>
      <c r="DX84" s="134"/>
      <c r="DY84" s="134"/>
      <c r="DZ84" s="134"/>
      <c r="EA84" s="134"/>
      <c r="EB84" s="134"/>
      <c r="EC84" s="134"/>
      <c r="ED84" s="134"/>
      <c r="EE84" s="134"/>
      <c r="EF84" s="134"/>
      <c r="EG84" s="134"/>
      <c r="EH84" s="134"/>
      <c r="EI84" s="134"/>
      <c r="EJ84" s="134"/>
      <c r="EK84" s="134"/>
      <c r="EL84" s="134"/>
      <c r="EM84" s="134"/>
      <c r="EN84" s="134"/>
      <c r="EO84" s="134"/>
      <c r="EP84" s="134"/>
      <c r="EQ84" s="134"/>
      <c r="ER84" s="134"/>
      <c r="ES84" s="134"/>
      <c r="ET84" s="134"/>
      <c r="EU84" s="134"/>
      <c r="EV84" s="134"/>
      <c r="EW84" s="134"/>
      <c r="EX84" s="134"/>
      <c r="EY84" s="134"/>
      <c r="EZ84" s="134"/>
      <c r="FA84" s="134"/>
      <c r="FB84" s="134"/>
      <c r="FC84" s="134"/>
      <c r="FD84" s="134"/>
      <c r="FE84" s="134"/>
      <c r="FF84" s="134"/>
      <c r="FG84" s="134"/>
      <c r="FH84" s="134"/>
      <c r="FI84" s="134"/>
      <c r="FJ84" s="134"/>
      <c r="FK84" s="134"/>
      <c r="FL84" s="134"/>
      <c r="FM84" s="134"/>
      <c r="FN84" s="134"/>
      <c r="FO84" s="134"/>
      <c r="FP84" s="134"/>
      <c r="FQ84" s="134"/>
      <c r="FR84" s="134"/>
      <c r="FS84" s="134"/>
      <c r="FT84" s="134"/>
      <c r="FU84" s="134"/>
      <c r="FV84" s="134"/>
      <c r="FW84" s="134"/>
      <c r="FX84" s="134"/>
      <c r="FY84" s="134"/>
      <c r="FZ84" s="134"/>
      <c r="GA84" s="134"/>
      <c r="GB84" s="134"/>
      <c r="GC84" s="134"/>
      <c r="GD84" s="134"/>
      <c r="GE84" s="134"/>
      <c r="GF84" s="134"/>
      <c r="GG84" s="134"/>
      <c r="GH84" s="134"/>
      <c r="GI84" s="134"/>
      <c r="GJ84" s="134"/>
      <c r="GK84" s="134"/>
      <c r="GL84" s="134"/>
      <c r="GM84" s="134"/>
      <c r="GN84" s="134"/>
      <c r="GO84" s="134"/>
      <c r="GP84" s="134"/>
      <c r="GQ84" s="134"/>
      <c r="GR84" s="134"/>
      <c r="GS84" s="134"/>
      <c r="GT84" s="134"/>
      <c r="GU84" s="134"/>
      <c r="GV84" s="134"/>
      <c r="GW84" s="134"/>
      <c r="GX84" s="134"/>
      <c r="GY84" s="134"/>
      <c r="GZ84" s="134"/>
      <c r="HA84" s="134"/>
      <c r="HB84" s="134"/>
      <c r="HC84" s="134"/>
      <c r="HD84" s="134"/>
      <c r="HE84" s="134"/>
      <c r="HF84" s="134"/>
      <c r="HG84" s="134"/>
      <c r="HH84" s="134"/>
      <c r="HI84" s="134"/>
      <c r="HJ84" s="134"/>
      <c r="HK84" s="134"/>
      <c r="HL84" s="134"/>
      <c r="HM84" s="134"/>
      <c r="HN84" s="134"/>
      <c r="HO84" s="134"/>
      <c r="HP84" s="134"/>
      <c r="HQ84" s="134"/>
      <c r="HR84" s="134"/>
      <c r="HS84" s="134"/>
      <c r="HT84" s="134"/>
      <c r="HU84" s="134"/>
      <c r="HV84" s="134"/>
      <c r="HW84" s="134"/>
      <c r="HX84" s="134"/>
      <c r="HY84" s="134"/>
      <c r="HZ84" s="134"/>
      <c r="IA84" s="134"/>
      <c r="IB84" s="134"/>
      <c r="IC84" s="134"/>
      <c r="ID84" s="134"/>
      <c r="IE84" s="134"/>
      <c r="IF84" s="134"/>
      <c r="IG84" s="134"/>
      <c r="IH84" s="134"/>
      <c r="II84" s="134"/>
      <c r="IJ84" s="134"/>
      <c r="IK84" s="134"/>
      <c r="IL84" s="134"/>
      <c r="IM84" s="134"/>
      <c r="IN84" s="134"/>
      <c r="IO84" s="134"/>
      <c r="IP84" s="134"/>
      <c r="IQ84" s="134"/>
      <c r="IR84" s="134"/>
      <c r="IS84" s="134"/>
      <c r="IT84" s="134"/>
      <c r="IU84" s="134"/>
      <c r="IV84" s="134"/>
      <c r="IW84" s="134"/>
      <c r="IX84" s="134"/>
      <c r="IY84" s="134"/>
      <c r="IZ84" s="134"/>
      <c r="JA84" s="134"/>
      <c r="JB84" s="134"/>
      <c r="JC84" s="134"/>
      <c r="JD84" s="134"/>
      <c r="JE84" s="134"/>
      <c r="JF84" s="134"/>
    </row>
    <row r="85" spans="2:266">
      <c r="B85" s="5"/>
      <c r="C85" s="5"/>
      <c r="D85" s="12"/>
      <c r="E85" s="1"/>
      <c r="F85" s="1"/>
      <c r="G85" s="1"/>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4"/>
      <c r="BR85" s="134"/>
      <c r="BS85" s="134"/>
      <c r="BT85" s="134"/>
      <c r="BU85" s="134"/>
      <c r="BV85" s="134"/>
      <c r="BW85" s="134"/>
      <c r="BX85" s="134"/>
      <c r="BY85" s="134"/>
      <c r="BZ85" s="134"/>
      <c r="CA85" s="134"/>
      <c r="CB85" s="134"/>
      <c r="CC85" s="134"/>
      <c r="CD85" s="134"/>
      <c r="CE85" s="134"/>
      <c r="CF85" s="134"/>
      <c r="CG85" s="134"/>
      <c r="CH85" s="134"/>
      <c r="CI85" s="134"/>
      <c r="CJ85" s="134"/>
      <c r="CK85" s="134"/>
      <c r="CL85" s="134"/>
      <c r="CM85" s="134"/>
      <c r="CN85" s="134"/>
      <c r="CO85" s="134"/>
      <c r="CP85" s="134"/>
      <c r="CQ85" s="134"/>
      <c r="CR85" s="134"/>
      <c r="CS85" s="134"/>
      <c r="CT85" s="134"/>
      <c r="CU85" s="134"/>
      <c r="CV85" s="134"/>
      <c r="CW85" s="134"/>
      <c r="CX85" s="134"/>
      <c r="CY85" s="134"/>
      <c r="CZ85" s="134"/>
      <c r="DA85" s="134"/>
      <c r="DB85" s="134"/>
      <c r="DC85" s="134"/>
      <c r="DD85" s="134"/>
      <c r="DE85" s="134"/>
      <c r="DF85" s="134"/>
      <c r="DG85" s="134"/>
      <c r="DH85" s="134"/>
      <c r="DI85" s="134"/>
      <c r="DJ85" s="134"/>
      <c r="DK85" s="134"/>
      <c r="DL85" s="134"/>
      <c r="DM85" s="134"/>
      <c r="DN85" s="134"/>
      <c r="DO85" s="134"/>
      <c r="DP85" s="134"/>
      <c r="DQ85" s="134"/>
      <c r="DR85" s="134"/>
      <c r="DS85" s="134"/>
      <c r="DT85" s="134"/>
      <c r="DU85" s="134"/>
      <c r="DV85" s="134"/>
      <c r="DW85" s="134"/>
      <c r="DX85" s="134"/>
      <c r="DY85" s="134"/>
      <c r="DZ85" s="134"/>
      <c r="EA85" s="134"/>
      <c r="EB85" s="134"/>
      <c r="EC85" s="134"/>
      <c r="ED85" s="134"/>
      <c r="EE85" s="134"/>
      <c r="EF85" s="134"/>
      <c r="EG85" s="134"/>
      <c r="EH85" s="134"/>
      <c r="EI85" s="134"/>
      <c r="EJ85" s="134"/>
      <c r="EK85" s="134"/>
      <c r="EL85" s="134"/>
      <c r="EM85" s="134"/>
      <c r="EN85" s="134"/>
      <c r="EO85" s="134"/>
      <c r="EP85" s="134"/>
      <c r="EQ85" s="134"/>
      <c r="ER85" s="134"/>
      <c r="ES85" s="134"/>
      <c r="ET85" s="134"/>
      <c r="EU85" s="134"/>
      <c r="EV85" s="134"/>
      <c r="EW85" s="134"/>
      <c r="EX85" s="134"/>
      <c r="EY85" s="134"/>
      <c r="EZ85" s="134"/>
      <c r="FA85" s="134"/>
      <c r="FB85" s="134"/>
      <c r="FC85" s="134"/>
      <c r="FD85" s="134"/>
      <c r="FE85" s="134"/>
      <c r="FF85" s="134"/>
      <c r="FG85" s="134"/>
      <c r="FH85" s="134"/>
      <c r="FI85" s="134"/>
      <c r="FJ85" s="134"/>
      <c r="FK85" s="134"/>
      <c r="FL85" s="134"/>
      <c r="FM85" s="134"/>
      <c r="FN85" s="134"/>
      <c r="FO85" s="134"/>
      <c r="FP85" s="134"/>
      <c r="FQ85" s="134"/>
      <c r="FR85" s="134"/>
      <c r="FS85" s="134"/>
      <c r="FT85" s="134"/>
      <c r="FU85" s="134"/>
      <c r="FV85" s="134"/>
      <c r="FW85" s="134"/>
      <c r="FX85" s="134"/>
      <c r="FY85" s="134"/>
      <c r="FZ85" s="134"/>
      <c r="GA85" s="134"/>
      <c r="GB85" s="134"/>
      <c r="GC85" s="134"/>
      <c r="GD85" s="134"/>
      <c r="GE85" s="134"/>
      <c r="GF85" s="134"/>
      <c r="GG85" s="134"/>
      <c r="GH85" s="134"/>
      <c r="GI85" s="134"/>
      <c r="GJ85" s="134"/>
      <c r="GK85" s="134"/>
      <c r="GL85" s="134"/>
      <c r="GM85" s="134"/>
      <c r="GN85" s="134"/>
      <c r="GO85" s="134"/>
      <c r="GP85" s="134"/>
      <c r="GQ85" s="134"/>
      <c r="GR85" s="134"/>
      <c r="GS85" s="134"/>
      <c r="GT85" s="134"/>
      <c r="GU85" s="134"/>
      <c r="GV85" s="134"/>
      <c r="GW85" s="134"/>
      <c r="GX85" s="134"/>
      <c r="GY85" s="134"/>
      <c r="GZ85" s="134"/>
      <c r="HA85" s="134"/>
      <c r="HB85" s="134"/>
      <c r="HC85" s="134"/>
      <c r="HD85" s="134"/>
      <c r="HE85" s="134"/>
      <c r="HF85" s="134"/>
      <c r="HG85" s="134"/>
      <c r="HH85" s="134"/>
      <c r="HI85" s="134"/>
      <c r="HJ85" s="134"/>
      <c r="HK85" s="134"/>
      <c r="HL85" s="134"/>
      <c r="HM85" s="134"/>
      <c r="HN85" s="134"/>
      <c r="HO85" s="134"/>
      <c r="HP85" s="134"/>
      <c r="HQ85" s="134"/>
      <c r="HR85" s="134"/>
      <c r="HS85" s="134"/>
      <c r="HT85" s="134"/>
      <c r="HU85" s="134"/>
      <c r="HV85" s="134"/>
      <c r="HW85" s="134"/>
      <c r="HX85" s="134"/>
      <c r="HY85" s="134"/>
      <c r="HZ85" s="134"/>
      <c r="IA85" s="134"/>
      <c r="IB85" s="134"/>
      <c r="IC85" s="134"/>
      <c r="ID85" s="134"/>
      <c r="IE85" s="134"/>
      <c r="IF85" s="134"/>
      <c r="IG85" s="134"/>
      <c r="IH85" s="134"/>
      <c r="II85" s="134"/>
      <c r="IJ85" s="134"/>
      <c r="IK85" s="134"/>
      <c r="IL85" s="134"/>
      <c r="IM85" s="134"/>
      <c r="IN85" s="134"/>
      <c r="IO85" s="134"/>
      <c r="IP85" s="134"/>
      <c r="IQ85" s="134"/>
      <c r="IR85" s="134"/>
      <c r="IS85" s="134"/>
      <c r="IT85" s="134"/>
      <c r="IU85" s="134"/>
      <c r="IV85" s="134"/>
      <c r="IW85" s="134"/>
      <c r="IX85" s="134"/>
      <c r="IY85" s="134"/>
      <c r="IZ85" s="134"/>
      <c r="JA85" s="134"/>
      <c r="JB85" s="134"/>
      <c r="JC85" s="134"/>
      <c r="JD85" s="134"/>
      <c r="JE85" s="134"/>
      <c r="JF85" s="134"/>
    </row>
    <row r="86" spans="2:266">
      <c r="B86" s="1"/>
      <c r="C86" s="1"/>
      <c r="D86" s="1"/>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34"/>
      <c r="CF86" s="134"/>
      <c r="CG86" s="134"/>
      <c r="CH86" s="134"/>
      <c r="CI86" s="134"/>
      <c r="CJ86" s="134"/>
      <c r="CK86" s="134"/>
      <c r="CL86" s="134"/>
      <c r="CM86" s="134"/>
      <c r="CN86" s="134"/>
      <c r="CO86" s="134"/>
      <c r="CP86" s="134"/>
      <c r="CQ86" s="134"/>
      <c r="CR86" s="134"/>
      <c r="CS86" s="134"/>
      <c r="CT86" s="134"/>
      <c r="CU86" s="134"/>
      <c r="CV86" s="134"/>
      <c r="CW86" s="134"/>
      <c r="CX86" s="134"/>
      <c r="CY86" s="134"/>
      <c r="CZ86" s="134"/>
      <c r="DA86" s="134"/>
      <c r="DB86" s="134"/>
      <c r="DC86" s="134"/>
      <c r="DD86" s="134"/>
      <c r="DE86" s="134"/>
      <c r="DF86" s="134"/>
      <c r="DG86" s="134"/>
      <c r="DH86" s="134"/>
      <c r="DI86" s="134"/>
      <c r="DJ86" s="134"/>
      <c r="DK86" s="134"/>
      <c r="DL86" s="134"/>
      <c r="DM86" s="134"/>
      <c r="DN86" s="134"/>
      <c r="DO86" s="134"/>
      <c r="DP86" s="134"/>
      <c r="DQ86" s="134"/>
      <c r="DR86" s="134"/>
      <c r="DS86" s="134"/>
      <c r="DT86" s="134"/>
      <c r="DU86" s="134"/>
      <c r="DV86" s="134"/>
      <c r="DW86" s="134"/>
      <c r="DX86" s="134"/>
      <c r="DY86" s="134"/>
      <c r="DZ86" s="134"/>
      <c r="EA86" s="134"/>
      <c r="EB86" s="134"/>
      <c r="EC86" s="134"/>
      <c r="ED86" s="134"/>
      <c r="EE86" s="134"/>
      <c r="EF86" s="134"/>
      <c r="EG86" s="134"/>
      <c r="EH86" s="134"/>
      <c r="EI86" s="134"/>
      <c r="EJ86" s="134"/>
      <c r="EK86" s="134"/>
      <c r="EL86" s="134"/>
      <c r="EM86" s="134"/>
      <c r="EN86" s="134"/>
      <c r="EO86" s="134"/>
      <c r="EP86" s="134"/>
      <c r="EQ86" s="134"/>
      <c r="ER86" s="134"/>
      <c r="ES86" s="134"/>
      <c r="ET86" s="134"/>
      <c r="EU86" s="134"/>
      <c r="EV86" s="134"/>
      <c r="EW86" s="134"/>
      <c r="EX86" s="134"/>
      <c r="EY86" s="134"/>
      <c r="EZ86" s="134"/>
      <c r="FA86" s="134"/>
      <c r="FB86" s="134"/>
      <c r="FC86" s="134"/>
      <c r="FD86" s="134"/>
      <c r="FE86" s="134"/>
      <c r="FF86" s="134"/>
      <c r="FG86" s="134"/>
      <c r="FH86" s="134"/>
      <c r="FI86" s="134"/>
      <c r="FJ86" s="134"/>
      <c r="FK86" s="134"/>
      <c r="FL86" s="134"/>
      <c r="FM86" s="134"/>
      <c r="FN86" s="134"/>
      <c r="FO86" s="134"/>
      <c r="FP86" s="134"/>
      <c r="FQ86" s="134"/>
      <c r="FR86" s="134"/>
      <c r="FS86" s="134"/>
      <c r="FT86" s="134"/>
      <c r="FU86" s="134"/>
      <c r="FV86" s="134"/>
      <c r="FW86" s="134"/>
      <c r="FX86" s="134"/>
      <c r="FY86" s="134"/>
      <c r="FZ86" s="134"/>
      <c r="GA86" s="134"/>
      <c r="GB86" s="134"/>
      <c r="GC86" s="134"/>
      <c r="GD86" s="134"/>
      <c r="GE86" s="134"/>
      <c r="GF86" s="134"/>
      <c r="GG86" s="134"/>
      <c r="GH86" s="134"/>
      <c r="GI86" s="134"/>
      <c r="GJ86" s="134"/>
      <c r="GK86" s="134"/>
      <c r="GL86" s="134"/>
      <c r="GM86" s="134"/>
      <c r="GN86" s="134"/>
      <c r="GO86" s="134"/>
      <c r="GP86" s="134"/>
      <c r="GQ86" s="134"/>
      <c r="GR86" s="134"/>
      <c r="GS86" s="134"/>
      <c r="GT86" s="134"/>
      <c r="GU86" s="134"/>
      <c r="GV86" s="134"/>
      <c r="GW86" s="134"/>
      <c r="GX86" s="134"/>
      <c r="GY86" s="134"/>
      <c r="GZ86" s="134"/>
      <c r="HA86" s="134"/>
      <c r="HB86" s="134"/>
      <c r="HC86" s="134"/>
      <c r="HD86" s="134"/>
      <c r="HE86" s="134"/>
      <c r="HF86" s="134"/>
      <c r="HG86" s="134"/>
      <c r="HH86" s="134"/>
      <c r="HI86" s="134"/>
      <c r="HJ86" s="134"/>
      <c r="HK86" s="134"/>
      <c r="HL86" s="134"/>
      <c r="HM86" s="134"/>
      <c r="HN86" s="134"/>
      <c r="HO86" s="134"/>
      <c r="HP86" s="134"/>
      <c r="HQ86" s="134"/>
      <c r="HR86" s="134"/>
      <c r="HS86" s="134"/>
      <c r="HT86" s="134"/>
      <c r="HU86" s="134"/>
      <c r="HV86" s="134"/>
      <c r="HW86" s="134"/>
      <c r="HX86" s="134"/>
      <c r="HY86" s="134"/>
      <c r="HZ86" s="134"/>
      <c r="IA86" s="134"/>
      <c r="IB86" s="134"/>
      <c r="IC86" s="134"/>
      <c r="ID86" s="134"/>
      <c r="IE86" s="134"/>
      <c r="IF86" s="134"/>
      <c r="IG86" s="134"/>
      <c r="IH86" s="134"/>
      <c r="II86" s="134"/>
      <c r="IJ86" s="134"/>
      <c r="IK86" s="134"/>
      <c r="IL86" s="134"/>
      <c r="IM86" s="134"/>
      <c r="IN86" s="134"/>
      <c r="IO86" s="134"/>
      <c r="IP86" s="134"/>
      <c r="IQ86" s="134"/>
      <c r="IR86" s="134"/>
      <c r="IS86" s="134"/>
      <c r="IT86" s="134"/>
      <c r="IU86" s="134"/>
      <c r="IV86" s="134"/>
      <c r="IW86" s="134"/>
      <c r="IX86" s="134"/>
      <c r="IY86" s="134"/>
      <c r="IZ86" s="134"/>
      <c r="JA86" s="134"/>
      <c r="JB86" s="134"/>
      <c r="JC86" s="134"/>
      <c r="JD86" s="134"/>
      <c r="JE86" s="134"/>
      <c r="JF86" s="134"/>
    </row>
    <row r="87" spans="2:266">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34"/>
      <c r="CF87" s="134"/>
      <c r="CG87" s="134"/>
      <c r="CH87" s="134"/>
      <c r="CI87" s="134"/>
      <c r="CJ87" s="134"/>
      <c r="CK87" s="134"/>
      <c r="CL87" s="134"/>
      <c r="CM87" s="134"/>
      <c r="CN87" s="134"/>
      <c r="CO87" s="134"/>
      <c r="CP87" s="134"/>
      <c r="CQ87" s="134"/>
      <c r="CR87" s="134"/>
      <c r="CS87" s="134"/>
      <c r="CT87" s="134"/>
      <c r="CU87" s="134"/>
      <c r="CV87" s="134"/>
      <c r="CW87" s="134"/>
      <c r="CX87" s="134"/>
      <c r="CY87" s="134"/>
      <c r="CZ87" s="134"/>
      <c r="DA87" s="134"/>
      <c r="DB87" s="134"/>
      <c r="DC87" s="134"/>
      <c r="DD87" s="134"/>
      <c r="DE87" s="134"/>
      <c r="DF87" s="134"/>
      <c r="DG87" s="134"/>
      <c r="DH87" s="134"/>
      <c r="DI87" s="134"/>
      <c r="DJ87" s="134"/>
      <c r="DK87" s="134"/>
      <c r="DL87" s="134"/>
      <c r="DM87" s="134"/>
      <c r="DN87" s="134"/>
      <c r="DO87" s="134"/>
      <c r="DP87" s="134"/>
      <c r="DQ87" s="134"/>
      <c r="DR87" s="134"/>
      <c r="DS87" s="134"/>
      <c r="DT87" s="134"/>
      <c r="DU87" s="134"/>
      <c r="DV87" s="134"/>
      <c r="DW87" s="134"/>
      <c r="DX87" s="134"/>
      <c r="DY87" s="134"/>
      <c r="DZ87" s="134"/>
      <c r="EA87" s="134"/>
      <c r="EB87" s="134"/>
      <c r="EC87" s="134"/>
      <c r="ED87" s="134"/>
      <c r="EE87" s="134"/>
      <c r="EF87" s="134"/>
      <c r="EG87" s="134"/>
      <c r="EH87" s="134"/>
      <c r="EI87" s="134"/>
      <c r="EJ87" s="134"/>
      <c r="EK87" s="134"/>
      <c r="EL87" s="134"/>
      <c r="EM87" s="134"/>
      <c r="EN87" s="134"/>
      <c r="EO87" s="134"/>
      <c r="EP87" s="134"/>
      <c r="EQ87" s="134"/>
      <c r="ER87" s="134"/>
      <c r="ES87" s="134"/>
      <c r="ET87" s="134"/>
      <c r="EU87" s="134"/>
      <c r="EV87" s="134"/>
      <c r="EW87" s="134"/>
      <c r="EX87" s="134"/>
      <c r="EY87" s="134"/>
      <c r="EZ87" s="134"/>
      <c r="FA87" s="134"/>
      <c r="FB87" s="134"/>
      <c r="FC87" s="134"/>
      <c r="FD87" s="134"/>
      <c r="FE87" s="134"/>
      <c r="FF87" s="134"/>
      <c r="FG87" s="134"/>
      <c r="FH87" s="134"/>
      <c r="FI87" s="134"/>
      <c r="FJ87" s="134"/>
      <c r="FK87" s="134"/>
      <c r="FL87" s="134"/>
      <c r="FM87" s="134"/>
      <c r="FN87" s="134"/>
      <c r="FO87" s="134"/>
      <c r="FP87" s="134"/>
      <c r="FQ87" s="134"/>
      <c r="FR87" s="134"/>
      <c r="FS87" s="134"/>
      <c r="FT87" s="134"/>
      <c r="FU87" s="134"/>
      <c r="FV87" s="134"/>
      <c r="FW87" s="134"/>
      <c r="FX87" s="134"/>
      <c r="FY87" s="134"/>
      <c r="FZ87" s="134"/>
      <c r="GA87" s="134"/>
      <c r="GB87" s="134"/>
      <c r="GC87" s="134"/>
      <c r="GD87" s="134"/>
      <c r="GE87" s="134"/>
      <c r="GF87" s="134"/>
      <c r="GG87" s="134"/>
      <c r="GH87" s="134"/>
      <c r="GI87" s="134"/>
      <c r="GJ87" s="134"/>
      <c r="GK87" s="134"/>
      <c r="GL87" s="134"/>
      <c r="GM87" s="134"/>
      <c r="GN87" s="134"/>
      <c r="GO87" s="134"/>
      <c r="GP87" s="134"/>
      <c r="GQ87" s="134"/>
      <c r="GR87" s="134"/>
      <c r="GS87" s="134"/>
      <c r="GT87" s="134"/>
      <c r="GU87" s="134"/>
      <c r="GV87" s="134"/>
      <c r="GW87" s="134"/>
      <c r="GX87" s="134"/>
      <c r="GY87" s="134"/>
      <c r="GZ87" s="134"/>
      <c r="HA87" s="134"/>
      <c r="HB87" s="134"/>
      <c r="HC87" s="134"/>
      <c r="HD87" s="134"/>
      <c r="HE87" s="134"/>
      <c r="HF87" s="134"/>
      <c r="HG87" s="134"/>
      <c r="HH87" s="134"/>
      <c r="HI87" s="134"/>
      <c r="HJ87" s="134"/>
      <c r="HK87" s="134"/>
      <c r="HL87" s="134"/>
      <c r="HM87" s="134"/>
      <c r="HN87" s="134"/>
      <c r="HO87" s="134"/>
      <c r="HP87" s="134"/>
      <c r="HQ87" s="134"/>
      <c r="HR87" s="134"/>
      <c r="HS87" s="134"/>
      <c r="HT87" s="134"/>
      <c r="HU87" s="134"/>
      <c r="HV87" s="134"/>
      <c r="HW87" s="134"/>
      <c r="HX87" s="134"/>
      <c r="HY87" s="134"/>
      <c r="HZ87" s="134"/>
      <c r="IA87" s="134"/>
      <c r="IB87" s="134"/>
      <c r="IC87" s="134"/>
      <c r="ID87" s="134"/>
      <c r="IE87" s="134"/>
      <c r="IF87" s="134"/>
      <c r="IG87" s="134"/>
      <c r="IH87" s="134"/>
      <c r="II87" s="134"/>
      <c r="IJ87" s="134"/>
      <c r="IK87" s="134"/>
      <c r="IL87" s="134"/>
      <c r="IM87" s="134"/>
      <c r="IN87" s="134"/>
      <c r="IO87" s="134"/>
      <c r="IP87" s="134"/>
      <c r="IQ87" s="134"/>
      <c r="IR87" s="134"/>
      <c r="IS87" s="134"/>
      <c r="IT87" s="134"/>
      <c r="IU87" s="134"/>
      <c r="IV87" s="134"/>
      <c r="IW87" s="134"/>
      <c r="IX87" s="134"/>
      <c r="IY87" s="134"/>
      <c r="IZ87" s="134"/>
      <c r="JA87" s="134"/>
      <c r="JB87" s="134"/>
      <c r="JC87" s="134"/>
      <c r="JD87" s="134"/>
      <c r="JE87" s="134"/>
      <c r="JF87" s="134"/>
    </row>
    <row r="88" spans="2:266">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c r="CL88" s="134"/>
      <c r="CM88" s="134"/>
      <c r="CN88" s="134"/>
      <c r="CO88" s="134"/>
      <c r="CP88" s="134"/>
      <c r="CQ88" s="134"/>
      <c r="CR88" s="134"/>
      <c r="CS88" s="134"/>
      <c r="CT88" s="134"/>
      <c r="CU88" s="134"/>
      <c r="CV88" s="134"/>
      <c r="CW88" s="134"/>
      <c r="CX88" s="134"/>
      <c r="CY88" s="134"/>
      <c r="CZ88" s="134"/>
      <c r="DA88" s="134"/>
      <c r="DB88" s="134"/>
      <c r="DC88" s="134"/>
      <c r="DD88" s="134"/>
      <c r="DE88" s="134"/>
      <c r="DF88" s="134"/>
      <c r="DG88" s="134"/>
      <c r="DH88" s="134"/>
      <c r="DI88" s="134"/>
      <c r="DJ88" s="134"/>
      <c r="DK88" s="134"/>
      <c r="DL88" s="134"/>
      <c r="DM88" s="134"/>
      <c r="DN88" s="134"/>
      <c r="DO88" s="134"/>
      <c r="DP88" s="134"/>
      <c r="DQ88" s="134"/>
      <c r="DR88" s="134"/>
      <c r="DS88" s="134"/>
      <c r="DT88" s="134"/>
      <c r="DU88" s="134"/>
      <c r="DV88" s="134"/>
      <c r="DW88" s="134"/>
      <c r="DX88" s="134"/>
      <c r="DY88" s="134"/>
      <c r="DZ88" s="134"/>
      <c r="EA88" s="134"/>
      <c r="EB88" s="134"/>
      <c r="EC88" s="134"/>
      <c r="ED88" s="134"/>
      <c r="EE88" s="134"/>
      <c r="EF88" s="134"/>
      <c r="EG88" s="134"/>
      <c r="EH88" s="134"/>
      <c r="EI88" s="134"/>
      <c r="EJ88" s="134"/>
      <c r="EK88" s="134"/>
      <c r="EL88" s="134"/>
      <c r="EM88" s="134"/>
      <c r="EN88" s="134"/>
      <c r="EO88" s="134"/>
      <c r="EP88" s="134"/>
      <c r="EQ88" s="134"/>
      <c r="ER88" s="134"/>
      <c r="ES88" s="134"/>
      <c r="ET88" s="134"/>
      <c r="EU88" s="134"/>
      <c r="EV88" s="134"/>
      <c r="EW88" s="134"/>
      <c r="EX88" s="134"/>
      <c r="EY88" s="134"/>
      <c r="EZ88" s="134"/>
      <c r="FA88" s="134"/>
      <c r="FB88" s="134"/>
      <c r="FC88" s="134"/>
      <c r="FD88" s="134"/>
      <c r="FE88" s="134"/>
      <c r="FF88" s="134"/>
      <c r="FG88" s="134"/>
      <c r="FH88" s="134"/>
      <c r="FI88" s="134"/>
      <c r="FJ88" s="134"/>
      <c r="FK88" s="134"/>
      <c r="FL88" s="134"/>
      <c r="FM88" s="134"/>
      <c r="FN88" s="134"/>
      <c r="FO88" s="134"/>
      <c r="FP88" s="134"/>
      <c r="FQ88" s="134"/>
      <c r="FR88" s="134"/>
      <c r="FS88" s="134"/>
      <c r="FT88" s="134"/>
      <c r="FU88" s="134"/>
      <c r="FV88" s="134"/>
      <c r="FW88" s="134"/>
      <c r="FX88" s="134"/>
      <c r="FY88" s="134"/>
      <c r="FZ88" s="134"/>
      <c r="GA88" s="134"/>
      <c r="GB88" s="134"/>
      <c r="GC88" s="134"/>
      <c r="GD88" s="134"/>
      <c r="GE88" s="134"/>
      <c r="GF88" s="134"/>
      <c r="GG88" s="134"/>
      <c r="GH88" s="134"/>
      <c r="GI88" s="134"/>
      <c r="GJ88" s="134"/>
      <c r="GK88" s="134"/>
      <c r="GL88" s="134"/>
      <c r="GM88" s="134"/>
      <c r="GN88" s="134"/>
      <c r="GO88" s="134"/>
      <c r="GP88" s="134"/>
      <c r="GQ88" s="134"/>
      <c r="GR88" s="134"/>
      <c r="GS88" s="134"/>
      <c r="GT88" s="134"/>
      <c r="GU88" s="134"/>
      <c r="GV88" s="134"/>
      <c r="GW88" s="134"/>
      <c r="GX88" s="134"/>
      <c r="GY88" s="134"/>
      <c r="GZ88" s="134"/>
      <c r="HA88" s="134"/>
      <c r="HB88" s="134"/>
      <c r="HC88" s="134"/>
      <c r="HD88" s="134"/>
      <c r="HE88" s="134"/>
      <c r="HF88" s="134"/>
      <c r="HG88" s="134"/>
      <c r="HH88" s="134"/>
      <c r="HI88" s="134"/>
      <c r="HJ88" s="134"/>
      <c r="HK88" s="134"/>
      <c r="HL88" s="134"/>
      <c r="HM88" s="134"/>
      <c r="HN88" s="134"/>
      <c r="HO88" s="134"/>
      <c r="HP88" s="134"/>
      <c r="HQ88" s="134"/>
      <c r="HR88" s="134"/>
      <c r="HS88" s="134"/>
      <c r="HT88" s="134"/>
      <c r="HU88" s="134"/>
      <c r="HV88" s="134"/>
      <c r="HW88" s="134"/>
      <c r="HX88" s="134"/>
      <c r="HY88" s="134"/>
      <c r="HZ88" s="134"/>
      <c r="IA88" s="134"/>
      <c r="IB88" s="134"/>
      <c r="IC88" s="134"/>
      <c r="ID88" s="134"/>
      <c r="IE88" s="134"/>
      <c r="IF88" s="134"/>
      <c r="IG88" s="134"/>
      <c r="IH88" s="134"/>
      <c r="II88" s="134"/>
      <c r="IJ88" s="134"/>
      <c r="IK88" s="134"/>
      <c r="IL88" s="134"/>
      <c r="IM88" s="134"/>
      <c r="IN88" s="134"/>
      <c r="IO88" s="134"/>
      <c r="IP88" s="134"/>
      <c r="IQ88" s="134"/>
      <c r="IR88" s="134"/>
      <c r="IS88" s="134"/>
      <c r="IT88" s="134"/>
      <c r="IU88" s="134"/>
      <c r="IV88" s="134"/>
      <c r="IW88" s="134"/>
      <c r="IX88" s="134"/>
      <c r="IY88" s="134"/>
      <c r="IZ88" s="134"/>
      <c r="JA88" s="134"/>
      <c r="JB88" s="134"/>
      <c r="JC88" s="134"/>
      <c r="JD88" s="134"/>
      <c r="JE88" s="134"/>
      <c r="JF88" s="134"/>
    </row>
    <row r="89" spans="2:266">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4"/>
      <c r="BR89" s="134"/>
      <c r="BS89" s="134"/>
      <c r="BT89" s="134"/>
      <c r="BU89" s="134"/>
      <c r="BV89" s="134"/>
      <c r="BW89" s="134"/>
      <c r="BX89" s="134"/>
      <c r="BY89" s="134"/>
      <c r="BZ89" s="134"/>
      <c r="CA89" s="134"/>
      <c r="CB89" s="134"/>
      <c r="CC89" s="134"/>
      <c r="CD89" s="134"/>
      <c r="CE89" s="134"/>
      <c r="CF89" s="134"/>
      <c r="CG89" s="134"/>
      <c r="CH89" s="134"/>
      <c r="CI89" s="134"/>
      <c r="CJ89" s="134"/>
      <c r="CK89" s="134"/>
      <c r="CL89" s="134"/>
      <c r="CM89" s="134"/>
      <c r="CN89" s="134"/>
      <c r="CO89" s="134"/>
      <c r="CP89" s="134"/>
      <c r="CQ89" s="134"/>
      <c r="CR89" s="134"/>
      <c r="CS89" s="134"/>
      <c r="CT89" s="134"/>
      <c r="CU89" s="134"/>
      <c r="CV89" s="134"/>
      <c r="CW89" s="134"/>
      <c r="CX89" s="134"/>
      <c r="CY89" s="134"/>
      <c r="CZ89" s="134"/>
      <c r="DA89" s="134"/>
      <c r="DB89" s="134"/>
      <c r="DC89" s="134"/>
      <c r="DD89" s="134"/>
      <c r="DE89" s="134"/>
      <c r="DF89" s="134"/>
      <c r="DG89" s="134"/>
      <c r="DH89" s="134"/>
      <c r="DI89" s="134"/>
      <c r="DJ89" s="134"/>
      <c r="DK89" s="134"/>
      <c r="DL89" s="134"/>
      <c r="DM89" s="134"/>
      <c r="DN89" s="134"/>
      <c r="DO89" s="134"/>
      <c r="DP89" s="134"/>
      <c r="DQ89" s="134"/>
      <c r="DR89" s="134"/>
      <c r="DS89" s="134"/>
      <c r="DT89" s="134"/>
      <c r="DU89" s="134"/>
      <c r="DV89" s="134"/>
      <c r="DW89" s="134"/>
      <c r="DX89" s="134"/>
      <c r="DY89" s="134"/>
      <c r="DZ89" s="134"/>
      <c r="EA89" s="134"/>
      <c r="EB89" s="134"/>
      <c r="EC89" s="134"/>
      <c r="ED89" s="134"/>
      <c r="EE89" s="134"/>
      <c r="EF89" s="134"/>
      <c r="EG89" s="134"/>
      <c r="EH89" s="134"/>
      <c r="EI89" s="134"/>
      <c r="EJ89" s="134"/>
      <c r="EK89" s="134"/>
      <c r="EL89" s="134"/>
      <c r="EM89" s="134"/>
      <c r="EN89" s="134"/>
      <c r="EO89" s="134"/>
      <c r="EP89" s="134"/>
      <c r="EQ89" s="134"/>
      <c r="ER89" s="134"/>
      <c r="ES89" s="134"/>
      <c r="ET89" s="134"/>
      <c r="EU89" s="134"/>
      <c r="EV89" s="134"/>
      <c r="EW89" s="134"/>
      <c r="EX89" s="134"/>
      <c r="EY89" s="134"/>
      <c r="EZ89" s="134"/>
      <c r="FA89" s="134"/>
      <c r="FB89" s="134"/>
      <c r="FC89" s="134"/>
      <c r="FD89" s="134"/>
      <c r="FE89" s="134"/>
      <c r="FF89" s="134"/>
      <c r="FG89" s="134"/>
      <c r="FH89" s="134"/>
      <c r="FI89" s="134"/>
      <c r="FJ89" s="134"/>
      <c r="FK89" s="134"/>
      <c r="FL89" s="134"/>
      <c r="FM89" s="134"/>
      <c r="FN89" s="134"/>
      <c r="FO89" s="134"/>
      <c r="FP89" s="134"/>
      <c r="FQ89" s="134"/>
      <c r="FR89" s="134"/>
      <c r="FS89" s="134"/>
      <c r="FT89" s="134"/>
      <c r="FU89" s="134"/>
      <c r="FV89" s="134"/>
      <c r="FW89" s="134"/>
      <c r="FX89" s="134"/>
      <c r="FY89" s="134"/>
      <c r="FZ89" s="134"/>
      <c r="GA89" s="134"/>
      <c r="GB89" s="134"/>
      <c r="GC89" s="134"/>
      <c r="GD89" s="134"/>
      <c r="GE89" s="134"/>
      <c r="GF89" s="134"/>
      <c r="GG89" s="134"/>
      <c r="GH89" s="134"/>
      <c r="GI89" s="134"/>
      <c r="GJ89" s="134"/>
      <c r="GK89" s="134"/>
      <c r="GL89" s="134"/>
      <c r="GM89" s="134"/>
      <c r="GN89" s="134"/>
      <c r="GO89" s="134"/>
      <c r="GP89" s="134"/>
      <c r="GQ89" s="134"/>
      <c r="GR89" s="134"/>
      <c r="GS89" s="134"/>
      <c r="GT89" s="134"/>
      <c r="GU89" s="134"/>
      <c r="GV89" s="134"/>
      <c r="GW89" s="134"/>
      <c r="GX89" s="134"/>
      <c r="GY89" s="134"/>
      <c r="GZ89" s="134"/>
      <c r="HA89" s="134"/>
      <c r="HB89" s="134"/>
      <c r="HC89" s="134"/>
      <c r="HD89" s="134"/>
      <c r="HE89" s="134"/>
      <c r="HF89" s="134"/>
      <c r="HG89" s="134"/>
      <c r="HH89" s="134"/>
      <c r="HI89" s="134"/>
      <c r="HJ89" s="134"/>
      <c r="HK89" s="134"/>
      <c r="HL89" s="134"/>
      <c r="HM89" s="134"/>
      <c r="HN89" s="134"/>
      <c r="HO89" s="134"/>
      <c r="HP89" s="134"/>
      <c r="HQ89" s="134"/>
      <c r="HR89" s="134"/>
      <c r="HS89" s="134"/>
      <c r="HT89" s="134"/>
      <c r="HU89" s="134"/>
      <c r="HV89" s="134"/>
      <c r="HW89" s="134"/>
      <c r="HX89" s="134"/>
      <c r="HY89" s="134"/>
      <c r="HZ89" s="134"/>
      <c r="IA89" s="134"/>
      <c r="IB89" s="134"/>
      <c r="IC89" s="134"/>
      <c r="ID89" s="134"/>
      <c r="IE89" s="134"/>
      <c r="IF89" s="134"/>
      <c r="IG89" s="134"/>
      <c r="IH89" s="134"/>
      <c r="II89" s="134"/>
      <c r="IJ89" s="134"/>
      <c r="IK89" s="134"/>
      <c r="IL89" s="134"/>
      <c r="IM89" s="134"/>
      <c r="IN89" s="134"/>
      <c r="IO89" s="134"/>
      <c r="IP89" s="134"/>
      <c r="IQ89" s="134"/>
      <c r="IR89" s="134"/>
      <c r="IS89" s="134"/>
      <c r="IT89" s="134"/>
      <c r="IU89" s="134"/>
      <c r="IV89" s="134"/>
      <c r="IW89" s="134"/>
      <c r="IX89" s="134"/>
      <c r="IY89" s="134"/>
      <c r="IZ89" s="134"/>
      <c r="JA89" s="134"/>
      <c r="JB89" s="134"/>
      <c r="JC89" s="134"/>
      <c r="JD89" s="134"/>
      <c r="JE89" s="134"/>
      <c r="JF89" s="134"/>
    </row>
    <row r="90" spans="2:266">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c r="BY90" s="134"/>
      <c r="BZ90" s="134"/>
      <c r="CA90" s="134"/>
      <c r="CB90" s="134"/>
      <c r="CC90" s="134"/>
      <c r="CD90" s="134"/>
      <c r="CE90" s="134"/>
      <c r="CF90" s="134"/>
      <c r="CG90" s="134"/>
      <c r="CH90" s="134"/>
      <c r="CI90" s="134"/>
      <c r="CJ90" s="134"/>
      <c r="CK90" s="134"/>
      <c r="CL90" s="134"/>
      <c r="CM90" s="134"/>
      <c r="CN90" s="134"/>
      <c r="CO90" s="134"/>
      <c r="CP90" s="134"/>
      <c r="CQ90" s="134"/>
      <c r="CR90" s="134"/>
      <c r="CS90" s="134"/>
      <c r="CT90" s="134"/>
      <c r="CU90" s="134"/>
      <c r="CV90" s="134"/>
      <c r="CW90" s="134"/>
      <c r="CX90" s="134"/>
      <c r="CY90" s="134"/>
      <c r="CZ90" s="134"/>
      <c r="DA90" s="134"/>
      <c r="DB90" s="134"/>
      <c r="DC90" s="134"/>
      <c r="DD90" s="134"/>
      <c r="DE90" s="134"/>
      <c r="DF90" s="134"/>
      <c r="DG90" s="134"/>
      <c r="DH90" s="134"/>
      <c r="DI90" s="134"/>
      <c r="DJ90" s="134"/>
      <c r="DK90" s="134"/>
      <c r="DL90" s="134"/>
      <c r="DM90" s="134"/>
      <c r="DN90" s="134"/>
      <c r="DO90" s="134"/>
      <c r="DP90" s="134"/>
      <c r="DQ90" s="134"/>
      <c r="DR90" s="134"/>
      <c r="DS90" s="134"/>
      <c r="DT90" s="134"/>
      <c r="DU90" s="134"/>
      <c r="DV90" s="134"/>
      <c r="DW90" s="134"/>
      <c r="DX90" s="134"/>
      <c r="DY90" s="134"/>
      <c r="DZ90" s="134"/>
      <c r="EA90" s="134"/>
      <c r="EB90" s="134"/>
      <c r="EC90" s="134"/>
      <c r="ED90" s="134"/>
      <c r="EE90" s="134"/>
      <c r="EF90" s="134"/>
      <c r="EG90" s="134"/>
      <c r="EH90" s="134"/>
      <c r="EI90" s="134"/>
      <c r="EJ90" s="134"/>
      <c r="EK90" s="134"/>
      <c r="EL90" s="134"/>
      <c r="EM90" s="134"/>
      <c r="EN90" s="134"/>
      <c r="EO90" s="134"/>
      <c r="EP90" s="134"/>
      <c r="EQ90" s="134"/>
      <c r="ER90" s="134"/>
      <c r="ES90" s="134"/>
      <c r="ET90" s="134"/>
      <c r="EU90" s="134"/>
      <c r="EV90" s="134"/>
      <c r="EW90" s="134"/>
      <c r="EX90" s="134"/>
      <c r="EY90" s="134"/>
      <c r="EZ90" s="134"/>
      <c r="FA90" s="134"/>
      <c r="FB90" s="134"/>
      <c r="FC90" s="134"/>
      <c r="FD90" s="134"/>
      <c r="FE90" s="134"/>
      <c r="FF90" s="134"/>
      <c r="FG90" s="134"/>
      <c r="FH90" s="134"/>
      <c r="FI90" s="134"/>
      <c r="FJ90" s="134"/>
      <c r="FK90" s="134"/>
      <c r="FL90" s="134"/>
      <c r="FM90" s="134"/>
      <c r="FN90" s="134"/>
      <c r="FO90" s="134"/>
      <c r="FP90" s="134"/>
      <c r="FQ90" s="134"/>
      <c r="FR90" s="134"/>
      <c r="FS90" s="134"/>
      <c r="FT90" s="134"/>
      <c r="FU90" s="134"/>
      <c r="FV90" s="134"/>
      <c r="FW90" s="134"/>
      <c r="FX90" s="134"/>
      <c r="FY90" s="134"/>
      <c r="FZ90" s="134"/>
      <c r="GA90" s="134"/>
      <c r="GB90" s="134"/>
      <c r="GC90" s="134"/>
      <c r="GD90" s="134"/>
      <c r="GE90" s="134"/>
      <c r="GF90" s="134"/>
      <c r="GG90" s="134"/>
      <c r="GH90" s="134"/>
      <c r="GI90" s="134"/>
      <c r="GJ90" s="134"/>
      <c r="GK90" s="134"/>
      <c r="GL90" s="134"/>
      <c r="GM90" s="134"/>
      <c r="GN90" s="134"/>
      <c r="GO90" s="134"/>
      <c r="GP90" s="134"/>
      <c r="GQ90" s="134"/>
      <c r="GR90" s="134"/>
      <c r="GS90" s="134"/>
      <c r="GT90" s="134"/>
      <c r="GU90" s="134"/>
      <c r="GV90" s="134"/>
      <c r="GW90" s="134"/>
      <c r="GX90" s="134"/>
      <c r="GY90" s="134"/>
      <c r="GZ90" s="134"/>
      <c r="HA90" s="134"/>
      <c r="HB90" s="134"/>
      <c r="HC90" s="134"/>
      <c r="HD90" s="134"/>
      <c r="HE90" s="134"/>
      <c r="HF90" s="134"/>
      <c r="HG90" s="134"/>
      <c r="HH90" s="134"/>
      <c r="HI90" s="134"/>
      <c r="HJ90" s="134"/>
      <c r="HK90" s="134"/>
      <c r="HL90" s="134"/>
      <c r="HM90" s="134"/>
      <c r="HN90" s="134"/>
      <c r="HO90" s="134"/>
      <c r="HP90" s="134"/>
      <c r="HQ90" s="134"/>
      <c r="HR90" s="134"/>
      <c r="HS90" s="134"/>
      <c r="HT90" s="134"/>
      <c r="HU90" s="134"/>
      <c r="HV90" s="134"/>
      <c r="HW90" s="134"/>
      <c r="HX90" s="134"/>
      <c r="HY90" s="134"/>
      <c r="HZ90" s="134"/>
      <c r="IA90" s="134"/>
      <c r="IB90" s="134"/>
      <c r="IC90" s="134"/>
      <c r="ID90" s="134"/>
      <c r="IE90" s="134"/>
      <c r="IF90" s="134"/>
      <c r="IG90" s="134"/>
      <c r="IH90" s="134"/>
      <c r="II90" s="134"/>
      <c r="IJ90" s="134"/>
      <c r="IK90" s="134"/>
      <c r="IL90" s="134"/>
      <c r="IM90" s="134"/>
      <c r="IN90" s="134"/>
      <c r="IO90" s="134"/>
      <c r="IP90" s="134"/>
      <c r="IQ90" s="134"/>
      <c r="IR90" s="134"/>
      <c r="IS90" s="134"/>
      <c r="IT90" s="134"/>
      <c r="IU90" s="134"/>
      <c r="IV90" s="134"/>
      <c r="IW90" s="134"/>
      <c r="IX90" s="134"/>
      <c r="IY90" s="134"/>
      <c r="IZ90" s="134"/>
      <c r="JA90" s="134"/>
      <c r="JB90" s="134"/>
      <c r="JC90" s="134"/>
      <c r="JD90" s="134"/>
      <c r="JE90" s="134"/>
      <c r="JF90" s="134"/>
    </row>
    <row r="91" spans="2:266">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c r="BY91" s="134"/>
      <c r="BZ91" s="134"/>
      <c r="CA91" s="134"/>
      <c r="CB91" s="134"/>
      <c r="CC91" s="134"/>
      <c r="CD91" s="134"/>
      <c r="CE91" s="134"/>
      <c r="CF91" s="134"/>
      <c r="CG91" s="134"/>
      <c r="CH91" s="134"/>
      <c r="CI91" s="134"/>
      <c r="CJ91" s="134"/>
      <c r="CK91" s="134"/>
      <c r="CL91" s="134"/>
      <c r="CM91" s="134"/>
      <c r="CN91" s="134"/>
      <c r="CO91" s="134"/>
      <c r="CP91" s="134"/>
      <c r="CQ91" s="134"/>
      <c r="CR91" s="134"/>
      <c r="CS91" s="134"/>
      <c r="CT91" s="134"/>
      <c r="CU91" s="134"/>
      <c r="CV91" s="134"/>
      <c r="CW91" s="134"/>
      <c r="CX91" s="134"/>
      <c r="CY91" s="134"/>
      <c r="CZ91" s="134"/>
      <c r="DA91" s="134"/>
      <c r="DB91" s="134"/>
      <c r="DC91" s="134"/>
      <c r="DD91" s="134"/>
      <c r="DE91" s="134"/>
      <c r="DF91" s="134"/>
      <c r="DG91" s="134"/>
      <c r="DH91" s="134"/>
      <c r="DI91" s="134"/>
      <c r="DJ91" s="134"/>
      <c r="DK91" s="134"/>
      <c r="DL91" s="134"/>
      <c r="DM91" s="134"/>
      <c r="DN91" s="134"/>
      <c r="DO91" s="134"/>
      <c r="DP91" s="134"/>
      <c r="DQ91" s="134"/>
      <c r="DR91" s="134"/>
      <c r="DS91" s="134"/>
      <c r="DT91" s="134"/>
      <c r="DU91" s="134"/>
      <c r="DV91" s="134"/>
      <c r="DW91" s="134"/>
      <c r="DX91" s="134"/>
      <c r="DY91" s="134"/>
      <c r="DZ91" s="134"/>
      <c r="EA91" s="134"/>
      <c r="EB91" s="134"/>
      <c r="EC91" s="134"/>
      <c r="ED91" s="134"/>
      <c r="EE91" s="134"/>
      <c r="EF91" s="134"/>
      <c r="EG91" s="134"/>
      <c r="EH91" s="134"/>
      <c r="EI91" s="134"/>
      <c r="EJ91" s="134"/>
      <c r="EK91" s="134"/>
      <c r="EL91" s="134"/>
      <c r="EM91" s="134"/>
      <c r="EN91" s="134"/>
      <c r="EO91" s="134"/>
      <c r="EP91" s="134"/>
      <c r="EQ91" s="134"/>
      <c r="ER91" s="134"/>
      <c r="ES91" s="134"/>
      <c r="ET91" s="134"/>
      <c r="EU91" s="134"/>
      <c r="EV91" s="134"/>
      <c r="EW91" s="134"/>
      <c r="EX91" s="134"/>
      <c r="EY91" s="134"/>
      <c r="EZ91" s="134"/>
      <c r="FA91" s="134"/>
      <c r="FB91" s="134"/>
      <c r="FC91" s="134"/>
      <c r="FD91" s="134"/>
      <c r="FE91" s="134"/>
      <c r="FF91" s="134"/>
      <c r="FG91" s="134"/>
      <c r="FH91" s="134"/>
      <c r="FI91" s="134"/>
      <c r="FJ91" s="134"/>
      <c r="FK91" s="134"/>
      <c r="FL91" s="134"/>
      <c r="FM91" s="134"/>
      <c r="FN91" s="134"/>
      <c r="FO91" s="134"/>
      <c r="FP91" s="134"/>
      <c r="FQ91" s="134"/>
      <c r="FR91" s="134"/>
      <c r="FS91" s="134"/>
      <c r="FT91" s="134"/>
      <c r="FU91" s="134"/>
      <c r="FV91" s="134"/>
      <c r="FW91" s="134"/>
      <c r="FX91" s="134"/>
      <c r="FY91" s="134"/>
      <c r="FZ91" s="134"/>
      <c r="GA91" s="134"/>
      <c r="GB91" s="134"/>
      <c r="GC91" s="134"/>
      <c r="GD91" s="134"/>
      <c r="GE91" s="134"/>
      <c r="GF91" s="134"/>
      <c r="GG91" s="134"/>
      <c r="GH91" s="134"/>
      <c r="GI91" s="134"/>
      <c r="GJ91" s="134"/>
      <c r="GK91" s="134"/>
      <c r="GL91" s="134"/>
      <c r="GM91" s="134"/>
      <c r="GN91" s="134"/>
      <c r="GO91" s="134"/>
      <c r="GP91" s="134"/>
      <c r="GQ91" s="134"/>
      <c r="GR91" s="134"/>
      <c r="GS91" s="134"/>
      <c r="GT91" s="134"/>
      <c r="GU91" s="134"/>
      <c r="GV91" s="134"/>
      <c r="GW91" s="134"/>
      <c r="GX91" s="134"/>
      <c r="GY91" s="134"/>
      <c r="GZ91" s="134"/>
      <c r="HA91" s="134"/>
      <c r="HB91" s="134"/>
      <c r="HC91" s="134"/>
      <c r="HD91" s="134"/>
      <c r="HE91" s="134"/>
      <c r="HF91" s="134"/>
      <c r="HG91" s="134"/>
      <c r="HH91" s="134"/>
      <c r="HI91" s="134"/>
      <c r="HJ91" s="134"/>
      <c r="HK91" s="134"/>
      <c r="HL91" s="134"/>
      <c r="HM91" s="134"/>
      <c r="HN91" s="134"/>
      <c r="HO91" s="134"/>
      <c r="HP91" s="134"/>
      <c r="HQ91" s="134"/>
      <c r="HR91" s="134"/>
      <c r="HS91" s="134"/>
      <c r="HT91" s="134"/>
      <c r="HU91" s="134"/>
      <c r="HV91" s="134"/>
      <c r="HW91" s="134"/>
      <c r="HX91" s="134"/>
      <c r="HY91" s="134"/>
      <c r="HZ91" s="134"/>
      <c r="IA91" s="134"/>
      <c r="IB91" s="134"/>
      <c r="IC91" s="134"/>
      <c r="ID91" s="134"/>
      <c r="IE91" s="134"/>
      <c r="IF91" s="134"/>
      <c r="IG91" s="134"/>
      <c r="IH91" s="134"/>
      <c r="II91" s="134"/>
      <c r="IJ91" s="134"/>
      <c r="IK91" s="134"/>
      <c r="IL91" s="134"/>
      <c r="IM91" s="134"/>
      <c r="IN91" s="134"/>
      <c r="IO91" s="134"/>
      <c r="IP91" s="134"/>
      <c r="IQ91" s="134"/>
      <c r="IR91" s="134"/>
      <c r="IS91" s="134"/>
      <c r="IT91" s="134"/>
      <c r="IU91" s="134"/>
      <c r="IV91" s="134"/>
      <c r="IW91" s="134"/>
      <c r="IX91" s="134"/>
      <c r="IY91" s="134"/>
      <c r="IZ91" s="134"/>
      <c r="JA91" s="134"/>
      <c r="JB91" s="134"/>
      <c r="JC91" s="134"/>
      <c r="JD91" s="134"/>
      <c r="JE91" s="134"/>
      <c r="JF91" s="134"/>
    </row>
    <row r="92" spans="2:266">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4"/>
      <c r="BC92" s="134"/>
      <c r="BD92" s="134"/>
      <c r="BE92" s="134"/>
      <c r="BF92" s="134"/>
      <c r="BG92" s="134"/>
      <c r="BH92" s="134"/>
      <c r="BI92" s="134"/>
      <c r="BJ92" s="134"/>
      <c r="BK92" s="134"/>
      <c r="BL92" s="134"/>
      <c r="BM92" s="134"/>
      <c r="BN92" s="134"/>
      <c r="BO92" s="134"/>
      <c r="BP92" s="134"/>
      <c r="BQ92" s="134"/>
      <c r="BR92" s="134"/>
      <c r="BS92" s="134"/>
      <c r="BT92" s="134"/>
      <c r="BU92" s="134"/>
      <c r="BV92" s="134"/>
      <c r="BW92" s="134"/>
      <c r="BX92" s="134"/>
      <c r="BY92" s="134"/>
      <c r="BZ92" s="134"/>
      <c r="CA92" s="134"/>
      <c r="CB92" s="134"/>
      <c r="CC92" s="134"/>
      <c r="CD92" s="134"/>
      <c r="CE92" s="134"/>
      <c r="CF92" s="134"/>
      <c r="CG92" s="134"/>
      <c r="CH92" s="134"/>
      <c r="CI92" s="134"/>
      <c r="CJ92" s="134"/>
      <c r="CK92" s="134"/>
      <c r="CL92" s="134"/>
      <c r="CM92" s="134"/>
      <c r="CN92" s="134"/>
      <c r="CO92" s="134"/>
      <c r="CP92" s="134"/>
      <c r="CQ92" s="134"/>
      <c r="CR92" s="134"/>
      <c r="CS92" s="134"/>
      <c r="CT92" s="134"/>
      <c r="CU92" s="134"/>
      <c r="CV92" s="134"/>
      <c r="CW92" s="134"/>
      <c r="CX92" s="134"/>
      <c r="CY92" s="134"/>
      <c r="CZ92" s="134"/>
      <c r="DA92" s="134"/>
      <c r="DB92" s="134"/>
      <c r="DC92" s="134"/>
      <c r="DD92" s="134"/>
      <c r="DE92" s="134"/>
      <c r="DF92" s="134"/>
      <c r="DG92" s="134"/>
      <c r="DH92" s="134"/>
      <c r="DI92" s="134"/>
      <c r="DJ92" s="134"/>
      <c r="DK92" s="134"/>
      <c r="DL92" s="134"/>
      <c r="DM92" s="134"/>
      <c r="DN92" s="134"/>
      <c r="DO92" s="134"/>
      <c r="DP92" s="134"/>
      <c r="DQ92" s="134"/>
      <c r="DR92" s="134"/>
      <c r="DS92" s="134"/>
      <c r="DT92" s="134"/>
      <c r="DU92" s="134"/>
      <c r="DV92" s="134"/>
      <c r="DW92" s="134"/>
      <c r="DX92" s="134"/>
      <c r="DY92" s="134"/>
      <c r="DZ92" s="134"/>
      <c r="EA92" s="134"/>
      <c r="EB92" s="134"/>
      <c r="EC92" s="134"/>
      <c r="ED92" s="134"/>
      <c r="EE92" s="134"/>
      <c r="EF92" s="134"/>
      <c r="EG92" s="134"/>
      <c r="EH92" s="134"/>
      <c r="EI92" s="134"/>
      <c r="EJ92" s="134"/>
      <c r="EK92" s="134"/>
      <c r="EL92" s="134"/>
      <c r="EM92" s="134"/>
      <c r="EN92" s="134"/>
      <c r="EO92" s="134"/>
      <c r="EP92" s="134"/>
      <c r="EQ92" s="134"/>
      <c r="ER92" s="134"/>
      <c r="ES92" s="134"/>
      <c r="ET92" s="134"/>
      <c r="EU92" s="134"/>
      <c r="EV92" s="134"/>
      <c r="EW92" s="134"/>
      <c r="EX92" s="134"/>
      <c r="EY92" s="134"/>
      <c r="EZ92" s="134"/>
      <c r="FA92" s="134"/>
      <c r="FB92" s="134"/>
      <c r="FC92" s="134"/>
      <c r="FD92" s="134"/>
      <c r="FE92" s="134"/>
      <c r="FF92" s="134"/>
      <c r="FG92" s="134"/>
      <c r="FH92" s="134"/>
      <c r="FI92" s="134"/>
      <c r="FJ92" s="134"/>
      <c r="FK92" s="134"/>
      <c r="FL92" s="134"/>
      <c r="FM92" s="134"/>
      <c r="FN92" s="134"/>
      <c r="FO92" s="134"/>
      <c r="FP92" s="134"/>
      <c r="FQ92" s="134"/>
      <c r="FR92" s="134"/>
      <c r="FS92" s="134"/>
      <c r="FT92" s="134"/>
      <c r="FU92" s="134"/>
      <c r="FV92" s="134"/>
      <c r="FW92" s="134"/>
      <c r="FX92" s="134"/>
      <c r="FY92" s="134"/>
      <c r="FZ92" s="134"/>
      <c r="GA92" s="134"/>
      <c r="GB92" s="134"/>
      <c r="GC92" s="134"/>
      <c r="GD92" s="134"/>
      <c r="GE92" s="134"/>
      <c r="GF92" s="134"/>
      <c r="GG92" s="134"/>
      <c r="GH92" s="134"/>
      <c r="GI92" s="134"/>
      <c r="GJ92" s="134"/>
      <c r="GK92" s="134"/>
      <c r="GL92" s="134"/>
      <c r="GM92" s="134"/>
      <c r="GN92" s="134"/>
      <c r="GO92" s="134"/>
      <c r="GP92" s="134"/>
      <c r="GQ92" s="134"/>
      <c r="GR92" s="134"/>
      <c r="GS92" s="134"/>
      <c r="GT92" s="134"/>
      <c r="GU92" s="134"/>
      <c r="GV92" s="134"/>
      <c r="GW92" s="134"/>
      <c r="GX92" s="134"/>
      <c r="GY92" s="134"/>
      <c r="GZ92" s="134"/>
      <c r="HA92" s="134"/>
      <c r="HB92" s="134"/>
      <c r="HC92" s="134"/>
      <c r="HD92" s="134"/>
      <c r="HE92" s="134"/>
      <c r="HF92" s="134"/>
      <c r="HG92" s="134"/>
      <c r="HH92" s="134"/>
      <c r="HI92" s="134"/>
      <c r="HJ92" s="134"/>
      <c r="HK92" s="134"/>
      <c r="HL92" s="134"/>
      <c r="HM92" s="134"/>
      <c r="HN92" s="134"/>
      <c r="HO92" s="134"/>
      <c r="HP92" s="134"/>
      <c r="HQ92" s="134"/>
      <c r="HR92" s="134"/>
      <c r="HS92" s="134"/>
      <c r="HT92" s="134"/>
      <c r="HU92" s="134"/>
      <c r="HV92" s="134"/>
      <c r="HW92" s="134"/>
      <c r="HX92" s="134"/>
      <c r="HY92" s="134"/>
      <c r="HZ92" s="134"/>
      <c r="IA92" s="134"/>
      <c r="IB92" s="134"/>
      <c r="IC92" s="134"/>
      <c r="ID92" s="134"/>
      <c r="IE92" s="134"/>
      <c r="IF92" s="134"/>
      <c r="IG92" s="134"/>
      <c r="IH92" s="134"/>
      <c r="II92" s="134"/>
      <c r="IJ92" s="134"/>
      <c r="IK92" s="134"/>
      <c r="IL92" s="134"/>
      <c r="IM92" s="134"/>
      <c r="IN92" s="134"/>
      <c r="IO92" s="134"/>
      <c r="IP92" s="134"/>
      <c r="IQ92" s="134"/>
      <c r="IR92" s="134"/>
      <c r="IS92" s="134"/>
      <c r="IT92" s="134"/>
      <c r="IU92" s="134"/>
      <c r="IV92" s="134"/>
      <c r="IW92" s="134"/>
      <c r="IX92" s="134"/>
      <c r="IY92" s="134"/>
      <c r="IZ92" s="134"/>
      <c r="JA92" s="134"/>
      <c r="JB92" s="134"/>
      <c r="JC92" s="134"/>
      <c r="JD92" s="134"/>
      <c r="JE92" s="134"/>
      <c r="JF92" s="134"/>
    </row>
    <row r="93" spans="2:266">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4"/>
      <c r="BC93" s="134"/>
      <c r="BD93" s="134"/>
      <c r="BE93" s="134"/>
      <c r="BF93" s="134"/>
      <c r="BG93" s="134"/>
      <c r="BH93" s="134"/>
      <c r="BI93" s="134"/>
      <c r="BJ93" s="134"/>
      <c r="BK93" s="134"/>
      <c r="BL93" s="134"/>
      <c r="BM93" s="134"/>
      <c r="BN93" s="134"/>
      <c r="BO93" s="134"/>
      <c r="BP93" s="134"/>
      <c r="BQ93" s="134"/>
      <c r="BR93" s="134"/>
      <c r="BS93" s="134"/>
      <c r="BT93" s="134"/>
      <c r="BU93" s="134"/>
      <c r="BV93" s="134"/>
      <c r="BW93" s="134"/>
      <c r="BX93" s="134"/>
      <c r="BY93" s="134"/>
      <c r="BZ93" s="134"/>
      <c r="CA93" s="134"/>
      <c r="CB93" s="134"/>
      <c r="CC93" s="134"/>
      <c r="CD93" s="134"/>
      <c r="CE93" s="134"/>
      <c r="CF93" s="134"/>
      <c r="CG93" s="134"/>
      <c r="CH93" s="134"/>
      <c r="CI93" s="134"/>
      <c r="CJ93" s="134"/>
      <c r="CK93" s="134"/>
      <c r="CL93" s="134"/>
      <c r="CM93" s="134"/>
      <c r="CN93" s="134"/>
      <c r="CO93" s="134"/>
      <c r="CP93" s="134"/>
      <c r="CQ93" s="134"/>
      <c r="CR93" s="134"/>
      <c r="CS93" s="134"/>
      <c r="CT93" s="134"/>
      <c r="CU93" s="134"/>
      <c r="CV93" s="134"/>
      <c r="CW93" s="134"/>
      <c r="CX93" s="134"/>
      <c r="CY93" s="134"/>
      <c r="CZ93" s="134"/>
      <c r="DA93" s="134"/>
      <c r="DB93" s="134"/>
      <c r="DC93" s="134"/>
      <c r="DD93" s="134"/>
      <c r="DE93" s="134"/>
      <c r="DF93" s="134"/>
      <c r="DG93" s="134"/>
      <c r="DH93" s="134"/>
      <c r="DI93" s="134"/>
      <c r="DJ93" s="134"/>
      <c r="DK93" s="134"/>
      <c r="DL93" s="134"/>
      <c r="DM93" s="134"/>
      <c r="DN93" s="134"/>
      <c r="DO93" s="134"/>
      <c r="DP93" s="134"/>
      <c r="DQ93" s="134"/>
      <c r="DR93" s="134"/>
      <c r="DS93" s="134"/>
      <c r="DT93" s="134"/>
      <c r="DU93" s="134"/>
      <c r="DV93" s="134"/>
      <c r="DW93" s="134"/>
      <c r="DX93" s="134"/>
      <c r="DY93" s="134"/>
      <c r="DZ93" s="134"/>
      <c r="EA93" s="134"/>
      <c r="EB93" s="134"/>
      <c r="EC93" s="134"/>
      <c r="ED93" s="134"/>
      <c r="EE93" s="134"/>
      <c r="EF93" s="134"/>
      <c r="EG93" s="134"/>
      <c r="EH93" s="134"/>
      <c r="EI93" s="134"/>
      <c r="EJ93" s="134"/>
      <c r="EK93" s="134"/>
      <c r="EL93" s="134"/>
      <c r="EM93" s="134"/>
      <c r="EN93" s="134"/>
      <c r="EO93" s="134"/>
      <c r="EP93" s="134"/>
      <c r="EQ93" s="134"/>
      <c r="ER93" s="134"/>
      <c r="ES93" s="134"/>
      <c r="ET93" s="134"/>
      <c r="EU93" s="134"/>
      <c r="EV93" s="134"/>
      <c r="EW93" s="134"/>
      <c r="EX93" s="134"/>
      <c r="EY93" s="134"/>
      <c r="EZ93" s="134"/>
      <c r="FA93" s="134"/>
      <c r="FB93" s="134"/>
      <c r="FC93" s="134"/>
      <c r="FD93" s="134"/>
      <c r="FE93" s="134"/>
      <c r="FF93" s="134"/>
      <c r="FG93" s="134"/>
      <c r="FH93" s="134"/>
      <c r="FI93" s="134"/>
      <c r="FJ93" s="134"/>
      <c r="FK93" s="134"/>
      <c r="FL93" s="134"/>
      <c r="FM93" s="134"/>
      <c r="FN93" s="134"/>
      <c r="FO93" s="134"/>
      <c r="FP93" s="134"/>
      <c r="FQ93" s="134"/>
      <c r="FR93" s="134"/>
      <c r="FS93" s="134"/>
      <c r="FT93" s="134"/>
      <c r="FU93" s="134"/>
      <c r="FV93" s="134"/>
      <c r="FW93" s="134"/>
      <c r="FX93" s="134"/>
      <c r="FY93" s="134"/>
      <c r="FZ93" s="134"/>
      <c r="GA93" s="134"/>
      <c r="GB93" s="134"/>
      <c r="GC93" s="134"/>
      <c r="GD93" s="134"/>
      <c r="GE93" s="134"/>
      <c r="GF93" s="134"/>
      <c r="GG93" s="134"/>
      <c r="GH93" s="134"/>
      <c r="GI93" s="134"/>
      <c r="GJ93" s="134"/>
      <c r="GK93" s="134"/>
      <c r="GL93" s="134"/>
      <c r="GM93" s="134"/>
      <c r="GN93" s="134"/>
      <c r="GO93" s="134"/>
      <c r="GP93" s="134"/>
      <c r="GQ93" s="134"/>
      <c r="GR93" s="134"/>
      <c r="GS93" s="134"/>
      <c r="GT93" s="134"/>
      <c r="GU93" s="134"/>
      <c r="GV93" s="134"/>
      <c r="GW93" s="134"/>
      <c r="GX93" s="134"/>
      <c r="GY93" s="134"/>
      <c r="GZ93" s="134"/>
      <c r="HA93" s="134"/>
      <c r="HB93" s="134"/>
      <c r="HC93" s="134"/>
      <c r="HD93" s="134"/>
      <c r="HE93" s="134"/>
      <c r="HF93" s="134"/>
      <c r="HG93" s="134"/>
      <c r="HH93" s="134"/>
      <c r="HI93" s="134"/>
      <c r="HJ93" s="134"/>
      <c r="HK93" s="134"/>
      <c r="HL93" s="134"/>
      <c r="HM93" s="134"/>
      <c r="HN93" s="134"/>
      <c r="HO93" s="134"/>
      <c r="HP93" s="134"/>
      <c r="HQ93" s="134"/>
      <c r="HR93" s="134"/>
      <c r="HS93" s="134"/>
      <c r="HT93" s="134"/>
      <c r="HU93" s="134"/>
      <c r="HV93" s="134"/>
      <c r="HW93" s="134"/>
      <c r="HX93" s="134"/>
      <c r="HY93" s="134"/>
      <c r="HZ93" s="134"/>
      <c r="IA93" s="134"/>
      <c r="IB93" s="134"/>
      <c r="IC93" s="134"/>
      <c r="ID93" s="134"/>
      <c r="IE93" s="134"/>
      <c r="IF93" s="134"/>
      <c r="IG93" s="134"/>
      <c r="IH93" s="134"/>
      <c r="II93" s="134"/>
      <c r="IJ93" s="134"/>
      <c r="IK93" s="134"/>
      <c r="IL93" s="134"/>
      <c r="IM93" s="134"/>
      <c r="IN93" s="134"/>
      <c r="IO93" s="134"/>
      <c r="IP93" s="134"/>
      <c r="IQ93" s="134"/>
      <c r="IR93" s="134"/>
      <c r="IS93" s="134"/>
      <c r="IT93" s="134"/>
      <c r="IU93" s="134"/>
      <c r="IV93" s="134"/>
      <c r="IW93" s="134"/>
      <c r="IX93" s="134"/>
      <c r="IY93" s="134"/>
      <c r="IZ93" s="134"/>
      <c r="JA93" s="134"/>
      <c r="JB93" s="134"/>
      <c r="JC93" s="134"/>
      <c r="JD93" s="134"/>
      <c r="JE93" s="134"/>
      <c r="JF93" s="134"/>
    </row>
    <row r="94" spans="2:266">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4"/>
      <c r="CO94" s="134"/>
      <c r="CP94" s="134"/>
      <c r="CQ94" s="134"/>
      <c r="CR94" s="134"/>
      <c r="CS94" s="134"/>
      <c r="CT94" s="134"/>
      <c r="CU94" s="134"/>
      <c r="CV94" s="134"/>
      <c r="CW94" s="134"/>
      <c r="CX94" s="134"/>
      <c r="CY94" s="134"/>
      <c r="CZ94" s="134"/>
      <c r="DA94" s="134"/>
      <c r="DB94" s="134"/>
      <c r="DC94" s="134"/>
      <c r="DD94" s="134"/>
      <c r="DE94" s="134"/>
      <c r="DF94" s="134"/>
      <c r="DG94" s="134"/>
      <c r="DH94" s="134"/>
      <c r="DI94" s="134"/>
      <c r="DJ94" s="134"/>
      <c r="DK94" s="134"/>
      <c r="DL94" s="134"/>
      <c r="DM94" s="134"/>
      <c r="DN94" s="134"/>
      <c r="DO94" s="134"/>
      <c r="DP94" s="134"/>
      <c r="DQ94" s="134"/>
      <c r="DR94" s="134"/>
      <c r="DS94" s="134"/>
      <c r="DT94" s="134"/>
      <c r="DU94" s="134"/>
      <c r="DV94" s="134"/>
      <c r="DW94" s="134"/>
      <c r="DX94" s="134"/>
      <c r="DY94" s="134"/>
      <c r="DZ94" s="134"/>
      <c r="EA94" s="134"/>
      <c r="EB94" s="134"/>
      <c r="EC94" s="134"/>
      <c r="ED94" s="134"/>
      <c r="EE94" s="134"/>
      <c r="EF94" s="134"/>
      <c r="EG94" s="134"/>
      <c r="EH94" s="134"/>
      <c r="EI94" s="134"/>
      <c r="EJ94" s="134"/>
      <c r="EK94" s="134"/>
      <c r="EL94" s="134"/>
      <c r="EM94" s="134"/>
      <c r="EN94" s="134"/>
      <c r="EO94" s="134"/>
      <c r="EP94" s="134"/>
      <c r="EQ94" s="134"/>
      <c r="ER94" s="134"/>
      <c r="ES94" s="134"/>
      <c r="ET94" s="134"/>
      <c r="EU94" s="134"/>
      <c r="EV94" s="134"/>
      <c r="EW94" s="134"/>
      <c r="EX94" s="134"/>
      <c r="EY94" s="134"/>
      <c r="EZ94" s="134"/>
      <c r="FA94" s="134"/>
      <c r="FB94" s="134"/>
      <c r="FC94" s="134"/>
      <c r="FD94" s="134"/>
      <c r="FE94" s="134"/>
      <c r="FF94" s="134"/>
      <c r="FG94" s="134"/>
      <c r="FH94" s="134"/>
      <c r="FI94" s="134"/>
      <c r="FJ94" s="134"/>
      <c r="FK94" s="134"/>
      <c r="FL94" s="134"/>
      <c r="FM94" s="134"/>
      <c r="FN94" s="134"/>
      <c r="FO94" s="134"/>
      <c r="FP94" s="134"/>
      <c r="FQ94" s="134"/>
      <c r="FR94" s="134"/>
      <c r="FS94" s="134"/>
      <c r="FT94" s="134"/>
      <c r="FU94" s="134"/>
      <c r="FV94" s="134"/>
      <c r="FW94" s="134"/>
      <c r="FX94" s="134"/>
      <c r="FY94" s="134"/>
      <c r="FZ94" s="134"/>
      <c r="GA94" s="134"/>
      <c r="GB94" s="134"/>
      <c r="GC94" s="134"/>
      <c r="GD94" s="134"/>
      <c r="GE94" s="134"/>
      <c r="GF94" s="134"/>
      <c r="GG94" s="134"/>
      <c r="GH94" s="134"/>
      <c r="GI94" s="134"/>
      <c r="GJ94" s="134"/>
      <c r="GK94" s="134"/>
      <c r="GL94" s="134"/>
      <c r="GM94" s="134"/>
      <c r="GN94" s="134"/>
      <c r="GO94" s="134"/>
      <c r="GP94" s="134"/>
      <c r="GQ94" s="134"/>
      <c r="GR94" s="134"/>
      <c r="GS94" s="134"/>
      <c r="GT94" s="134"/>
      <c r="GU94" s="134"/>
      <c r="GV94" s="134"/>
      <c r="GW94" s="134"/>
      <c r="GX94" s="134"/>
      <c r="GY94" s="134"/>
      <c r="GZ94" s="134"/>
      <c r="HA94" s="134"/>
      <c r="HB94" s="134"/>
      <c r="HC94" s="134"/>
      <c r="HD94" s="134"/>
      <c r="HE94" s="134"/>
      <c r="HF94" s="134"/>
      <c r="HG94" s="134"/>
      <c r="HH94" s="134"/>
      <c r="HI94" s="134"/>
      <c r="HJ94" s="134"/>
      <c r="HK94" s="134"/>
      <c r="HL94" s="134"/>
      <c r="HM94" s="134"/>
      <c r="HN94" s="134"/>
      <c r="HO94" s="134"/>
      <c r="HP94" s="134"/>
      <c r="HQ94" s="134"/>
      <c r="HR94" s="134"/>
      <c r="HS94" s="134"/>
      <c r="HT94" s="134"/>
      <c r="HU94" s="134"/>
      <c r="HV94" s="134"/>
      <c r="HW94" s="134"/>
      <c r="HX94" s="134"/>
      <c r="HY94" s="134"/>
      <c r="HZ94" s="134"/>
      <c r="IA94" s="134"/>
      <c r="IB94" s="134"/>
      <c r="IC94" s="134"/>
      <c r="ID94" s="134"/>
      <c r="IE94" s="134"/>
      <c r="IF94" s="134"/>
      <c r="IG94" s="134"/>
      <c r="IH94" s="134"/>
      <c r="II94" s="134"/>
      <c r="IJ94" s="134"/>
      <c r="IK94" s="134"/>
      <c r="IL94" s="134"/>
      <c r="IM94" s="134"/>
      <c r="IN94" s="134"/>
      <c r="IO94" s="134"/>
      <c r="IP94" s="134"/>
      <c r="IQ94" s="134"/>
      <c r="IR94" s="134"/>
      <c r="IS94" s="134"/>
      <c r="IT94" s="134"/>
      <c r="IU94" s="134"/>
      <c r="IV94" s="134"/>
      <c r="IW94" s="134"/>
      <c r="IX94" s="134"/>
      <c r="IY94" s="134"/>
      <c r="IZ94" s="134"/>
      <c r="JA94" s="134"/>
      <c r="JB94" s="134"/>
      <c r="JC94" s="134"/>
      <c r="JD94" s="134"/>
      <c r="JE94" s="134"/>
      <c r="JF94" s="134"/>
    </row>
    <row r="95" spans="2:266">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4"/>
      <c r="BI95" s="134"/>
      <c r="BJ95" s="134"/>
      <c r="BK95" s="134"/>
      <c r="BL95" s="134"/>
      <c r="BM95" s="134"/>
      <c r="BN95" s="134"/>
      <c r="BO95" s="134"/>
      <c r="BP95" s="134"/>
      <c r="BQ95" s="134"/>
      <c r="BR95" s="134"/>
      <c r="BS95" s="134"/>
      <c r="BT95" s="134"/>
      <c r="BU95" s="134"/>
      <c r="BV95" s="134"/>
      <c r="BW95" s="134"/>
      <c r="BX95" s="134"/>
      <c r="BY95" s="134"/>
      <c r="BZ95" s="134"/>
      <c r="CA95" s="134"/>
      <c r="CB95" s="134"/>
      <c r="CC95" s="134"/>
      <c r="CD95" s="134"/>
      <c r="CE95" s="134"/>
      <c r="CF95" s="134"/>
      <c r="CG95" s="134"/>
      <c r="CH95" s="134"/>
      <c r="CI95" s="134"/>
      <c r="CJ95" s="134"/>
      <c r="CK95" s="134"/>
      <c r="CL95" s="134"/>
      <c r="CM95" s="134"/>
      <c r="CN95" s="134"/>
      <c r="CO95" s="134"/>
      <c r="CP95" s="134"/>
      <c r="CQ95" s="134"/>
      <c r="CR95" s="134"/>
      <c r="CS95" s="134"/>
      <c r="CT95" s="134"/>
      <c r="CU95" s="134"/>
      <c r="CV95" s="134"/>
      <c r="CW95" s="134"/>
      <c r="CX95" s="134"/>
      <c r="CY95" s="134"/>
      <c r="CZ95" s="134"/>
      <c r="DA95" s="134"/>
      <c r="DB95" s="134"/>
      <c r="DC95" s="134"/>
      <c r="DD95" s="134"/>
      <c r="DE95" s="134"/>
      <c r="DF95" s="134"/>
      <c r="DG95" s="134"/>
      <c r="DH95" s="134"/>
      <c r="DI95" s="134"/>
      <c r="DJ95" s="134"/>
      <c r="DK95" s="134"/>
      <c r="DL95" s="134"/>
      <c r="DM95" s="134"/>
      <c r="DN95" s="134"/>
      <c r="DO95" s="134"/>
      <c r="DP95" s="134"/>
      <c r="DQ95" s="134"/>
      <c r="DR95" s="134"/>
      <c r="DS95" s="134"/>
      <c r="DT95" s="134"/>
      <c r="DU95" s="134"/>
      <c r="DV95" s="134"/>
      <c r="DW95" s="134"/>
      <c r="DX95" s="134"/>
      <c r="DY95" s="134"/>
      <c r="DZ95" s="134"/>
      <c r="EA95" s="134"/>
      <c r="EB95" s="134"/>
      <c r="EC95" s="134"/>
      <c r="ED95" s="134"/>
      <c r="EE95" s="134"/>
      <c r="EF95" s="134"/>
      <c r="EG95" s="134"/>
      <c r="EH95" s="134"/>
      <c r="EI95" s="134"/>
      <c r="EJ95" s="134"/>
      <c r="EK95" s="134"/>
      <c r="EL95" s="134"/>
      <c r="EM95" s="134"/>
      <c r="EN95" s="134"/>
      <c r="EO95" s="134"/>
      <c r="EP95" s="134"/>
      <c r="EQ95" s="134"/>
      <c r="ER95" s="134"/>
      <c r="ES95" s="134"/>
      <c r="ET95" s="134"/>
      <c r="EU95" s="134"/>
      <c r="EV95" s="134"/>
      <c r="EW95" s="134"/>
      <c r="EX95" s="134"/>
      <c r="EY95" s="134"/>
      <c r="EZ95" s="134"/>
      <c r="FA95" s="134"/>
      <c r="FB95" s="134"/>
      <c r="FC95" s="134"/>
      <c r="FD95" s="134"/>
      <c r="FE95" s="134"/>
      <c r="FF95" s="134"/>
      <c r="FG95" s="134"/>
      <c r="FH95" s="134"/>
      <c r="FI95" s="134"/>
      <c r="FJ95" s="134"/>
      <c r="FK95" s="134"/>
      <c r="FL95" s="134"/>
      <c r="FM95" s="134"/>
      <c r="FN95" s="134"/>
      <c r="FO95" s="134"/>
      <c r="FP95" s="134"/>
      <c r="FQ95" s="134"/>
      <c r="FR95" s="134"/>
      <c r="FS95" s="134"/>
      <c r="FT95" s="134"/>
      <c r="FU95" s="134"/>
      <c r="FV95" s="134"/>
      <c r="FW95" s="134"/>
      <c r="FX95" s="134"/>
      <c r="FY95" s="134"/>
      <c r="FZ95" s="134"/>
      <c r="GA95" s="134"/>
      <c r="GB95" s="134"/>
      <c r="GC95" s="134"/>
      <c r="GD95" s="134"/>
      <c r="GE95" s="134"/>
      <c r="GF95" s="134"/>
      <c r="GG95" s="134"/>
      <c r="GH95" s="134"/>
      <c r="GI95" s="134"/>
      <c r="GJ95" s="134"/>
      <c r="GK95" s="134"/>
      <c r="GL95" s="134"/>
      <c r="GM95" s="134"/>
      <c r="GN95" s="134"/>
      <c r="GO95" s="134"/>
      <c r="GP95" s="134"/>
      <c r="GQ95" s="134"/>
      <c r="GR95" s="134"/>
      <c r="GS95" s="134"/>
      <c r="GT95" s="134"/>
      <c r="GU95" s="134"/>
      <c r="GV95" s="134"/>
      <c r="GW95" s="134"/>
      <c r="GX95" s="134"/>
      <c r="GY95" s="134"/>
      <c r="GZ95" s="134"/>
      <c r="HA95" s="134"/>
      <c r="HB95" s="134"/>
      <c r="HC95" s="134"/>
      <c r="HD95" s="134"/>
      <c r="HE95" s="134"/>
      <c r="HF95" s="134"/>
      <c r="HG95" s="134"/>
      <c r="HH95" s="134"/>
      <c r="HI95" s="134"/>
      <c r="HJ95" s="134"/>
      <c r="HK95" s="134"/>
      <c r="HL95" s="134"/>
      <c r="HM95" s="134"/>
      <c r="HN95" s="134"/>
      <c r="HO95" s="134"/>
      <c r="HP95" s="134"/>
      <c r="HQ95" s="134"/>
      <c r="HR95" s="134"/>
      <c r="HS95" s="134"/>
      <c r="HT95" s="134"/>
      <c r="HU95" s="134"/>
      <c r="HV95" s="134"/>
      <c r="HW95" s="134"/>
      <c r="HX95" s="134"/>
      <c r="HY95" s="134"/>
      <c r="HZ95" s="134"/>
      <c r="IA95" s="134"/>
      <c r="IB95" s="134"/>
      <c r="IC95" s="134"/>
      <c r="ID95" s="134"/>
      <c r="IE95" s="134"/>
      <c r="IF95" s="134"/>
      <c r="IG95" s="134"/>
      <c r="IH95" s="134"/>
      <c r="II95" s="134"/>
      <c r="IJ95" s="134"/>
      <c r="IK95" s="134"/>
      <c r="IL95" s="134"/>
      <c r="IM95" s="134"/>
      <c r="IN95" s="134"/>
      <c r="IO95" s="134"/>
      <c r="IP95" s="134"/>
      <c r="IQ95" s="134"/>
      <c r="IR95" s="134"/>
      <c r="IS95" s="134"/>
      <c r="IT95" s="134"/>
      <c r="IU95" s="134"/>
      <c r="IV95" s="134"/>
      <c r="IW95" s="134"/>
      <c r="IX95" s="134"/>
      <c r="IY95" s="134"/>
      <c r="IZ95" s="134"/>
      <c r="JA95" s="134"/>
      <c r="JB95" s="134"/>
      <c r="JC95" s="134"/>
      <c r="JD95" s="134"/>
      <c r="JE95" s="134"/>
      <c r="JF95" s="134"/>
    </row>
    <row r="96" spans="2:266">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c r="BJ96" s="134"/>
      <c r="BK96" s="134"/>
      <c r="BL96" s="134"/>
      <c r="BM96" s="134"/>
      <c r="BN96" s="134"/>
      <c r="BO96" s="134"/>
      <c r="BP96" s="134"/>
      <c r="BQ96" s="134"/>
      <c r="BR96" s="134"/>
      <c r="BS96" s="134"/>
      <c r="BT96" s="134"/>
      <c r="BU96" s="134"/>
      <c r="BV96" s="134"/>
      <c r="BW96" s="134"/>
      <c r="BX96" s="134"/>
      <c r="BY96" s="134"/>
      <c r="BZ96" s="134"/>
      <c r="CA96" s="134"/>
      <c r="CB96" s="134"/>
      <c r="CC96" s="134"/>
      <c r="CD96" s="134"/>
      <c r="CE96" s="134"/>
      <c r="CF96" s="134"/>
      <c r="CG96" s="134"/>
      <c r="CH96" s="134"/>
      <c r="CI96" s="134"/>
      <c r="CJ96" s="134"/>
      <c r="CK96" s="134"/>
      <c r="CL96" s="134"/>
      <c r="CM96" s="134"/>
      <c r="CN96" s="134"/>
      <c r="CO96" s="134"/>
      <c r="CP96" s="134"/>
      <c r="CQ96" s="134"/>
      <c r="CR96" s="134"/>
      <c r="CS96" s="134"/>
      <c r="CT96" s="134"/>
      <c r="CU96" s="134"/>
      <c r="CV96" s="134"/>
      <c r="CW96" s="134"/>
      <c r="CX96" s="134"/>
      <c r="CY96" s="134"/>
      <c r="CZ96" s="134"/>
      <c r="DA96" s="134"/>
      <c r="DB96" s="134"/>
      <c r="DC96" s="134"/>
      <c r="DD96" s="134"/>
      <c r="DE96" s="134"/>
      <c r="DF96" s="134"/>
      <c r="DG96" s="134"/>
      <c r="DH96" s="134"/>
      <c r="DI96" s="134"/>
      <c r="DJ96" s="134"/>
      <c r="DK96" s="134"/>
      <c r="DL96" s="134"/>
      <c r="DM96" s="134"/>
      <c r="DN96" s="134"/>
      <c r="DO96" s="134"/>
      <c r="DP96" s="134"/>
      <c r="DQ96" s="134"/>
      <c r="DR96" s="134"/>
      <c r="DS96" s="134"/>
      <c r="DT96" s="134"/>
      <c r="DU96" s="134"/>
      <c r="DV96" s="134"/>
      <c r="DW96" s="134"/>
      <c r="DX96" s="134"/>
      <c r="DY96" s="134"/>
      <c r="DZ96" s="134"/>
      <c r="EA96" s="134"/>
      <c r="EB96" s="134"/>
      <c r="EC96" s="134"/>
      <c r="ED96" s="134"/>
      <c r="EE96" s="134"/>
      <c r="EF96" s="134"/>
      <c r="EG96" s="134"/>
      <c r="EH96" s="134"/>
      <c r="EI96" s="134"/>
      <c r="EJ96" s="134"/>
      <c r="EK96" s="134"/>
      <c r="EL96" s="134"/>
      <c r="EM96" s="134"/>
      <c r="EN96" s="134"/>
      <c r="EO96" s="134"/>
      <c r="EP96" s="134"/>
      <c r="EQ96" s="134"/>
      <c r="ER96" s="134"/>
      <c r="ES96" s="134"/>
      <c r="ET96" s="134"/>
      <c r="EU96" s="134"/>
      <c r="EV96" s="134"/>
      <c r="EW96" s="134"/>
      <c r="EX96" s="134"/>
      <c r="EY96" s="134"/>
      <c r="EZ96" s="134"/>
      <c r="FA96" s="134"/>
      <c r="FB96" s="134"/>
      <c r="FC96" s="134"/>
      <c r="FD96" s="134"/>
      <c r="FE96" s="134"/>
      <c r="FF96" s="134"/>
      <c r="FG96" s="134"/>
      <c r="FH96" s="134"/>
      <c r="FI96" s="134"/>
      <c r="FJ96" s="134"/>
      <c r="FK96" s="134"/>
      <c r="FL96" s="134"/>
      <c r="FM96" s="134"/>
      <c r="FN96" s="134"/>
      <c r="FO96" s="134"/>
      <c r="FP96" s="134"/>
      <c r="FQ96" s="134"/>
      <c r="FR96" s="134"/>
      <c r="FS96" s="134"/>
      <c r="FT96" s="134"/>
      <c r="FU96" s="134"/>
      <c r="FV96" s="134"/>
      <c r="FW96" s="134"/>
      <c r="FX96" s="134"/>
      <c r="FY96" s="134"/>
      <c r="FZ96" s="134"/>
      <c r="GA96" s="134"/>
      <c r="GB96" s="134"/>
      <c r="GC96" s="134"/>
      <c r="GD96" s="134"/>
      <c r="GE96" s="134"/>
      <c r="GF96" s="134"/>
      <c r="GG96" s="134"/>
      <c r="GH96" s="134"/>
      <c r="GI96" s="134"/>
      <c r="GJ96" s="134"/>
      <c r="GK96" s="134"/>
      <c r="GL96" s="134"/>
      <c r="GM96" s="134"/>
      <c r="GN96" s="134"/>
      <c r="GO96" s="134"/>
      <c r="GP96" s="134"/>
      <c r="GQ96" s="134"/>
      <c r="GR96" s="134"/>
      <c r="GS96" s="134"/>
      <c r="GT96" s="134"/>
      <c r="GU96" s="134"/>
      <c r="GV96" s="134"/>
      <c r="GW96" s="134"/>
      <c r="GX96" s="134"/>
      <c r="GY96" s="134"/>
      <c r="GZ96" s="134"/>
      <c r="HA96" s="134"/>
      <c r="HB96" s="134"/>
      <c r="HC96" s="134"/>
      <c r="HD96" s="134"/>
      <c r="HE96" s="134"/>
      <c r="HF96" s="134"/>
      <c r="HG96" s="134"/>
      <c r="HH96" s="134"/>
      <c r="HI96" s="134"/>
      <c r="HJ96" s="134"/>
      <c r="HK96" s="134"/>
      <c r="HL96" s="134"/>
      <c r="HM96" s="134"/>
      <c r="HN96" s="134"/>
      <c r="HO96" s="134"/>
      <c r="HP96" s="134"/>
      <c r="HQ96" s="134"/>
      <c r="HR96" s="134"/>
      <c r="HS96" s="134"/>
      <c r="HT96" s="134"/>
      <c r="HU96" s="134"/>
      <c r="HV96" s="134"/>
      <c r="HW96" s="134"/>
      <c r="HX96" s="134"/>
      <c r="HY96" s="134"/>
      <c r="HZ96" s="134"/>
      <c r="IA96" s="134"/>
      <c r="IB96" s="134"/>
      <c r="IC96" s="134"/>
      <c r="ID96" s="134"/>
      <c r="IE96" s="134"/>
      <c r="IF96" s="134"/>
      <c r="IG96" s="134"/>
      <c r="IH96" s="134"/>
      <c r="II96" s="134"/>
      <c r="IJ96" s="134"/>
      <c r="IK96" s="134"/>
      <c r="IL96" s="134"/>
      <c r="IM96" s="134"/>
      <c r="IN96" s="134"/>
      <c r="IO96" s="134"/>
      <c r="IP96" s="134"/>
      <c r="IQ96" s="134"/>
      <c r="IR96" s="134"/>
      <c r="IS96" s="134"/>
      <c r="IT96" s="134"/>
      <c r="IU96" s="134"/>
      <c r="IV96" s="134"/>
      <c r="IW96" s="134"/>
      <c r="IX96" s="134"/>
      <c r="IY96" s="134"/>
      <c r="IZ96" s="134"/>
      <c r="JA96" s="134"/>
      <c r="JB96" s="134"/>
      <c r="JC96" s="134"/>
      <c r="JD96" s="134"/>
      <c r="JE96" s="134"/>
      <c r="JF96" s="134"/>
    </row>
    <row r="97" spans="5:266">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c r="BG97" s="134"/>
      <c r="BH97" s="134"/>
      <c r="BI97" s="134"/>
      <c r="BJ97" s="134"/>
      <c r="BK97" s="134"/>
      <c r="BL97" s="134"/>
      <c r="BM97" s="134"/>
      <c r="BN97" s="134"/>
      <c r="BO97" s="134"/>
      <c r="BP97" s="134"/>
      <c r="BQ97" s="134"/>
      <c r="BR97" s="134"/>
      <c r="BS97" s="134"/>
      <c r="BT97" s="134"/>
      <c r="BU97" s="134"/>
      <c r="BV97" s="134"/>
      <c r="BW97" s="134"/>
      <c r="BX97" s="134"/>
      <c r="BY97" s="134"/>
      <c r="BZ97" s="134"/>
      <c r="CA97" s="134"/>
      <c r="CB97" s="134"/>
      <c r="CC97" s="134"/>
      <c r="CD97" s="134"/>
      <c r="CE97" s="134"/>
      <c r="CF97" s="134"/>
      <c r="CG97" s="134"/>
      <c r="CH97" s="134"/>
      <c r="CI97" s="134"/>
      <c r="CJ97" s="134"/>
      <c r="CK97" s="134"/>
      <c r="CL97" s="134"/>
      <c r="CM97" s="134"/>
      <c r="CN97" s="134"/>
      <c r="CO97" s="134"/>
      <c r="CP97" s="134"/>
      <c r="CQ97" s="134"/>
      <c r="CR97" s="134"/>
      <c r="CS97" s="134"/>
      <c r="CT97" s="134"/>
      <c r="CU97" s="134"/>
      <c r="CV97" s="134"/>
      <c r="CW97" s="134"/>
      <c r="CX97" s="134"/>
      <c r="CY97" s="134"/>
      <c r="CZ97" s="134"/>
      <c r="DA97" s="134"/>
      <c r="DB97" s="134"/>
      <c r="DC97" s="134"/>
      <c r="DD97" s="134"/>
      <c r="DE97" s="134"/>
      <c r="DF97" s="134"/>
      <c r="DG97" s="134"/>
      <c r="DH97" s="134"/>
      <c r="DI97" s="134"/>
      <c r="DJ97" s="134"/>
      <c r="DK97" s="134"/>
      <c r="DL97" s="134"/>
      <c r="DM97" s="134"/>
      <c r="DN97" s="134"/>
      <c r="DO97" s="134"/>
      <c r="DP97" s="134"/>
      <c r="DQ97" s="134"/>
      <c r="DR97" s="134"/>
      <c r="DS97" s="134"/>
      <c r="DT97" s="134"/>
      <c r="DU97" s="134"/>
      <c r="DV97" s="134"/>
      <c r="DW97" s="134"/>
      <c r="DX97" s="134"/>
      <c r="DY97" s="134"/>
      <c r="DZ97" s="134"/>
      <c r="EA97" s="134"/>
      <c r="EB97" s="134"/>
      <c r="EC97" s="134"/>
      <c r="ED97" s="134"/>
      <c r="EE97" s="134"/>
      <c r="EF97" s="134"/>
      <c r="EG97" s="134"/>
      <c r="EH97" s="134"/>
      <c r="EI97" s="134"/>
      <c r="EJ97" s="134"/>
      <c r="EK97" s="134"/>
      <c r="EL97" s="134"/>
      <c r="EM97" s="134"/>
      <c r="EN97" s="134"/>
      <c r="EO97" s="134"/>
      <c r="EP97" s="134"/>
      <c r="EQ97" s="134"/>
      <c r="ER97" s="134"/>
      <c r="ES97" s="134"/>
      <c r="ET97" s="134"/>
      <c r="EU97" s="134"/>
      <c r="EV97" s="134"/>
      <c r="EW97" s="134"/>
      <c r="EX97" s="134"/>
      <c r="EY97" s="134"/>
      <c r="EZ97" s="134"/>
      <c r="FA97" s="134"/>
      <c r="FB97" s="134"/>
      <c r="FC97" s="134"/>
      <c r="FD97" s="134"/>
      <c r="FE97" s="134"/>
      <c r="FF97" s="134"/>
      <c r="FG97" s="134"/>
      <c r="FH97" s="134"/>
      <c r="FI97" s="134"/>
      <c r="FJ97" s="134"/>
      <c r="FK97" s="134"/>
      <c r="FL97" s="134"/>
      <c r="FM97" s="134"/>
      <c r="FN97" s="134"/>
      <c r="FO97" s="134"/>
      <c r="FP97" s="134"/>
      <c r="FQ97" s="134"/>
      <c r="FR97" s="134"/>
      <c r="FS97" s="134"/>
      <c r="FT97" s="134"/>
      <c r="FU97" s="134"/>
      <c r="FV97" s="134"/>
      <c r="FW97" s="134"/>
      <c r="FX97" s="134"/>
      <c r="FY97" s="134"/>
      <c r="FZ97" s="134"/>
      <c r="GA97" s="134"/>
      <c r="GB97" s="134"/>
      <c r="GC97" s="134"/>
      <c r="GD97" s="134"/>
      <c r="GE97" s="134"/>
      <c r="GF97" s="134"/>
      <c r="GG97" s="134"/>
      <c r="GH97" s="134"/>
      <c r="GI97" s="134"/>
      <c r="GJ97" s="134"/>
      <c r="GK97" s="134"/>
      <c r="GL97" s="134"/>
      <c r="GM97" s="134"/>
      <c r="GN97" s="134"/>
      <c r="GO97" s="134"/>
      <c r="GP97" s="134"/>
      <c r="GQ97" s="134"/>
      <c r="GR97" s="134"/>
      <c r="GS97" s="134"/>
      <c r="GT97" s="134"/>
      <c r="GU97" s="134"/>
      <c r="GV97" s="134"/>
      <c r="GW97" s="134"/>
      <c r="GX97" s="134"/>
      <c r="GY97" s="134"/>
      <c r="GZ97" s="134"/>
      <c r="HA97" s="134"/>
      <c r="HB97" s="134"/>
      <c r="HC97" s="134"/>
      <c r="HD97" s="134"/>
      <c r="HE97" s="134"/>
      <c r="HF97" s="134"/>
      <c r="HG97" s="134"/>
      <c r="HH97" s="134"/>
      <c r="HI97" s="134"/>
      <c r="HJ97" s="134"/>
      <c r="HK97" s="134"/>
      <c r="HL97" s="134"/>
      <c r="HM97" s="134"/>
      <c r="HN97" s="134"/>
      <c r="HO97" s="134"/>
      <c r="HP97" s="134"/>
      <c r="HQ97" s="134"/>
      <c r="HR97" s="134"/>
      <c r="HS97" s="134"/>
      <c r="HT97" s="134"/>
      <c r="HU97" s="134"/>
      <c r="HV97" s="134"/>
      <c r="HW97" s="134"/>
      <c r="HX97" s="134"/>
      <c r="HY97" s="134"/>
      <c r="HZ97" s="134"/>
      <c r="IA97" s="134"/>
      <c r="IB97" s="134"/>
      <c r="IC97" s="134"/>
      <c r="ID97" s="134"/>
      <c r="IE97" s="134"/>
      <c r="IF97" s="134"/>
      <c r="IG97" s="134"/>
      <c r="IH97" s="134"/>
      <c r="II97" s="134"/>
      <c r="IJ97" s="134"/>
      <c r="IK97" s="134"/>
      <c r="IL97" s="134"/>
      <c r="IM97" s="134"/>
      <c r="IN97" s="134"/>
      <c r="IO97" s="134"/>
      <c r="IP97" s="134"/>
      <c r="IQ97" s="134"/>
      <c r="IR97" s="134"/>
      <c r="IS97" s="134"/>
      <c r="IT97" s="134"/>
      <c r="IU97" s="134"/>
      <c r="IV97" s="134"/>
      <c r="IW97" s="134"/>
      <c r="IX97" s="134"/>
      <c r="IY97" s="134"/>
      <c r="IZ97" s="134"/>
      <c r="JA97" s="134"/>
      <c r="JB97" s="134"/>
      <c r="JC97" s="134"/>
      <c r="JD97" s="134"/>
      <c r="JE97" s="134"/>
      <c r="JF97" s="134"/>
    </row>
    <row r="98" spans="5:266">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4"/>
      <c r="BR98" s="134"/>
      <c r="BS98" s="134"/>
      <c r="BT98" s="134"/>
      <c r="BU98" s="134"/>
      <c r="BV98" s="134"/>
      <c r="BW98" s="134"/>
      <c r="BX98" s="134"/>
      <c r="BY98" s="134"/>
      <c r="BZ98" s="134"/>
      <c r="CA98" s="134"/>
      <c r="CB98" s="134"/>
      <c r="CC98" s="134"/>
      <c r="CD98" s="134"/>
      <c r="CE98" s="134"/>
      <c r="CF98" s="134"/>
      <c r="CG98" s="134"/>
      <c r="CH98" s="134"/>
      <c r="CI98" s="134"/>
      <c r="CJ98" s="134"/>
      <c r="CK98" s="134"/>
      <c r="CL98" s="134"/>
      <c r="CM98" s="134"/>
      <c r="CN98" s="134"/>
      <c r="CO98" s="134"/>
      <c r="CP98" s="134"/>
      <c r="CQ98" s="134"/>
      <c r="CR98" s="134"/>
      <c r="CS98" s="134"/>
      <c r="CT98" s="134"/>
      <c r="CU98" s="134"/>
      <c r="CV98" s="134"/>
      <c r="CW98" s="134"/>
      <c r="CX98" s="134"/>
      <c r="CY98" s="134"/>
      <c r="CZ98" s="134"/>
      <c r="DA98" s="134"/>
      <c r="DB98" s="134"/>
      <c r="DC98" s="134"/>
      <c r="DD98" s="134"/>
      <c r="DE98" s="134"/>
      <c r="DF98" s="134"/>
      <c r="DG98" s="134"/>
      <c r="DH98" s="134"/>
      <c r="DI98" s="134"/>
      <c r="DJ98" s="134"/>
      <c r="DK98" s="134"/>
      <c r="DL98" s="134"/>
      <c r="DM98" s="134"/>
      <c r="DN98" s="134"/>
      <c r="DO98" s="134"/>
      <c r="DP98" s="134"/>
      <c r="DQ98" s="134"/>
      <c r="DR98" s="134"/>
      <c r="DS98" s="134"/>
      <c r="DT98" s="134"/>
      <c r="DU98" s="134"/>
      <c r="DV98" s="134"/>
      <c r="DW98" s="134"/>
      <c r="DX98" s="134"/>
      <c r="DY98" s="134"/>
      <c r="DZ98" s="134"/>
      <c r="EA98" s="134"/>
      <c r="EB98" s="134"/>
      <c r="EC98" s="134"/>
      <c r="ED98" s="134"/>
      <c r="EE98" s="134"/>
      <c r="EF98" s="134"/>
      <c r="EG98" s="134"/>
      <c r="EH98" s="134"/>
      <c r="EI98" s="134"/>
      <c r="EJ98" s="134"/>
      <c r="EK98" s="134"/>
      <c r="EL98" s="134"/>
      <c r="EM98" s="134"/>
      <c r="EN98" s="134"/>
      <c r="EO98" s="134"/>
      <c r="EP98" s="134"/>
      <c r="EQ98" s="134"/>
      <c r="ER98" s="134"/>
      <c r="ES98" s="134"/>
      <c r="ET98" s="134"/>
      <c r="EU98" s="134"/>
      <c r="EV98" s="134"/>
      <c r="EW98" s="134"/>
      <c r="EX98" s="134"/>
      <c r="EY98" s="134"/>
      <c r="EZ98" s="134"/>
      <c r="FA98" s="134"/>
      <c r="FB98" s="134"/>
      <c r="FC98" s="134"/>
      <c r="FD98" s="134"/>
      <c r="FE98" s="134"/>
      <c r="FF98" s="134"/>
      <c r="FG98" s="134"/>
      <c r="FH98" s="134"/>
      <c r="FI98" s="134"/>
      <c r="FJ98" s="134"/>
      <c r="FK98" s="134"/>
      <c r="FL98" s="134"/>
      <c r="FM98" s="134"/>
      <c r="FN98" s="134"/>
      <c r="FO98" s="134"/>
      <c r="FP98" s="134"/>
      <c r="FQ98" s="134"/>
      <c r="FR98" s="134"/>
      <c r="FS98" s="134"/>
      <c r="FT98" s="134"/>
      <c r="FU98" s="134"/>
      <c r="FV98" s="134"/>
      <c r="FW98" s="134"/>
      <c r="FX98" s="134"/>
      <c r="FY98" s="134"/>
      <c r="FZ98" s="134"/>
      <c r="GA98" s="134"/>
      <c r="GB98" s="134"/>
      <c r="GC98" s="134"/>
      <c r="GD98" s="134"/>
      <c r="GE98" s="134"/>
      <c r="GF98" s="134"/>
      <c r="GG98" s="134"/>
      <c r="GH98" s="134"/>
      <c r="GI98" s="134"/>
      <c r="GJ98" s="134"/>
      <c r="GK98" s="134"/>
      <c r="GL98" s="134"/>
      <c r="GM98" s="134"/>
      <c r="GN98" s="134"/>
      <c r="GO98" s="134"/>
      <c r="GP98" s="134"/>
      <c r="GQ98" s="134"/>
      <c r="GR98" s="134"/>
      <c r="GS98" s="134"/>
      <c r="GT98" s="134"/>
      <c r="GU98" s="134"/>
      <c r="GV98" s="134"/>
      <c r="GW98" s="134"/>
      <c r="GX98" s="134"/>
      <c r="GY98" s="134"/>
      <c r="GZ98" s="134"/>
      <c r="HA98" s="134"/>
      <c r="HB98" s="134"/>
      <c r="HC98" s="134"/>
      <c r="HD98" s="134"/>
      <c r="HE98" s="134"/>
      <c r="HF98" s="134"/>
      <c r="HG98" s="134"/>
      <c r="HH98" s="134"/>
      <c r="HI98" s="134"/>
      <c r="HJ98" s="134"/>
      <c r="HK98" s="134"/>
      <c r="HL98" s="134"/>
      <c r="HM98" s="134"/>
      <c r="HN98" s="134"/>
      <c r="HO98" s="134"/>
      <c r="HP98" s="134"/>
      <c r="HQ98" s="134"/>
      <c r="HR98" s="134"/>
      <c r="HS98" s="134"/>
      <c r="HT98" s="134"/>
      <c r="HU98" s="134"/>
      <c r="HV98" s="134"/>
      <c r="HW98" s="134"/>
      <c r="HX98" s="134"/>
      <c r="HY98" s="134"/>
      <c r="HZ98" s="134"/>
      <c r="IA98" s="134"/>
      <c r="IB98" s="134"/>
      <c r="IC98" s="134"/>
      <c r="ID98" s="134"/>
      <c r="IE98" s="134"/>
      <c r="IF98" s="134"/>
      <c r="IG98" s="134"/>
      <c r="IH98" s="134"/>
      <c r="II98" s="134"/>
      <c r="IJ98" s="134"/>
      <c r="IK98" s="134"/>
      <c r="IL98" s="134"/>
      <c r="IM98" s="134"/>
      <c r="IN98" s="134"/>
      <c r="IO98" s="134"/>
      <c r="IP98" s="134"/>
      <c r="IQ98" s="134"/>
      <c r="IR98" s="134"/>
      <c r="IS98" s="134"/>
      <c r="IT98" s="134"/>
      <c r="IU98" s="134"/>
      <c r="IV98" s="134"/>
      <c r="IW98" s="134"/>
      <c r="IX98" s="134"/>
      <c r="IY98" s="134"/>
      <c r="IZ98" s="134"/>
      <c r="JA98" s="134"/>
      <c r="JB98" s="134"/>
      <c r="JC98" s="134"/>
      <c r="JD98" s="134"/>
      <c r="JE98" s="134"/>
      <c r="JF98" s="134"/>
    </row>
    <row r="99" spans="5:266">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4"/>
      <c r="BR99" s="134"/>
      <c r="BS99" s="134"/>
      <c r="BT99" s="134"/>
      <c r="BU99" s="134"/>
      <c r="BV99" s="134"/>
      <c r="BW99" s="134"/>
      <c r="BX99" s="134"/>
      <c r="BY99" s="134"/>
      <c r="BZ99" s="134"/>
      <c r="CA99" s="134"/>
      <c r="CB99" s="134"/>
      <c r="CC99" s="134"/>
      <c r="CD99" s="134"/>
      <c r="CE99" s="134"/>
      <c r="CF99" s="134"/>
      <c r="CG99" s="134"/>
      <c r="CH99" s="134"/>
      <c r="CI99" s="134"/>
      <c r="CJ99" s="134"/>
      <c r="CK99" s="134"/>
      <c r="CL99" s="134"/>
      <c r="CM99" s="134"/>
      <c r="CN99" s="134"/>
      <c r="CO99" s="134"/>
      <c r="CP99" s="134"/>
      <c r="CQ99" s="134"/>
      <c r="CR99" s="134"/>
      <c r="CS99" s="134"/>
      <c r="CT99" s="134"/>
      <c r="CU99" s="134"/>
      <c r="CV99" s="134"/>
      <c r="CW99" s="134"/>
      <c r="CX99" s="134"/>
      <c r="CY99" s="134"/>
      <c r="CZ99" s="134"/>
      <c r="DA99" s="134"/>
      <c r="DB99" s="134"/>
      <c r="DC99" s="134"/>
      <c r="DD99" s="134"/>
      <c r="DE99" s="134"/>
      <c r="DF99" s="134"/>
      <c r="DG99" s="134"/>
      <c r="DH99" s="134"/>
      <c r="DI99" s="134"/>
      <c r="DJ99" s="134"/>
      <c r="DK99" s="134"/>
      <c r="DL99" s="134"/>
      <c r="DM99" s="134"/>
      <c r="DN99" s="134"/>
      <c r="DO99" s="134"/>
      <c r="DP99" s="134"/>
      <c r="DQ99" s="134"/>
      <c r="DR99" s="134"/>
      <c r="DS99" s="134"/>
      <c r="DT99" s="134"/>
      <c r="DU99" s="134"/>
      <c r="DV99" s="134"/>
      <c r="DW99" s="134"/>
      <c r="DX99" s="134"/>
      <c r="DY99" s="134"/>
      <c r="DZ99" s="134"/>
      <c r="EA99" s="134"/>
      <c r="EB99" s="134"/>
      <c r="EC99" s="134"/>
      <c r="ED99" s="134"/>
      <c r="EE99" s="134"/>
      <c r="EF99" s="134"/>
      <c r="EG99" s="134"/>
      <c r="EH99" s="134"/>
      <c r="EI99" s="134"/>
      <c r="EJ99" s="134"/>
      <c r="EK99" s="134"/>
      <c r="EL99" s="134"/>
      <c r="EM99" s="134"/>
      <c r="EN99" s="134"/>
      <c r="EO99" s="134"/>
      <c r="EP99" s="134"/>
      <c r="EQ99" s="134"/>
      <c r="ER99" s="134"/>
      <c r="ES99" s="134"/>
      <c r="ET99" s="134"/>
      <c r="EU99" s="134"/>
      <c r="EV99" s="134"/>
      <c r="EW99" s="134"/>
      <c r="EX99" s="134"/>
      <c r="EY99" s="134"/>
      <c r="EZ99" s="134"/>
      <c r="FA99" s="134"/>
      <c r="FB99" s="134"/>
      <c r="FC99" s="134"/>
      <c r="FD99" s="134"/>
      <c r="FE99" s="134"/>
      <c r="FF99" s="134"/>
      <c r="FG99" s="134"/>
      <c r="FH99" s="134"/>
      <c r="FI99" s="134"/>
      <c r="FJ99" s="134"/>
      <c r="FK99" s="134"/>
      <c r="FL99" s="134"/>
      <c r="FM99" s="134"/>
      <c r="FN99" s="134"/>
      <c r="FO99" s="134"/>
      <c r="FP99" s="134"/>
      <c r="FQ99" s="134"/>
      <c r="FR99" s="134"/>
      <c r="FS99" s="134"/>
      <c r="FT99" s="134"/>
      <c r="FU99" s="134"/>
      <c r="FV99" s="134"/>
      <c r="FW99" s="134"/>
      <c r="FX99" s="134"/>
      <c r="FY99" s="134"/>
      <c r="FZ99" s="134"/>
      <c r="GA99" s="134"/>
      <c r="GB99" s="134"/>
      <c r="GC99" s="134"/>
      <c r="GD99" s="134"/>
      <c r="GE99" s="134"/>
      <c r="GF99" s="134"/>
      <c r="GG99" s="134"/>
      <c r="GH99" s="134"/>
      <c r="GI99" s="134"/>
      <c r="GJ99" s="134"/>
      <c r="GK99" s="134"/>
      <c r="GL99" s="134"/>
      <c r="GM99" s="134"/>
      <c r="GN99" s="134"/>
      <c r="GO99" s="134"/>
      <c r="GP99" s="134"/>
      <c r="GQ99" s="134"/>
      <c r="GR99" s="134"/>
      <c r="GS99" s="134"/>
      <c r="GT99" s="134"/>
      <c r="GU99" s="134"/>
      <c r="GV99" s="134"/>
      <c r="GW99" s="134"/>
      <c r="GX99" s="134"/>
      <c r="GY99" s="134"/>
      <c r="GZ99" s="134"/>
      <c r="HA99" s="134"/>
      <c r="HB99" s="134"/>
      <c r="HC99" s="134"/>
      <c r="HD99" s="134"/>
      <c r="HE99" s="134"/>
      <c r="HF99" s="134"/>
      <c r="HG99" s="134"/>
      <c r="HH99" s="134"/>
      <c r="HI99" s="134"/>
      <c r="HJ99" s="134"/>
      <c r="HK99" s="134"/>
      <c r="HL99" s="134"/>
      <c r="HM99" s="134"/>
      <c r="HN99" s="134"/>
      <c r="HO99" s="134"/>
      <c r="HP99" s="134"/>
      <c r="HQ99" s="134"/>
      <c r="HR99" s="134"/>
      <c r="HS99" s="134"/>
      <c r="HT99" s="134"/>
      <c r="HU99" s="134"/>
      <c r="HV99" s="134"/>
      <c r="HW99" s="134"/>
      <c r="HX99" s="134"/>
      <c r="HY99" s="134"/>
      <c r="HZ99" s="134"/>
      <c r="IA99" s="134"/>
      <c r="IB99" s="134"/>
      <c r="IC99" s="134"/>
      <c r="ID99" s="134"/>
      <c r="IE99" s="134"/>
      <c r="IF99" s="134"/>
      <c r="IG99" s="134"/>
      <c r="IH99" s="134"/>
      <c r="II99" s="134"/>
      <c r="IJ99" s="134"/>
      <c r="IK99" s="134"/>
      <c r="IL99" s="134"/>
      <c r="IM99" s="134"/>
      <c r="IN99" s="134"/>
      <c r="IO99" s="134"/>
      <c r="IP99" s="134"/>
      <c r="IQ99" s="134"/>
      <c r="IR99" s="134"/>
      <c r="IS99" s="134"/>
      <c r="IT99" s="134"/>
      <c r="IU99" s="134"/>
      <c r="IV99" s="134"/>
      <c r="IW99" s="134"/>
      <c r="IX99" s="134"/>
      <c r="IY99" s="134"/>
      <c r="IZ99" s="134"/>
      <c r="JA99" s="134"/>
      <c r="JB99" s="134"/>
      <c r="JC99" s="134"/>
      <c r="JD99" s="134"/>
      <c r="JE99" s="134"/>
      <c r="JF99" s="134"/>
    </row>
    <row r="100" spans="5:266">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4"/>
      <c r="CA100" s="134"/>
      <c r="CB100" s="134"/>
      <c r="CC100" s="134"/>
      <c r="CD100" s="134"/>
      <c r="CE100" s="134"/>
      <c r="CF100" s="134"/>
      <c r="CG100" s="134"/>
      <c r="CH100" s="134"/>
      <c r="CI100" s="134"/>
      <c r="CJ100" s="134"/>
      <c r="CK100" s="134"/>
      <c r="CL100" s="134"/>
      <c r="CM100" s="134"/>
      <c r="CN100" s="134"/>
      <c r="CO100" s="134"/>
      <c r="CP100" s="134"/>
      <c r="CQ100" s="134"/>
      <c r="CR100" s="134"/>
      <c r="CS100" s="134"/>
      <c r="CT100" s="134"/>
      <c r="CU100" s="134"/>
      <c r="CV100" s="134"/>
      <c r="CW100" s="134"/>
      <c r="CX100" s="134"/>
      <c r="CY100" s="134"/>
      <c r="CZ100" s="134"/>
      <c r="DA100" s="134"/>
      <c r="DB100" s="134"/>
      <c r="DC100" s="134"/>
      <c r="DD100" s="134"/>
      <c r="DE100" s="134"/>
      <c r="DF100" s="134"/>
      <c r="DG100" s="134"/>
      <c r="DH100" s="134"/>
      <c r="DI100" s="134"/>
      <c r="DJ100" s="134"/>
      <c r="DK100" s="134"/>
      <c r="DL100" s="134"/>
      <c r="DM100" s="134"/>
      <c r="DN100" s="134"/>
      <c r="DO100" s="134"/>
      <c r="DP100" s="134"/>
      <c r="DQ100" s="134"/>
      <c r="DR100" s="134"/>
      <c r="DS100" s="134"/>
      <c r="DT100" s="134"/>
      <c r="DU100" s="134"/>
      <c r="DV100" s="134"/>
      <c r="DW100" s="134"/>
      <c r="DX100" s="134"/>
      <c r="DY100" s="134"/>
      <c r="DZ100" s="134"/>
      <c r="EA100" s="134"/>
      <c r="EB100" s="134"/>
      <c r="EC100" s="134"/>
      <c r="ED100" s="134"/>
      <c r="EE100" s="134"/>
      <c r="EF100" s="134"/>
      <c r="EG100" s="134"/>
      <c r="EH100" s="134"/>
      <c r="EI100" s="134"/>
      <c r="EJ100" s="134"/>
      <c r="EK100" s="134"/>
      <c r="EL100" s="134"/>
      <c r="EM100" s="134"/>
      <c r="EN100" s="134"/>
      <c r="EO100" s="134"/>
      <c r="EP100" s="134"/>
      <c r="EQ100" s="134"/>
      <c r="ER100" s="134"/>
      <c r="ES100" s="134"/>
      <c r="ET100" s="134"/>
      <c r="EU100" s="134"/>
      <c r="EV100" s="134"/>
      <c r="EW100" s="134"/>
      <c r="EX100" s="134"/>
      <c r="EY100" s="134"/>
      <c r="EZ100" s="134"/>
      <c r="FA100" s="134"/>
      <c r="FB100" s="134"/>
      <c r="FC100" s="134"/>
      <c r="FD100" s="134"/>
      <c r="FE100" s="134"/>
      <c r="FF100" s="134"/>
      <c r="FG100" s="134"/>
      <c r="FH100" s="134"/>
      <c r="FI100" s="134"/>
      <c r="FJ100" s="134"/>
      <c r="FK100" s="134"/>
      <c r="FL100" s="134"/>
      <c r="FM100" s="134"/>
      <c r="FN100" s="134"/>
      <c r="FO100" s="134"/>
      <c r="FP100" s="134"/>
      <c r="FQ100" s="134"/>
      <c r="FR100" s="134"/>
      <c r="FS100" s="134"/>
      <c r="FT100" s="134"/>
      <c r="FU100" s="134"/>
      <c r="FV100" s="134"/>
      <c r="FW100" s="134"/>
      <c r="FX100" s="134"/>
      <c r="FY100" s="134"/>
      <c r="FZ100" s="134"/>
      <c r="GA100" s="134"/>
      <c r="GB100" s="134"/>
      <c r="GC100" s="134"/>
      <c r="GD100" s="134"/>
      <c r="GE100" s="134"/>
      <c r="GF100" s="134"/>
      <c r="GG100" s="134"/>
      <c r="GH100" s="134"/>
      <c r="GI100" s="134"/>
      <c r="GJ100" s="134"/>
      <c r="GK100" s="134"/>
      <c r="GL100" s="134"/>
      <c r="GM100" s="134"/>
      <c r="GN100" s="134"/>
      <c r="GO100" s="134"/>
      <c r="GP100" s="134"/>
      <c r="GQ100" s="134"/>
      <c r="GR100" s="134"/>
      <c r="GS100" s="134"/>
      <c r="GT100" s="134"/>
      <c r="GU100" s="134"/>
      <c r="GV100" s="134"/>
      <c r="GW100" s="134"/>
      <c r="GX100" s="134"/>
      <c r="GY100" s="134"/>
      <c r="GZ100" s="134"/>
      <c r="HA100" s="134"/>
      <c r="HB100" s="134"/>
      <c r="HC100" s="134"/>
      <c r="HD100" s="134"/>
      <c r="HE100" s="134"/>
      <c r="HF100" s="134"/>
      <c r="HG100" s="134"/>
      <c r="HH100" s="134"/>
      <c r="HI100" s="134"/>
      <c r="HJ100" s="134"/>
      <c r="HK100" s="134"/>
      <c r="HL100" s="134"/>
      <c r="HM100" s="134"/>
      <c r="HN100" s="134"/>
      <c r="HO100" s="134"/>
      <c r="HP100" s="134"/>
      <c r="HQ100" s="134"/>
      <c r="HR100" s="134"/>
      <c r="HS100" s="134"/>
      <c r="HT100" s="134"/>
      <c r="HU100" s="134"/>
      <c r="HV100" s="134"/>
      <c r="HW100" s="134"/>
      <c r="HX100" s="134"/>
      <c r="HY100" s="134"/>
      <c r="HZ100" s="134"/>
      <c r="IA100" s="134"/>
      <c r="IB100" s="134"/>
      <c r="IC100" s="134"/>
      <c r="ID100" s="134"/>
      <c r="IE100" s="134"/>
      <c r="IF100" s="134"/>
      <c r="IG100" s="134"/>
      <c r="IH100" s="134"/>
      <c r="II100" s="134"/>
      <c r="IJ100" s="134"/>
      <c r="IK100" s="134"/>
      <c r="IL100" s="134"/>
      <c r="IM100" s="134"/>
      <c r="IN100" s="134"/>
      <c r="IO100" s="134"/>
      <c r="IP100" s="134"/>
      <c r="IQ100" s="134"/>
      <c r="IR100" s="134"/>
      <c r="IS100" s="134"/>
      <c r="IT100" s="134"/>
      <c r="IU100" s="134"/>
      <c r="IV100" s="134"/>
      <c r="IW100" s="134"/>
      <c r="IX100" s="134"/>
      <c r="IY100" s="134"/>
      <c r="IZ100" s="134"/>
      <c r="JA100" s="134"/>
      <c r="JB100" s="134"/>
      <c r="JC100" s="134"/>
      <c r="JD100" s="134"/>
      <c r="JE100" s="134"/>
      <c r="JF100" s="134"/>
    </row>
    <row r="101" spans="5:266">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c r="BZ101" s="134"/>
      <c r="CA101" s="134"/>
      <c r="CB101" s="134"/>
      <c r="CC101" s="134"/>
      <c r="CD101" s="134"/>
      <c r="CE101" s="134"/>
      <c r="CF101" s="134"/>
      <c r="CG101" s="134"/>
      <c r="CH101" s="134"/>
      <c r="CI101" s="134"/>
      <c r="CJ101" s="134"/>
      <c r="CK101" s="134"/>
      <c r="CL101" s="134"/>
      <c r="CM101" s="134"/>
      <c r="CN101" s="134"/>
      <c r="CO101" s="134"/>
      <c r="CP101" s="134"/>
      <c r="CQ101" s="134"/>
      <c r="CR101" s="134"/>
      <c r="CS101" s="134"/>
      <c r="CT101" s="134"/>
      <c r="CU101" s="134"/>
      <c r="CV101" s="134"/>
      <c r="CW101" s="134"/>
      <c r="CX101" s="134"/>
      <c r="CY101" s="134"/>
      <c r="CZ101" s="134"/>
      <c r="DA101" s="134"/>
      <c r="DB101" s="134"/>
      <c r="DC101" s="134"/>
      <c r="DD101" s="134"/>
      <c r="DE101" s="134"/>
      <c r="DF101" s="134"/>
      <c r="DG101" s="134"/>
      <c r="DH101" s="134"/>
      <c r="DI101" s="134"/>
      <c r="DJ101" s="134"/>
      <c r="DK101" s="134"/>
      <c r="DL101" s="134"/>
      <c r="DM101" s="134"/>
      <c r="DN101" s="134"/>
      <c r="DO101" s="134"/>
      <c r="DP101" s="134"/>
      <c r="DQ101" s="134"/>
      <c r="DR101" s="134"/>
      <c r="DS101" s="134"/>
      <c r="DT101" s="134"/>
      <c r="DU101" s="134"/>
      <c r="DV101" s="134"/>
      <c r="DW101" s="134"/>
      <c r="DX101" s="134"/>
      <c r="DY101" s="134"/>
      <c r="DZ101" s="134"/>
      <c r="EA101" s="134"/>
      <c r="EB101" s="134"/>
      <c r="EC101" s="134"/>
      <c r="ED101" s="134"/>
      <c r="EE101" s="134"/>
      <c r="EF101" s="134"/>
      <c r="EG101" s="134"/>
      <c r="EH101" s="134"/>
      <c r="EI101" s="134"/>
      <c r="EJ101" s="134"/>
      <c r="EK101" s="134"/>
      <c r="EL101" s="134"/>
      <c r="EM101" s="134"/>
      <c r="EN101" s="134"/>
      <c r="EO101" s="134"/>
      <c r="EP101" s="134"/>
      <c r="EQ101" s="134"/>
      <c r="ER101" s="134"/>
      <c r="ES101" s="134"/>
      <c r="ET101" s="134"/>
      <c r="EU101" s="134"/>
      <c r="EV101" s="134"/>
      <c r="EW101" s="134"/>
      <c r="EX101" s="134"/>
      <c r="EY101" s="134"/>
      <c r="EZ101" s="134"/>
      <c r="FA101" s="134"/>
      <c r="FB101" s="134"/>
      <c r="FC101" s="134"/>
      <c r="FD101" s="134"/>
      <c r="FE101" s="134"/>
      <c r="FF101" s="134"/>
      <c r="FG101" s="134"/>
      <c r="FH101" s="134"/>
      <c r="FI101" s="134"/>
      <c r="FJ101" s="134"/>
      <c r="FK101" s="134"/>
      <c r="FL101" s="134"/>
      <c r="FM101" s="134"/>
      <c r="FN101" s="134"/>
      <c r="FO101" s="134"/>
      <c r="FP101" s="134"/>
      <c r="FQ101" s="134"/>
      <c r="FR101" s="134"/>
      <c r="FS101" s="134"/>
      <c r="FT101" s="134"/>
      <c r="FU101" s="134"/>
      <c r="FV101" s="134"/>
      <c r="FW101" s="134"/>
      <c r="FX101" s="134"/>
      <c r="FY101" s="134"/>
      <c r="FZ101" s="134"/>
      <c r="GA101" s="134"/>
      <c r="GB101" s="134"/>
      <c r="GC101" s="134"/>
      <c r="GD101" s="134"/>
      <c r="GE101" s="134"/>
      <c r="GF101" s="134"/>
      <c r="GG101" s="134"/>
      <c r="GH101" s="134"/>
      <c r="GI101" s="134"/>
      <c r="GJ101" s="134"/>
      <c r="GK101" s="134"/>
      <c r="GL101" s="134"/>
      <c r="GM101" s="134"/>
      <c r="GN101" s="134"/>
      <c r="GO101" s="134"/>
      <c r="GP101" s="134"/>
      <c r="GQ101" s="134"/>
      <c r="GR101" s="134"/>
      <c r="GS101" s="134"/>
      <c r="GT101" s="134"/>
      <c r="GU101" s="134"/>
      <c r="GV101" s="134"/>
      <c r="GW101" s="134"/>
      <c r="GX101" s="134"/>
      <c r="GY101" s="134"/>
      <c r="GZ101" s="134"/>
      <c r="HA101" s="134"/>
      <c r="HB101" s="134"/>
      <c r="HC101" s="134"/>
      <c r="HD101" s="134"/>
      <c r="HE101" s="134"/>
      <c r="HF101" s="134"/>
      <c r="HG101" s="134"/>
      <c r="HH101" s="134"/>
      <c r="HI101" s="134"/>
      <c r="HJ101" s="134"/>
      <c r="HK101" s="134"/>
      <c r="HL101" s="134"/>
      <c r="HM101" s="134"/>
      <c r="HN101" s="134"/>
      <c r="HO101" s="134"/>
      <c r="HP101" s="134"/>
      <c r="HQ101" s="134"/>
      <c r="HR101" s="134"/>
      <c r="HS101" s="134"/>
      <c r="HT101" s="134"/>
      <c r="HU101" s="134"/>
      <c r="HV101" s="134"/>
      <c r="HW101" s="134"/>
      <c r="HX101" s="134"/>
      <c r="HY101" s="134"/>
      <c r="HZ101" s="134"/>
      <c r="IA101" s="134"/>
      <c r="IB101" s="134"/>
      <c r="IC101" s="134"/>
      <c r="ID101" s="134"/>
      <c r="IE101" s="134"/>
      <c r="IF101" s="134"/>
      <c r="IG101" s="134"/>
      <c r="IH101" s="134"/>
      <c r="II101" s="134"/>
      <c r="IJ101" s="134"/>
      <c r="IK101" s="134"/>
      <c r="IL101" s="134"/>
      <c r="IM101" s="134"/>
      <c r="IN101" s="134"/>
      <c r="IO101" s="134"/>
      <c r="IP101" s="134"/>
      <c r="IQ101" s="134"/>
      <c r="IR101" s="134"/>
      <c r="IS101" s="134"/>
      <c r="IT101" s="134"/>
      <c r="IU101" s="134"/>
      <c r="IV101" s="134"/>
      <c r="IW101" s="134"/>
      <c r="IX101" s="134"/>
      <c r="IY101" s="134"/>
      <c r="IZ101" s="134"/>
      <c r="JA101" s="134"/>
      <c r="JB101" s="134"/>
      <c r="JC101" s="134"/>
      <c r="JD101" s="134"/>
      <c r="JE101" s="134"/>
      <c r="JF101" s="134"/>
    </row>
    <row r="102" spans="5:266">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4"/>
      <c r="CF102" s="134"/>
      <c r="CG102" s="134"/>
      <c r="CH102" s="134"/>
      <c r="CI102" s="134"/>
      <c r="CJ102" s="134"/>
      <c r="CK102" s="134"/>
      <c r="CL102" s="134"/>
      <c r="CM102" s="134"/>
      <c r="CN102" s="134"/>
      <c r="CO102" s="134"/>
      <c r="CP102" s="134"/>
      <c r="CQ102" s="134"/>
      <c r="CR102" s="134"/>
      <c r="CS102" s="134"/>
      <c r="CT102" s="134"/>
      <c r="CU102" s="134"/>
      <c r="CV102" s="134"/>
      <c r="CW102" s="134"/>
      <c r="CX102" s="134"/>
      <c r="CY102" s="134"/>
      <c r="CZ102" s="134"/>
      <c r="DA102" s="134"/>
      <c r="DB102" s="134"/>
      <c r="DC102" s="134"/>
      <c r="DD102" s="134"/>
      <c r="DE102" s="134"/>
      <c r="DF102" s="134"/>
      <c r="DG102" s="134"/>
      <c r="DH102" s="134"/>
      <c r="DI102" s="134"/>
      <c r="DJ102" s="134"/>
      <c r="DK102" s="134"/>
      <c r="DL102" s="134"/>
      <c r="DM102" s="134"/>
      <c r="DN102" s="134"/>
      <c r="DO102" s="134"/>
      <c r="DP102" s="134"/>
      <c r="DQ102" s="134"/>
      <c r="DR102" s="134"/>
      <c r="DS102" s="134"/>
      <c r="DT102" s="134"/>
      <c r="DU102" s="134"/>
      <c r="DV102" s="134"/>
      <c r="DW102" s="134"/>
      <c r="DX102" s="134"/>
      <c r="DY102" s="134"/>
      <c r="DZ102" s="134"/>
      <c r="EA102" s="134"/>
      <c r="EB102" s="134"/>
      <c r="EC102" s="134"/>
      <c r="ED102" s="134"/>
      <c r="EE102" s="134"/>
      <c r="EF102" s="134"/>
      <c r="EG102" s="134"/>
      <c r="EH102" s="134"/>
      <c r="EI102" s="134"/>
      <c r="EJ102" s="134"/>
      <c r="EK102" s="134"/>
      <c r="EL102" s="134"/>
      <c r="EM102" s="134"/>
      <c r="EN102" s="134"/>
      <c r="EO102" s="134"/>
      <c r="EP102" s="134"/>
      <c r="EQ102" s="134"/>
      <c r="ER102" s="134"/>
      <c r="ES102" s="134"/>
      <c r="ET102" s="134"/>
      <c r="EU102" s="134"/>
      <c r="EV102" s="134"/>
      <c r="EW102" s="134"/>
      <c r="EX102" s="134"/>
      <c r="EY102" s="134"/>
      <c r="EZ102" s="134"/>
      <c r="FA102" s="134"/>
      <c r="FB102" s="134"/>
      <c r="FC102" s="134"/>
      <c r="FD102" s="134"/>
      <c r="FE102" s="134"/>
      <c r="FF102" s="134"/>
      <c r="FG102" s="134"/>
      <c r="FH102" s="134"/>
      <c r="FI102" s="134"/>
      <c r="FJ102" s="134"/>
      <c r="FK102" s="134"/>
      <c r="FL102" s="134"/>
      <c r="FM102" s="134"/>
      <c r="FN102" s="134"/>
      <c r="FO102" s="134"/>
      <c r="FP102" s="134"/>
      <c r="FQ102" s="134"/>
      <c r="FR102" s="134"/>
      <c r="FS102" s="134"/>
      <c r="FT102" s="134"/>
      <c r="FU102" s="134"/>
      <c r="FV102" s="134"/>
      <c r="FW102" s="134"/>
      <c r="FX102" s="134"/>
      <c r="FY102" s="134"/>
      <c r="FZ102" s="134"/>
      <c r="GA102" s="134"/>
      <c r="GB102" s="134"/>
      <c r="GC102" s="134"/>
      <c r="GD102" s="134"/>
      <c r="GE102" s="134"/>
      <c r="GF102" s="134"/>
      <c r="GG102" s="134"/>
      <c r="GH102" s="134"/>
      <c r="GI102" s="134"/>
      <c r="GJ102" s="134"/>
      <c r="GK102" s="134"/>
      <c r="GL102" s="134"/>
      <c r="GM102" s="134"/>
      <c r="GN102" s="134"/>
      <c r="GO102" s="134"/>
      <c r="GP102" s="134"/>
      <c r="GQ102" s="134"/>
      <c r="GR102" s="134"/>
      <c r="GS102" s="134"/>
      <c r="GT102" s="134"/>
      <c r="GU102" s="134"/>
      <c r="GV102" s="134"/>
      <c r="GW102" s="134"/>
      <c r="GX102" s="134"/>
      <c r="GY102" s="134"/>
      <c r="GZ102" s="134"/>
      <c r="HA102" s="134"/>
      <c r="HB102" s="134"/>
      <c r="HC102" s="134"/>
      <c r="HD102" s="134"/>
      <c r="HE102" s="134"/>
      <c r="HF102" s="134"/>
      <c r="HG102" s="134"/>
      <c r="HH102" s="134"/>
      <c r="HI102" s="134"/>
      <c r="HJ102" s="134"/>
      <c r="HK102" s="134"/>
      <c r="HL102" s="134"/>
      <c r="HM102" s="134"/>
      <c r="HN102" s="134"/>
      <c r="HO102" s="134"/>
      <c r="HP102" s="134"/>
      <c r="HQ102" s="134"/>
      <c r="HR102" s="134"/>
      <c r="HS102" s="134"/>
      <c r="HT102" s="134"/>
      <c r="HU102" s="134"/>
      <c r="HV102" s="134"/>
      <c r="HW102" s="134"/>
      <c r="HX102" s="134"/>
      <c r="HY102" s="134"/>
      <c r="HZ102" s="134"/>
      <c r="IA102" s="134"/>
      <c r="IB102" s="134"/>
      <c r="IC102" s="134"/>
      <c r="ID102" s="134"/>
      <c r="IE102" s="134"/>
      <c r="IF102" s="134"/>
      <c r="IG102" s="134"/>
      <c r="IH102" s="134"/>
      <c r="II102" s="134"/>
      <c r="IJ102" s="134"/>
      <c r="IK102" s="134"/>
      <c r="IL102" s="134"/>
      <c r="IM102" s="134"/>
      <c r="IN102" s="134"/>
      <c r="IO102" s="134"/>
      <c r="IP102" s="134"/>
      <c r="IQ102" s="134"/>
      <c r="IR102" s="134"/>
      <c r="IS102" s="134"/>
      <c r="IT102" s="134"/>
      <c r="IU102" s="134"/>
      <c r="IV102" s="134"/>
      <c r="IW102" s="134"/>
      <c r="IX102" s="134"/>
      <c r="IY102" s="134"/>
      <c r="IZ102" s="134"/>
      <c r="JA102" s="134"/>
      <c r="JB102" s="134"/>
      <c r="JC102" s="134"/>
      <c r="JD102" s="134"/>
      <c r="JE102" s="134"/>
      <c r="JF102" s="134"/>
    </row>
    <row r="103" spans="5:266">
      <c r="E103" s="4"/>
      <c r="F103" s="4"/>
      <c r="G103" s="4"/>
      <c r="H103" s="4"/>
      <c r="I103" s="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c r="BP103" s="134"/>
      <c r="BQ103" s="134"/>
      <c r="BR103" s="134"/>
      <c r="BS103" s="134"/>
      <c r="BT103" s="134"/>
      <c r="BU103" s="134"/>
      <c r="BV103" s="134"/>
      <c r="BW103" s="134"/>
      <c r="BX103" s="134"/>
      <c r="BY103" s="134"/>
      <c r="BZ103" s="134"/>
      <c r="CA103" s="134"/>
      <c r="CB103" s="134"/>
      <c r="CC103" s="134"/>
      <c r="CD103" s="134"/>
      <c r="CE103" s="134"/>
      <c r="CF103" s="134"/>
      <c r="CG103" s="134"/>
      <c r="CH103" s="134"/>
      <c r="CI103" s="134"/>
      <c r="CJ103" s="134"/>
      <c r="CK103" s="134"/>
      <c r="CL103" s="134"/>
      <c r="CM103" s="134"/>
      <c r="CN103" s="134"/>
      <c r="CO103" s="134"/>
      <c r="CP103" s="134"/>
      <c r="CQ103" s="134"/>
      <c r="CR103" s="134"/>
      <c r="CS103" s="134"/>
      <c r="CT103" s="134"/>
      <c r="CU103" s="134"/>
      <c r="CV103" s="134"/>
      <c r="CW103" s="134"/>
      <c r="CX103" s="134"/>
      <c r="CY103" s="134"/>
      <c r="CZ103" s="134"/>
      <c r="DA103" s="134"/>
      <c r="DB103" s="134"/>
      <c r="DC103" s="134"/>
      <c r="DD103" s="134"/>
      <c r="DE103" s="134"/>
      <c r="DF103" s="134"/>
      <c r="DG103" s="134"/>
      <c r="DH103" s="134"/>
      <c r="DI103" s="134"/>
      <c r="DJ103" s="134"/>
      <c r="DK103" s="134"/>
      <c r="DL103" s="134"/>
      <c r="DM103" s="134"/>
      <c r="DN103" s="134"/>
      <c r="DO103" s="134"/>
      <c r="DP103" s="134"/>
      <c r="DQ103" s="134"/>
      <c r="DR103" s="134"/>
      <c r="DS103" s="134"/>
      <c r="DT103" s="134"/>
      <c r="DU103" s="134"/>
      <c r="DV103" s="134"/>
      <c r="DW103" s="134"/>
      <c r="DX103" s="134"/>
      <c r="DY103" s="134"/>
      <c r="DZ103" s="134"/>
      <c r="EA103" s="134"/>
      <c r="EB103" s="134"/>
      <c r="EC103" s="134"/>
      <c r="ED103" s="134"/>
      <c r="EE103" s="134"/>
      <c r="EF103" s="134"/>
      <c r="EG103" s="134"/>
      <c r="EH103" s="134"/>
      <c r="EI103" s="134"/>
      <c r="EJ103" s="134"/>
      <c r="EK103" s="134"/>
      <c r="EL103" s="134"/>
      <c r="EM103" s="134"/>
      <c r="EN103" s="134"/>
      <c r="EO103" s="134"/>
      <c r="EP103" s="134"/>
      <c r="EQ103" s="134"/>
      <c r="ER103" s="134"/>
      <c r="ES103" s="134"/>
      <c r="ET103" s="134"/>
      <c r="EU103" s="134"/>
      <c r="EV103" s="134"/>
      <c r="EW103" s="134"/>
      <c r="EX103" s="134"/>
      <c r="EY103" s="134"/>
      <c r="EZ103" s="134"/>
      <c r="FA103" s="134"/>
      <c r="FB103" s="134"/>
      <c r="FC103" s="134"/>
      <c r="FD103" s="134"/>
      <c r="FE103" s="134"/>
      <c r="FF103" s="134"/>
      <c r="FG103" s="134"/>
      <c r="FH103" s="134"/>
      <c r="FI103" s="134"/>
      <c r="FJ103" s="134"/>
      <c r="FK103" s="134"/>
      <c r="FL103" s="134"/>
      <c r="FM103" s="134"/>
      <c r="FN103" s="134"/>
      <c r="FO103" s="134"/>
      <c r="FP103" s="134"/>
      <c r="FQ103" s="134"/>
      <c r="FR103" s="134"/>
      <c r="FS103" s="134"/>
      <c r="FT103" s="134"/>
      <c r="FU103" s="134"/>
      <c r="FV103" s="134"/>
      <c r="FW103" s="134"/>
      <c r="FX103" s="134"/>
      <c r="FY103" s="134"/>
      <c r="FZ103" s="134"/>
      <c r="GA103" s="134"/>
      <c r="GB103" s="134"/>
      <c r="GC103" s="134"/>
      <c r="GD103" s="134"/>
      <c r="GE103" s="134"/>
      <c r="GF103" s="134"/>
      <c r="GG103" s="134"/>
      <c r="GH103" s="134"/>
      <c r="GI103" s="134"/>
      <c r="GJ103" s="134"/>
      <c r="GK103" s="134"/>
      <c r="GL103" s="134"/>
      <c r="GM103" s="134"/>
      <c r="GN103" s="134"/>
      <c r="GO103" s="134"/>
      <c r="GP103" s="134"/>
      <c r="GQ103" s="134"/>
      <c r="GR103" s="134"/>
      <c r="GS103" s="134"/>
      <c r="GT103" s="134"/>
      <c r="GU103" s="134"/>
      <c r="GV103" s="134"/>
      <c r="GW103" s="134"/>
      <c r="GX103" s="134"/>
      <c r="GY103" s="134"/>
      <c r="GZ103" s="134"/>
      <c r="HA103" s="134"/>
      <c r="HB103" s="134"/>
      <c r="HC103" s="134"/>
      <c r="HD103" s="134"/>
      <c r="HE103" s="134"/>
      <c r="HF103" s="134"/>
      <c r="HG103" s="134"/>
      <c r="HH103" s="134"/>
      <c r="HI103" s="134"/>
      <c r="HJ103" s="134"/>
      <c r="HK103" s="134"/>
      <c r="HL103" s="134"/>
      <c r="HM103" s="134"/>
      <c r="HN103" s="134"/>
      <c r="HO103" s="134"/>
      <c r="HP103" s="134"/>
      <c r="HQ103" s="134"/>
      <c r="HR103" s="134"/>
      <c r="HS103" s="134"/>
      <c r="HT103" s="134"/>
      <c r="HU103" s="134"/>
      <c r="HV103" s="134"/>
      <c r="HW103" s="134"/>
      <c r="HX103" s="134"/>
      <c r="HY103" s="134"/>
      <c r="HZ103" s="134"/>
      <c r="IA103" s="134"/>
      <c r="IB103" s="134"/>
      <c r="IC103" s="134"/>
      <c r="ID103" s="134"/>
      <c r="IE103" s="134"/>
      <c r="IF103" s="134"/>
      <c r="IG103" s="134"/>
      <c r="IH103" s="134"/>
      <c r="II103" s="134"/>
      <c r="IJ103" s="134"/>
      <c r="IK103" s="134"/>
      <c r="IL103" s="134"/>
      <c r="IM103" s="134"/>
      <c r="IN103" s="134"/>
      <c r="IO103" s="134"/>
      <c r="IP103" s="134"/>
      <c r="IQ103" s="134"/>
      <c r="IR103" s="134"/>
      <c r="IS103" s="134"/>
      <c r="IT103" s="134"/>
      <c r="IU103" s="134"/>
      <c r="IV103" s="134"/>
      <c r="IW103" s="134"/>
      <c r="IX103" s="134"/>
      <c r="IY103" s="134"/>
      <c r="IZ103" s="134"/>
      <c r="JA103" s="134"/>
      <c r="JB103" s="134"/>
      <c r="JC103" s="134"/>
      <c r="JD103" s="134"/>
      <c r="JE103" s="134"/>
      <c r="JF103" s="134"/>
    </row>
    <row r="104" spans="5:266">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4"/>
      <c r="BT104" s="134"/>
      <c r="BU104" s="134"/>
      <c r="BV104" s="134"/>
      <c r="BW104" s="134"/>
      <c r="BX104" s="134"/>
      <c r="BY104" s="134"/>
      <c r="BZ104" s="134"/>
      <c r="CA104" s="134"/>
      <c r="CB104" s="134"/>
      <c r="CC104" s="134"/>
      <c r="CD104" s="134"/>
      <c r="CE104" s="134"/>
      <c r="CF104" s="134"/>
      <c r="CG104" s="134"/>
      <c r="CH104" s="134"/>
      <c r="CI104" s="134"/>
      <c r="CJ104" s="134"/>
      <c r="CK104" s="134"/>
      <c r="CL104" s="134"/>
      <c r="CM104" s="134"/>
      <c r="CN104" s="134"/>
      <c r="CO104" s="134"/>
      <c r="CP104" s="134"/>
      <c r="CQ104" s="134"/>
      <c r="CR104" s="134"/>
      <c r="CS104" s="134"/>
      <c r="CT104" s="134"/>
      <c r="CU104" s="134"/>
      <c r="CV104" s="134"/>
      <c r="CW104" s="134"/>
      <c r="CX104" s="134"/>
      <c r="CY104" s="134"/>
      <c r="CZ104" s="134"/>
      <c r="DA104" s="134"/>
      <c r="DB104" s="134"/>
      <c r="DC104" s="134"/>
      <c r="DD104" s="134"/>
      <c r="DE104" s="134"/>
      <c r="DF104" s="134"/>
      <c r="DG104" s="134"/>
      <c r="DH104" s="134"/>
      <c r="DI104" s="134"/>
      <c r="DJ104" s="134"/>
      <c r="DK104" s="134"/>
      <c r="DL104" s="134"/>
      <c r="DM104" s="134"/>
      <c r="DN104" s="134"/>
      <c r="DO104" s="134"/>
      <c r="DP104" s="134"/>
      <c r="DQ104" s="134"/>
      <c r="DR104" s="134"/>
      <c r="DS104" s="134"/>
      <c r="DT104" s="134"/>
      <c r="DU104" s="134"/>
      <c r="DV104" s="134"/>
      <c r="DW104" s="134"/>
      <c r="DX104" s="134"/>
      <c r="DY104" s="134"/>
      <c r="DZ104" s="134"/>
      <c r="EA104" s="134"/>
      <c r="EB104" s="134"/>
      <c r="EC104" s="134"/>
      <c r="ED104" s="134"/>
      <c r="EE104" s="134"/>
      <c r="EF104" s="134"/>
      <c r="EG104" s="134"/>
      <c r="EH104" s="134"/>
      <c r="EI104" s="134"/>
      <c r="EJ104" s="134"/>
      <c r="EK104" s="134"/>
      <c r="EL104" s="134"/>
      <c r="EM104" s="134"/>
      <c r="EN104" s="134"/>
      <c r="EO104" s="134"/>
      <c r="EP104" s="134"/>
      <c r="EQ104" s="134"/>
      <c r="ER104" s="134"/>
      <c r="ES104" s="134"/>
      <c r="ET104" s="134"/>
      <c r="EU104" s="134"/>
      <c r="EV104" s="134"/>
      <c r="EW104" s="134"/>
      <c r="EX104" s="134"/>
      <c r="EY104" s="134"/>
      <c r="EZ104" s="134"/>
      <c r="FA104" s="134"/>
      <c r="FB104" s="134"/>
      <c r="FC104" s="134"/>
      <c r="FD104" s="134"/>
      <c r="FE104" s="134"/>
      <c r="FF104" s="134"/>
      <c r="FG104" s="134"/>
      <c r="FH104" s="134"/>
      <c r="FI104" s="134"/>
      <c r="FJ104" s="134"/>
      <c r="FK104" s="134"/>
      <c r="FL104" s="134"/>
      <c r="FM104" s="134"/>
      <c r="FN104" s="134"/>
      <c r="FO104" s="134"/>
      <c r="FP104" s="134"/>
      <c r="FQ104" s="134"/>
      <c r="FR104" s="134"/>
      <c r="FS104" s="134"/>
      <c r="FT104" s="134"/>
      <c r="FU104" s="134"/>
      <c r="FV104" s="134"/>
      <c r="FW104" s="134"/>
      <c r="FX104" s="134"/>
      <c r="FY104" s="134"/>
      <c r="FZ104" s="134"/>
      <c r="GA104" s="134"/>
      <c r="GB104" s="134"/>
      <c r="GC104" s="134"/>
      <c r="GD104" s="134"/>
      <c r="GE104" s="134"/>
      <c r="GF104" s="134"/>
      <c r="GG104" s="134"/>
      <c r="GH104" s="134"/>
      <c r="GI104" s="134"/>
      <c r="GJ104" s="134"/>
      <c r="GK104" s="134"/>
      <c r="GL104" s="134"/>
      <c r="GM104" s="134"/>
      <c r="GN104" s="134"/>
      <c r="GO104" s="134"/>
      <c r="GP104" s="134"/>
      <c r="GQ104" s="134"/>
      <c r="GR104" s="134"/>
      <c r="GS104" s="134"/>
      <c r="GT104" s="134"/>
      <c r="GU104" s="134"/>
      <c r="GV104" s="134"/>
      <c r="GW104" s="134"/>
      <c r="GX104" s="134"/>
      <c r="GY104" s="134"/>
      <c r="GZ104" s="134"/>
      <c r="HA104" s="134"/>
      <c r="HB104" s="134"/>
      <c r="HC104" s="134"/>
      <c r="HD104" s="134"/>
      <c r="HE104" s="134"/>
      <c r="HF104" s="134"/>
      <c r="HG104" s="134"/>
      <c r="HH104" s="134"/>
      <c r="HI104" s="134"/>
      <c r="HJ104" s="134"/>
      <c r="HK104" s="134"/>
      <c r="HL104" s="134"/>
      <c r="HM104" s="134"/>
      <c r="HN104" s="134"/>
      <c r="HO104" s="134"/>
      <c r="HP104" s="134"/>
      <c r="HQ104" s="134"/>
      <c r="HR104" s="134"/>
      <c r="HS104" s="134"/>
      <c r="HT104" s="134"/>
      <c r="HU104" s="134"/>
      <c r="HV104" s="134"/>
      <c r="HW104" s="134"/>
      <c r="HX104" s="134"/>
      <c r="HY104" s="134"/>
      <c r="HZ104" s="134"/>
      <c r="IA104" s="134"/>
      <c r="IB104" s="134"/>
      <c r="IC104" s="134"/>
      <c r="ID104" s="134"/>
      <c r="IE104" s="134"/>
      <c r="IF104" s="134"/>
      <c r="IG104" s="134"/>
      <c r="IH104" s="134"/>
      <c r="II104" s="134"/>
      <c r="IJ104" s="134"/>
      <c r="IK104" s="134"/>
      <c r="IL104" s="134"/>
      <c r="IM104" s="134"/>
      <c r="IN104" s="134"/>
      <c r="IO104" s="134"/>
      <c r="IP104" s="134"/>
      <c r="IQ104" s="134"/>
      <c r="IR104" s="134"/>
      <c r="IS104" s="134"/>
      <c r="IT104" s="134"/>
      <c r="IU104" s="134"/>
      <c r="IV104" s="134"/>
      <c r="IW104" s="134"/>
      <c r="IX104" s="134"/>
      <c r="IY104" s="134"/>
      <c r="IZ104" s="134"/>
      <c r="JA104" s="134"/>
      <c r="JB104" s="134"/>
      <c r="JC104" s="134"/>
      <c r="JD104" s="134"/>
      <c r="JE104" s="134"/>
      <c r="JF104" s="134"/>
    </row>
    <row r="105" spans="5:266">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c r="BS105" s="134"/>
      <c r="BT105" s="134"/>
      <c r="BU105" s="134"/>
      <c r="BV105" s="134"/>
      <c r="BW105" s="134"/>
      <c r="BX105" s="134"/>
      <c r="BY105" s="134"/>
      <c r="BZ105" s="134"/>
      <c r="CA105" s="134"/>
      <c r="CB105" s="134"/>
      <c r="CC105" s="134"/>
      <c r="CD105" s="134"/>
      <c r="CE105" s="134"/>
      <c r="CF105" s="134"/>
      <c r="CG105" s="134"/>
      <c r="CH105" s="134"/>
      <c r="CI105" s="134"/>
      <c r="CJ105" s="134"/>
      <c r="CK105" s="134"/>
      <c r="CL105" s="134"/>
      <c r="CM105" s="134"/>
      <c r="CN105" s="134"/>
      <c r="CO105" s="134"/>
      <c r="CP105" s="134"/>
      <c r="CQ105" s="134"/>
      <c r="CR105" s="134"/>
      <c r="CS105" s="134"/>
      <c r="CT105" s="134"/>
      <c r="CU105" s="134"/>
      <c r="CV105" s="134"/>
      <c r="CW105" s="134"/>
      <c r="CX105" s="134"/>
      <c r="CY105" s="134"/>
      <c r="CZ105" s="134"/>
      <c r="DA105" s="134"/>
      <c r="DB105" s="134"/>
      <c r="DC105" s="134"/>
      <c r="DD105" s="134"/>
      <c r="DE105" s="134"/>
      <c r="DF105" s="134"/>
      <c r="DG105" s="134"/>
      <c r="DH105" s="134"/>
      <c r="DI105" s="134"/>
      <c r="DJ105" s="134"/>
      <c r="DK105" s="134"/>
      <c r="DL105" s="134"/>
      <c r="DM105" s="134"/>
      <c r="DN105" s="134"/>
      <c r="DO105" s="134"/>
      <c r="DP105" s="134"/>
      <c r="DQ105" s="134"/>
      <c r="DR105" s="134"/>
      <c r="DS105" s="134"/>
      <c r="DT105" s="134"/>
      <c r="DU105" s="134"/>
      <c r="DV105" s="134"/>
      <c r="DW105" s="134"/>
      <c r="DX105" s="134"/>
      <c r="DY105" s="134"/>
      <c r="DZ105" s="134"/>
      <c r="EA105" s="134"/>
      <c r="EB105" s="134"/>
      <c r="EC105" s="134"/>
      <c r="ED105" s="134"/>
      <c r="EE105" s="134"/>
      <c r="EF105" s="134"/>
      <c r="EG105" s="134"/>
      <c r="EH105" s="134"/>
      <c r="EI105" s="134"/>
      <c r="EJ105" s="134"/>
      <c r="EK105" s="134"/>
      <c r="EL105" s="134"/>
      <c r="EM105" s="134"/>
      <c r="EN105" s="134"/>
      <c r="EO105" s="134"/>
      <c r="EP105" s="134"/>
      <c r="EQ105" s="134"/>
      <c r="ER105" s="134"/>
      <c r="ES105" s="134"/>
      <c r="ET105" s="134"/>
      <c r="EU105" s="134"/>
      <c r="EV105" s="134"/>
      <c r="EW105" s="134"/>
      <c r="EX105" s="134"/>
      <c r="EY105" s="134"/>
      <c r="EZ105" s="134"/>
      <c r="FA105" s="134"/>
      <c r="FB105" s="134"/>
      <c r="FC105" s="134"/>
      <c r="FD105" s="134"/>
      <c r="FE105" s="134"/>
      <c r="FF105" s="134"/>
      <c r="FG105" s="134"/>
      <c r="FH105" s="134"/>
      <c r="FI105" s="134"/>
      <c r="FJ105" s="134"/>
      <c r="FK105" s="134"/>
      <c r="FL105" s="134"/>
      <c r="FM105" s="134"/>
      <c r="FN105" s="134"/>
      <c r="FO105" s="134"/>
      <c r="FP105" s="134"/>
      <c r="FQ105" s="134"/>
      <c r="FR105" s="134"/>
      <c r="FS105" s="134"/>
      <c r="FT105" s="134"/>
      <c r="FU105" s="134"/>
      <c r="FV105" s="134"/>
      <c r="FW105" s="134"/>
      <c r="FX105" s="134"/>
      <c r="FY105" s="134"/>
      <c r="FZ105" s="134"/>
      <c r="GA105" s="134"/>
      <c r="GB105" s="134"/>
      <c r="GC105" s="134"/>
      <c r="GD105" s="134"/>
      <c r="GE105" s="134"/>
      <c r="GF105" s="134"/>
      <c r="GG105" s="134"/>
      <c r="GH105" s="134"/>
      <c r="GI105" s="134"/>
      <c r="GJ105" s="134"/>
      <c r="GK105" s="134"/>
      <c r="GL105" s="134"/>
      <c r="GM105" s="134"/>
      <c r="GN105" s="134"/>
      <c r="GO105" s="134"/>
      <c r="GP105" s="134"/>
      <c r="GQ105" s="134"/>
      <c r="GR105" s="134"/>
      <c r="GS105" s="134"/>
      <c r="GT105" s="134"/>
      <c r="GU105" s="134"/>
      <c r="GV105" s="134"/>
      <c r="GW105" s="134"/>
      <c r="GX105" s="134"/>
      <c r="GY105" s="134"/>
      <c r="GZ105" s="134"/>
      <c r="HA105" s="134"/>
      <c r="HB105" s="134"/>
      <c r="HC105" s="134"/>
      <c r="HD105" s="134"/>
      <c r="HE105" s="134"/>
      <c r="HF105" s="134"/>
      <c r="HG105" s="134"/>
      <c r="HH105" s="134"/>
      <c r="HI105" s="134"/>
      <c r="HJ105" s="134"/>
      <c r="HK105" s="134"/>
      <c r="HL105" s="134"/>
      <c r="HM105" s="134"/>
      <c r="HN105" s="134"/>
      <c r="HO105" s="134"/>
      <c r="HP105" s="134"/>
      <c r="HQ105" s="134"/>
      <c r="HR105" s="134"/>
      <c r="HS105" s="134"/>
      <c r="HT105" s="134"/>
      <c r="HU105" s="134"/>
      <c r="HV105" s="134"/>
      <c r="HW105" s="134"/>
      <c r="HX105" s="134"/>
      <c r="HY105" s="134"/>
      <c r="HZ105" s="134"/>
      <c r="IA105" s="134"/>
      <c r="IB105" s="134"/>
      <c r="IC105" s="134"/>
      <c r="ID105" s="134"/>
      <c r="IE105" s="134"/>
      <c r="IF105" s="134"/>
      <c r="IG105" s="134"/>
      <c r="IH105" s="134"/>
      <c r="II105" s="134"/>
      <c r="IJ105" s="134"/>
      <c r="IK105" s="134"/>
      <c r="IL105" s="134"/>
      <c r="IM105" s="134"/>
      <c r="IN105" s="134"/>
      <c r="IO105" s="134"/>
      <c r="IP105" s="134"/>
      <c r="IQ105" s="134"/>
      <c r="IR105" s="134"/>
      <c r="IS105" s="134"/>
      <c r="IT105" s="134"/>
      <c r="IU105" s="134"/>
      <c r="IV105" s="134"/>
      <c r="IW105" s="134"/>
      <c r="IX105" s="134"/>
      <c r="IY105" s="134"/>
      <c r="IZ105" s="134"/>
      <c r="JA105" s="134"/>
      <c r="JB105" s="134"/>
      <c r="JC105" s="134"/>
      <c r="JD105" s="134"/>
      <c r="JE105" s="134"/>
      <c r="JF105" s="134"/>
    </row>
    <row r="106" spans="5:266">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34"/>
      <c r="CM106" s="134"/>
      <c r="CN106" s="134"/>
      <c r="CO106" s="134"/>
      <c r="CP106" s="134"/>
      <c r="CQ106" s="134"/>
      <c r="CR106" s="134"/>
      <c r="CS106" s="134"/>
      <c r="CT106" s="134"/>
      <c r="CU106" s="134"/>
      <c r="CV106" s="134"/>
      <c r="CW106" s="134"/>
      <c r="CX106" s="134"/>
      <c r="CY106" s="134"/>
      <c r="CZ106" s="134"/>
      <c r="DA106" s="134"/>
      <c r="DB106" s="134"/>
      <c r="DC106" s="134"/>
      <c r="DD106" s="134"/>
      <c r="DE106" s="134"/>
      <c r="DF106" s="134"/>
      <c r="DG106" s="134"/>
      <c r="DH106" s="134"/>
      <c r="DI106" s="134"/>
      <c r="DJ106" s="134"/>
      <c r="DK106" s="134"/>
      <c r="DL106" s="134"/>
      <c r="DM106" s="134"/>
      <c r="DN106" s="134"/>
      <c r="DO106" s="134"/>
      <c r="DP106" s="134"/>
      <c r="DQ106" s="134"/>
      <c r="DR106" s="134"/>
      <c r="DS106" s="134"/>
      <c r="DT106" s="134"/>
      <c r="DU106" s="134"/>
      <c r="DV106" s="134"/>
      <c r="DW106" s="134"/>
      <c r="DX106" s="134"/>
      <c r="DY106" s="134"/>
      <c r="DZ106" s="134"/>
      <c r="EA106" s="134"/>
      <c r="EB106" s="134"/>
      <c r="EC106" s="134"/>
      <c r="ED106" s="134"/>
      <c r="EE106" s="134"/>
      <c r="EF106" s="134"/>
      <c r="EG106" s="134"/>
      <c r="EH106" s="134"/>
      <c r="EI106" s="134"/>
      <c r="EJ106" s="134"/>
      <c r="EK106" s="134"/>
      <c r="EL106" s="134"/>
      <c r="EM106" s="134"/>
      <c r="EN106" s="134"/>
      <c r="EO106" s="134"/>
      <c r="EP106" s="134"/>
      <c r="EQ106" s="134"/>
      <c r="ER106" s="134"/>
      <c r="ES106" s="134"/>
      <c r="ET106" s="134"/>
      <c r="EU106" s="134"/>
      <c r="EV106" s="134"/>
      <c r="EW106" s="134"/>
      <c r="EX106" s="134"/>
      <c r="EY106" s="134"/>
      <c r="EZ106" s="134"/>
      <c r="FA106" s="134"/>
      <c r="FB106" s="134"/>
      <c r="FC106" s="134"/>
      <c r="FD106" s="134"/>
      <c r="FE106" s="134"/>
      <c r="FF106" s="134"/>
      <c r="FG106" s="134"/>
      <c r="FH106" s="134"/>
      <c r="FI106" s="134"/>
      <c r="FJ106" s="134"/>
      <c r="FK106" s="134"/>
      <c r="FL106" s="134"/>
      <c r="FM106" s="134"/>
      <c r="FN106" s="134"/>
      <c r="FO106" s="134"/>
      <c r="FP106" s="134"/>
      <c r="FQ106" s="134"/>
      <c r="FR106" s="134"/>
      <c r="FS106" s="134"/>
      <c r="FT106" s="134"/>
      <c r="FU106" s="134"/>
      <c r="FV106" s="134"/>
      <c r="FW106" s="134"/>
      <c r="FX106" s="134"/>
      <c r="FY106" s="134"/>
      <c r="FZ106" s="134"/>
      <c r="GA106" s="134"/>
      <c r="GB106" s="134"/>
      <c r="GC106" s="134"/>
      <c r="GD106" s="134"/>
      <c r="GE106" s="134"/>
      <c r="GF106" s="134"/>
      <c r="GG106" s="134"/>
      <c r="GH106" s="134"/>
      <c r="GI106" s="134"/>
      <c r="GJ106" s="134"/>
      <c r="GK106" s="134"/>
      <c r="GL106" s="134"/>
      <c r="GM106" s="134"/>
      <c r="GN106" s="134"/>
      <c r="GO106" s="134"/>
      <c r="GP106" s="134"/>
      <c r="GQ106" s="134"/>
      <c r="GR106" s="134"/>
      <c r="GS106" s="134"/>
      <c r="GT106" s="134"/>
      <c r="GU106" s="134"/>
      <c r="GV106" s="134"/>
      <c r="GW106" s="134"/>
      <c r="GX106" s="134"/>
      <c r="GY106" s="134"/>
      <c r="GZ106" s="134"/>
      <c r="HA106" s="134"/>
      <c r="HB106" s="134"/>
      <c r="HC106" s="134"/>
      <c r="HD106" s="134"/>
      <c r="HE106" s="134"/>
      <c r="HF106" s="134"/>
      <c r="HG106" s="134"/>
      <c r="HH106" s="134"/>
      <c r="HI106" s="134"/>
      <c r="HJ106" s="134"/>
      <c r="HK106" s="134"/>
      <c r="HL106" s="134"/>
      <c r="HM106" s="134"/>
      <c r="HN106" s="134"/>
      <c r="HO106" s="134"/>
      <c r="HP106" s="134"/>
      <c r="HQ106" s="134"/>
      <c r="HR106" s="134"/>
      <c r="HS106" s="134"/>
      <c r="HT106" s="134"/>
      <c r="HU106" s="134"/>
      <c r="HV106" s="134"/>
      <c r="HW106" s="134"/>
      <c r="HX106" s="134"/>
      <c r="HY106" s="134"/>
      <c r="HZ106" s="134"/>
      <c r="IA106" s="134"/>
      <c r="IB106" s="134"/>
      <c r="IC106" s="134"/>
      <c r="ID106" s="134"/>
      <c r="IE106" s="134"/>
      <c r="IF106" s="134"/>
      <c r="IG106" s="134"/>
      <c r="IH106" s="134"/>
      <c r="II106" s="134"/>
      <c r="IJ106" s="134"/>
      <c r="IK106" s="134"/>
      <c r="IL106" s="134"/>
      <c r="IM106" s="134"/>
      <c r="IN106" s="134"/>
      <c r="IO106" s="134"/>
      <c r="IP106" s="134"/>
      <c r="IQ106" s="134"/>
      <c r="IR106" s="134"/>
      <c r="IS106" s="134"/>
      <c r="IT106" s="134"/>
      <c r="IU106" s="134"/>
      <c r="IV106" s="134"/>
      <c r="IW106" s="134"/>
      <c r="IX106" s="134"/>
      <c r="IY106" s="134"/>
      <c r="IZ106" s="134"/>
      <c r="JA106" s="134"/>
      <c r="JB106" s="134"/>
      <c r="JC106" s="134"/>
      <c r="JD106" s="134"/>
      <c r="JE106" s="134"/>
      <c r="JF106" s="134"/>
    </row>
    <row r="107" spans="5:266">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c r="CS107" s="134"/>
      <c r="CT107" s="134"/>
      <c r="CU107" s="134"/>
      <c r="CV107" s="134"/>
      <c r="CW107" s="134"/>
      <c r="CX107" s="134"/>
      <c r="CY107" s="134"/>
      <c r="CZ107" s="134"/>
      <c r="DA107" s="134"/>
      <c r="DB107" s="134"/>
      <c r="DC107" s="134"/>
      <c r="DD107" s="134"/>
      <c r="DE107" s="134"/>
      <c r="DF107" s="134"/>
      <c r="DG107" s="134"/>
      <c r="DH107" s="134"/>
      <c r="DI107" s="134"/>
      <c r="DJ107" s="134"/>
      <c r="DK107" s="134"/>
      <c r="DL107" s="134"/>
      <c r="DM107" s="134"/>
      <c r="DN107" s="134"/>
      <c r="DO107" s="134"/>
      <c r="DP107" s="134"/>
      <c r="DQ107" s="134"/>
      <c r="DR107" s="134"/>
      <c r="DS107" s="134"/>
      <c r="DT107" s="134"/>
      <c r="DU107" s="134"/>
      <c r="DV107" s="134"/>
      <c r="DW107" s="134"/>
      <c r="DX107" s="134"/>
      <c r="DY107" s="134"/>
      <c r="DZ107" s="134"/>
      <c r="EA107" s="134"/>
      <c r="EB107" s="134"/>
      <c r="EC107" s="134"/>
      <c r="ED107" s="134"/>
      <c r="EE107" s="134"/>
      <c r="EF107" s="134"/>
      <c r="EG107" s="134"/>
      <c r="EH107" s="134"/>
      <c r="EI107" s="134"/>
      <c r="EJ107" s="134"/>
      <c r="EK107" s="134"/>
      <c r="EL107" s="134"/>
      <c r="EM107" s="134"/>
      <c r="EN107" s="134"/>
      <c r="EO107" s="134"/>
      <c r="EP107" s="134"/>
      <c r="EQ107" s="134"/>
      <c r="ER107" s="134"/>
      <c r="ES107" s="134"/>
      <c r="ET107" s="134"/>
      <c r="EU107" s="134"/>
      <c r="EV107" s="134"/>
      <c r="EW107" s="134"/>
      <c r="EX107" s="134"/>
      <c r="EY107" s="134"/>
      <c r="EZ107" s="134"/>
      <c r="FA107" s="134"/>
      <c r="FB107" s="134"/>
      <c r="FC107" s="134"/>
      <c r="FD107" s="134"/>
      <c r="FE107" s="134"/>
      <c r="FF107" s="134"/>
      <c r="FG107" s="134"/>
      <c r="FH107" s="134"/>
      <c r="FI107" s="134"/>
      <c r="FJ107" s="134"/>
      <c r="FK107" s="134"/>
      <c r="FL107" s="134"/>
      <c r="FM107" s="134"/>
      <c r="FN107" s="134"/>
      <c r="FO107" s="134"/>
      <c r="FP107" s="134"/>
      <c r="FQ107" s="134"/>
      <c r="FR107" s="134"/>
      <c r="FS107" s="134"/>
      <c r="FT107" s="134"/>
      <c r="FU107" s="134"/>
      <c r="FV107" s="134"/>
      <c r="FW107" s="134"/>
      <c r="FX107" s="134"/>
      <c r="FY107" s="134"/>
      <c r="FZ107" s="134"/>
      <c r="GA107" s="134"/>
      <c r="GB107" s="134"/>
      <c r="GC107" s="134"/>
      <c r="GD107" s="134"/>
      <c r="GE107" s="134"/>
      <c r="GF107" s="134"/>
      <c r="GG107" s="134"/>
      <c r="GH107" s="134"/>
      <c r="GI107" s="134"/>
      <c r="GJ107" s="134"/>
      <c r="GK107" s="134"/>
      <c r="GL107" s="134"/>
      <c r="GM107" s="134"/>
      <c r="GN107" s="134"/>
      <c r="GO107" s="134"/>
      <c r="GP107" s="134"/>
      <c r="GQ107" s="134"/>
      <c r="GR107" s="134"/>
      <c r="GS107" s="134"/>
      <c r="GT107" s="134"/>
      <c r="GU107" s="134"/>
      <c r="GV107" s="134"/>
      <c r="GW107" s="134"/>
      <c r="GX107" s="134"/>
      <c r="GY107" s="134"/>
      <c r="GZ107" s="134"/>
      <c r="HA107" s="134"/>
      <c r="HB107" s="134"/>
      <c r="HC107" s="134"/>
      <c r="HD107" s="134"/>
      <c r="HE107" s="134"/>
      <c r="HF107" s="134"/>
      <c r="HG107" s="134"/>
      <c r="HH107" s="134"/>
      <c r="HI107" s="134"/>
      <c r="HJ107" s="134"/>
      <c r="HK107" s="134"/>
      <c r="HL107" s="134"/>
      <c r="HM107" s="134"/>
      <c r="HN107" s="134"/>
      <c r="HO107" s="134"/>
      <c r="HP107" s="134"/>
      <c r="HQ107" s="134"/>
      <c r="HR107" s="134"/>
      <c r="HS107" s="134"/>
      <c r="HT107" s="134"/>
      <c r="HU107" s="134"/>
      <c r="HV107" s="134"/>
      <c r="HW107" s="134"/>
      <c r="HX107" s="134"/>
      <c r="HY107" s="134"/>
      <c r="HZ107" s="134"/>
      <c r="IA107" s="134"/>
      <c r="IB107" s="134"/>
      <c r="IC107" s="134"/>
      <c r="ID107" s="134"/>
      <c r="IE107" s="134"/>
      <c r="IF107" s="134"/>
      <c r="IG107" s="134"/>
      <c r="IH107" s="134"/>
      <c r="II107" s="134"/>
      <c r="IJ107" s="134"/>
      <c r="IK107" s="134"/>
      <c r="IL107" s="134"/>
      <c r="IM107" s="134"/>
      <c r="IN107" s="134"/>
      <c r="IO107" s="134"/>
      <c r="IP107" s="134"/>
      <c r="IQ107" s="134"/>
      <c r="IR107" s="134"/>
      <c r="IS107" s="134"/>
      <c r="IT107" s="134"/>
      <c r="IU107" s="134"/>
      <c r="IV107" s="134"/>
      <c r="IW107" s="134"/>
      <c r="IX107" s="134"/>
      <c r="IY107" s="134"/>
      <c r="IZ107" s="134"/>
      <c r="JA107" s="134"/>
      <c r="JB107" s="134"/>
      <c r="JC107" s="134"/>
      <c r="JD107" s="134"/>
      <c r="JE107" s="134"/>
      <c r="JF107" s="134"/>
    </row>
    <row r="108" spans="5:266">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c r="AU108" s="134"/>
      <c r="AV108" s="134"/>
      <c r="AW108" s="134"/>
      <c r="AX108" s="134"/>
      <c r="AY108" s="134"/>
      <c r="AZ108" s="134"/>
      <c r="BA108" s="134"/>
      <c r="BB108" s="134"/>
      <c r="BC108" s="134"/>
      <c r="BD108" s="134"/>
      <c r="BE108" s="134"/>
      <c r="BF108" s="134"/>
      <c r="BG108" s="134"/>
      <c r="BH108" s="134"/>
      <c r="BI108" s="134"/>
      <c r="BJ108" s="134"/>
      <c r="BK108" s="134"/>
      <c r="BL108" s="134"/>
      <c r="BM108" s="134"/>
      <c r="BN108" s="134"/>
      <c r="BO108" s="134"/>
      <c r="BP108" s="134"/>
      <c r="BQ108" s="134"/>
      <c r="BR108" s="134"/>
      <c r="BS108" s="134"/>
      <c r="BT108" s="134"/>
      <c r="BU108" s="134"/>
      <c r="BV108" s="134"/>
      <c r="BW108" s="134"/>
      <c r="BX108" s="134"/>
      <c r="BY108" s="134"/>
      <c r="BZ108" s="134"/>
      <c r="CA108" s="134"/>
      <c r="CB108" s="134"/>
      <c r="CC108" s="134"/>
      <c r="CD108" s="134"/>
      <c r="CE108" s="134"/>
      <c r="CF108" s="134"/>
      <c r="CG108" s="134"/>
      <c r="CH108" s="134"/>
      <c r="CI108" s="134"/>
      <c r="CJ108" s="134"/>
      <c r="CK108" s="134"/>
      <c r="CL108" s="134"/>
      <c r="CM108" s="134"/>
      <c r="CN108" s="134"/>
      <c r="CO108" s="134"/>
      <c r="CP108" s="134"/>
      <c r="CQ108" s="134"/>
      <c r="CR108" s="134"/>
      <c r="CS108" s="134"/>
      <c r="CT108" s="134"/>
      <c r="CU108" s="134"/>
      <c r="CV108" s="134"/>
      <c r="CW108" s="134"/>
      <c r="CX108" s="134"/>
      <c r="CY108" s="134"/>
      <c r="CZ108" s="134"/>
      <c r="DA108" s="134"/>
      <c r="DB108" s="134"/>
      <c r="DC108" s="134"/>
      <c r="DD108" s="134"/>
      <c r="DE108" s="134"/>
      <c r="DF108" s="134"/>
      <c r="DG108" s="134"/>
      <c r="DH108" s="134"/>
      <c r="DI108" s="134"/>
      <c r="DJ108" s="134"/>
      <c r="DK108" s="134"/>
      <c r="DL108" s="134"/>
      <c r="DM108" s="134"/>
      <c r="DN108" s="134"/>
      <c r="DO108" s="134"/>
      <c r="DP108" s="134"/>
      <c r="DQ108" s="134"/>
      <c r="DR108" s="134"/>
      <c r="DS108" s="134"/>
      <c r="DT108" s="134"/>
      <c r="DU108" s="134"/>
      <c r="DV108" s="134"/>
      <c r="DW108" s="134"/>
      <c r="DX108" s="134"/>
      <c r="DY108" s="134"/>
      <c r="DZ108" s="134"/>
      <c r="EA108" s="134"/>
      <c r="EB108" s="134"/>
      <c r="EC108" s="134"/>
      <c r="ED108" s="134"/>
      <c r="EE108" s="134"/>
      <c r="EF108" s="134"/>
      <c r="EG108" s="134"/>
      <c r="EH108" s="134"/>
      <c r="EI108" s="134"/>
      <c r="EJ108" s="134"/>
      <c r="EK108" s="134"/>
      <c r="EL108" s="134"/>
      <c r="EM108" s="134"/>
      <c r="EN108" s="134"/>
      <c r="EO108" s="134"/>
      <c r="EP108" s="134"/>
      <c r="EQ108" s="134"/>
      <c r="ER108" s="134"/>
      <c r="ES108" s="134"/>
      <c r="ET108" s="134"/>
      <c r="EU108" s="134"/>
      <c r="EV108" s="134"/>
      <c r="EW108" s="134"/>
      <c r="EX108" s="134"/>
      <c r="EY108" s="134"/>
      <c r="EZ108" s="134"/>
      <c r="FA108" s="134"/>
      <c r="FB108" s="134"/>
      <c r="FC108" s="134"/>
      <c r="FD108" s="134"/>
      <c r="FE108" s="134"/>
      <c r="FF108" s="134"/>
      <c r="FG108" s="134"/>
      <c r="FH108" s="134"/>
      <c r="FI108" s="134"/>
      <c r="FJ108" s="134"/>
      <c r="FK108" s="134"/>
      <c r="FL108" s="134"/>
      <c r="FM108" s="134"/>
      <c r="FN108" s="134"/>
      <c r="FO108" s="134"/>
      <c r="FP108" s="134"/>
      <c r="FQ108" s="134"/>
      <c r="FR108" s="134"/>
      <c r="FS108" s="134"/>
      <c r="FT108" s="134"/>
      <c r="FU108" s="134"/>
      <c r="FV108" s="134"/>
      <c r="FW108" s="134"/>
      <c r="FX108" s="134"/>
      <c r="FY108" s="134"/>
      <c r="FZ108" s="134"/>
      <c r="GA108" s="134"/>
      <c r="GB108" s="134"/>
      <c r="GC108" s="134"/>
      <c r="GD108" s="134"/>
      <c r="GE108" s="134"/>
      <c r="GF108" s="134"/>
      <c r="GG108" s="134"/>
      <c r="GH108" s="134"/>
      <c r="GI108" s="134"/>
      <c r="GJ108" s="134"/>
      <c r="GK108" s="134"/>
      <c r="GL108" s="134"/>
      <c r="GM108" s="134"/>
      <c r="GN108" s="134"/>
      <c r="GO108" s="134"/>
      <c r="GP108" s="134"/>
      <c r="GQ108" s="134"/>
      <c r="GR108" s="134"/>
      <c r="GS108" s="134"/>
      <c r="GT108" s="134"/>
      <c r="GU108" s="134"/>
      <c r="GV108" s="134"/>
      <c r="GW108" s="134"/>
      <c r="GX108" s="134"/>
      <c r="GY108" s="134"/>
      <c r="GZ108" s="134"/>
      <c r="HA108" s="134"/>
      <c r="HB108" s="134"/>
      <c r="HC108" s="134"/>
      <c r="HD108" s="134"/>
      <c r="HE108" s="134"/>
      <c r="HF108" s="134"/>
      <c r="HG108" s="134"/>
      <c r="HH108" s="134"/>
      <c r="HI108" s="134"/>
      <c r="HJ108" s="134"/>
      <c r="HK108" s="134"/>
      <c r="HL108" s="134"/>
      <c r="HM108" s="134"/>
      <c r="HN108" s="134"/>
      <c r="HO108" s="134"/>
      <c r="HP108" s="134"/>
      <c r="HQ108" s="134"/>
      <c r="HR108" s="134"/>
      <c r="HS108" s="134"/>
      <c r="HT108" s="134"/>
      <c r="HU108" s="134"/>
      <c r="HV108" s="134"/>
      <c r="HW108" s="134"/>
      <c r="HX108" s="134"/>
      <c r="HY108" s="134"/>
      <c r="HZ108" s="134"/>
      <c r="IA108" s="134"/>
      <c r="IB108" s="134"/>
      <c r="IC108" s="134"/>
      <c r="ID108" s="134"/>
      <c r="IE108" s="134"/>
      <c r="IF108" s="134"/>
      <c r="IG108" s="134"/>
      <c r="IH108" s="134"/>
      <c r="II108" s="134"/>
      <c r="IJ108" s="134"/>
      <c r="IK108" s="134"/>
      <c r="IL108" s="134"/>
      <c r="IM108" s="134"/>
      <c r="IN108" s="134"/>
      <c r="IO108" s="134"/>
      <c r="IP108" s="134"/>
      <c r="IQ108" s="134"/>
      <c r="IR108" s="134"/>
      <c r="IS108" s="134"/>
      <c r="IT108" s="134"/>
      <c r="IU108" s="134"/>
      <c r="IV108" s="134"/>
      <c r="IW108" s="134"/>
      <c r="IX108" s="134"/>
      <c r="IY108" s="134"/>
      <c r="IZ108" s="134"/>
      <c r="JA108" s="134"/>
      <c r="JB108" s="134"/>
      <c r="JC108" s="134"/>
      <c r="JD108" s="134"/>
      <c r="JE108" s="134"/>
      <c r="JF108" s="134"/>
    </row>
    <row r="109" spans="5:266">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c r="AU109" s="134"/>
      <c r="AV109" s="134"/>
      <c r="AW109" s="134"/>
      <c r="AX109" s="134"/>
      <c r="AY109" s="134"/>
      <c r="AZ109" s="134"/>
      <c r="BA109" s="134"/>
      <c r="BB109" s="134"/>
      <c r="BC109" s="134"/>
      <c r="BD109" s="134"/>
      <c r="BE109" s="134"/>
      <c r="BF109" s="134"/>
      <c r="BG109" s="134"/>
      <c r="BH109" s="134"/>
      <c r="BI109" s="134"/>
      <c r="BJ109" s="134"/>
      <c r="BK109" s="134"/>
      <c r="BL109" s="134"/>
      <c r="BM109" s="134"/>
      <c r="BN109" s="134"/>
      <c r="BO109" s="134"/>
      <c r="BP109" s="134"/>
      <c r="BQ109" s="134"/>
      <c r="BR109" s="134"/>
      <c r="BS109" s="134"/>
      <c r="BT109" s="134"/>
      <c r="BU109" s="134"/>
      <c r="BV109" s="134"/>
      <c r="BW109" s="134"/>
      <c r="BX109" s="134"/>
      <c r="BY109" s="134"/>
      <c r="BZ109" s="134"/>
      <c r="CA109" s="134"/>
      <c r="CB109" s="134"/>
      <c r="CC109" s="134"/>
      <c r="CD109" s="134"/>
      <c r="CE109" s="134"/>
      <c r="CF109" s="134"/>
      <c r="CG109" s="134"/>
      <c r="CH109" s="134"/>
      <c r="CI109" s="134"/>
      <c r="CJ109" s="134"/>
      <c r="CK109" s="134"/>
      <c r="CL109" s="134"/>
      <c r="CM109" s="134"/>
      <c r="CN109" s="134"/>
      <c r="CO109" s="134"/>
      <c r="CP109" s="134"/>
      <c r="CQ109" s="134"/>
      <c r="CR109" s="134"/>
      <c r="CS109" s="134"/>
      <c r="CT109" s="134"/>
      <c r="CU109" s="134"/>
      <c r="CV109" s="134"/>
      <c r="CW109" s="134"/>
      <c r="CX109" s="134"/>
      <c r="CY109" s="134"/>
      <c r="CZ109" s="134"/>
      <c r="DA109" s="134"/>
      <c r="DB109" s="134"/>
      <c r="DC109" s="134"/>
      <c r="DD109" s="134"/>
      <c r="DE109" s="134"/>
      <c r="DF109" s="134"/>
      <c r="DG109" s="134"/>
      <c r="DH109" s="134"/>
      <c r="DI109" s="134"/>
      <c r="DJ109" s="134"/>
      <c r="DK109" s="134"/>
      <c r="DL109" s="134"/>
      <c r="DM109" s="134"/>
      <c r="DN109" s="134"/>
      <c r="DO109" s="134"/>
      <c r="DP109" s="134"/>
      <c r="DQ109" s="134"/>
      <c r="DR109" s="134"/>
      <c r="DS109" s="134"/>
      <c r="DT109" s="134"/>
      <c r="DU109" s="134"/>
      <c r="DV109" s="134"/>
      <c r="DW109" s="134"/>
      <c r="DX109" s="134"/>
      <c r="DY109" s="134"/>
      <c r="DZ109" s="134"/>
      <c r="EA109" s="134"/>
      <c r="EB109" s="134"/>
      <c r="EC109" s="134"/>
      <c r="ED109" s="134"/>
      <c r="EE109" s="134"/>
      <c r="EF109" s="134"/>
      <c r="EG109" s="134"/>
      <c r="EH109" s="134"/>
      <c r="EI109" s="134"/>
      <c r="EJ109" s="134"/>
      <c r="EK109" s="134"/>
      <c r="EL109" s="134"/>
      <c r="EM109" s="134"/>
      <c r="EN109" s="134"/>
      <c r="EO109" s="134"/>
      <c r="EP109" s="134"/>
      <c r="EQ109" s="134"/>
      <c r="ER109" s="134"/>
      <c r="ES109" s="134"/>
      <c r="ET109" s="134"/>
      <c r="EU109" s="134"/>
      <c r="EV109" s="134"/>
      <c r="EW109" s="134"/>
      <c r="EX109" s="134"/>
      <c r="EY109" s="134"/>
      <c r="EZ109" s="134"/>
      <c r="FA109" s="134"/>
      <c r="FB109" s="134"/>
      <c r="FC109" s="134"/>
      <c r="FD109" s="134"/>
      <c r="FE109" s="134"/>
      <c r="FF109" s="134"/>
      <c r="FG109" s="134"/>
      <c r="FH109" s="134"/>
      <c r="FI109" s="134"/>
      <c r="FJ109" s="134"/>
      <c r="FK109" s="134"/>
      <c r="FL109" s="134"/>
      <c r="FM109" s="134"/>
      <c r="FN109" s="134"/>
      <c r="FO109" s="134"/>
      <c r="FP109" s="134"/>
      <c r="FQ109" s="134"/>
      <c r="FR109" s="134"/>
      <c r="FS109" s="134"/>
      <c r="FT109" s="134"/>
      <c r="FU109" s="134"/>
      <c r="FV109" s="134"/>
      <c r="FW109" s="134"/>
      <c r="FX109" s="134"/>
      <c r="FY109" s="134"/>
      <c r="FZ109" s="134"/>
      <c r="GA109" s="134"/>
      <c r="GB109" s="134"/>
      <c r="GC109" s="134"/>
      <c r="GD109" s="134"/>
      <c r="GE109" s="134"/>
      <c r="GF109" s="134"/>
      <c r="GG109" s="134"/>
      <c r="GH109" s="134"/>
      <c r="GI109" s="134"/>
      <c r="GJ109" s="134"/>
      <c r="GK109" s="134"/>
      <c r="GL109" s="134"/>
      <c r="GM109" s="134"/>
      <c r="GN109" s="134"/>
      <c r="GO109" s="134"/>
      <c r="GP109" s="134"/>
      <c r="GQ109" s="134"/>
      <c r="GR109" s="134"/>
      <c r="GS109" s="134"/>
      <c r="GT109" s="134"/>
      <c r="GU109" s="134"/>
      <c r="GV109" s="134"/>
      <c r="GW109" s="134"/>
      <c r="GX109" s="134"/>
      <c r="GY109" s="134"/>
      <c r="GZ109" s="134"/>
      <c r="HA109" s="134"/>
      <c r="HB109" s="134"/>
      <c r="HC109" s="134"/>
      <c r="HD109" s="134"/>
      <c r="HE109" s="134"/>
      <c r="HF109" s="134"/>
      <c r="HG109" s="134"/>
      <c r="HH109" s="134"/>
      <c r="HI109" s="134"/>
      <c r="HJ109" s="134"/>
      <c r="HK109" s="134"/>
      <c r="HL109" s="134"/>
      <c r="HM109" s="134"/>
      <c r="HN109" s="134"/>
      <c r="HO109" s="134"/>
      <c r="HP109" s="134"/>
      <c r="HQ109" s="134"/>
      <c r="HR109" s="134"/>
      <c r="HS109" s="134"/>
      <c r="HT109" s="134"/>
      <c r="HU109" s="134"/>
      <c r="HV109" s="134"/>
      <c r="HW109" s="134"/>
      <c r="HX109" s="134"/>
      <c r="HY109" s="134"/>
      <c r="HZ109" s="134"/>
      <c r="IA109" s="134"/>
      <c r="IB109" s="134"/>
      <c r="IC109" s="134"/>
      <c r="ID109" s="134"/>
      <c r="IE109" s="134"/>
      <c r="IF109" s="134"/>
      <c r="IG109" s="134"/>
      <c r="IH109" s="134"/>
      <c r="II109" s="134"/>
      <c r="IJ109" s="134"/>
      <c r="IK109" s="134"/>
      <c r="IL109" s="134"/>
      <c r="IM109" s="134"/>
      <c r="IN109" s="134"/>
      <c r="IO109" s="134"/>
      <c r="IP109" s="134"/>
      <c r="IQ109" s="134"/>
      <c r="IR109" s="134"/>
      <c r="IS109" s="134"/>
      <c r="IT109" s="134"/>
      <c r="IU109" s="134"/>
      <c r="IV109" s="134"/>
      <c r="IW109" s="134"/>
      <c r="IX109" s="134"/>
      <c r="IY109" s="134"/>
      <c r="IZ109" s="134"/>
      <c r="JA109" s="134"/>
      <c r="JB109" s="134"/>
      <c r="JC109" s="134"/>
      <c r="JD109" s="134"/>
      <c r="JE109" s="134"/>
      <c r="JF109" s="134"/>
    </row>
    <row r="110" spans="5:266">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134"/>
      <c r="AY110" s="134"/>
      <c r="AZ110" s="134"/>
      <c r="BA110" s="134"/>
      <c r="BB110" s="134"/>
      <c r="BC110" s="134"/>
      <c r="BD110" s="134"/>
      <c r="BE110" s="134"/>
      <c r="BF110" s="134"/>
      <c r="BG110" s="134"/>
      <c r="BH110" s="134"/>
      <c r="BI110" s="134"/>
      <c r="BJ110" s="134"/>
      <c r="BK110" s="134"/>
      <c r="BL110" s="134"/>
      <c r="BM110" s="134"/>
      <c r="BN110" s="134"/>
      <c r="BO110" s="134"/>
      <c r="BP110" s="134"/>
      <c r="BQ110" s="134"/>
      <c r="BR110" s="134"/>
      <c r="BS110" s="134"/>
      <c r="BT110" s="134"/>
      <c r="BU110" s="134"/>
      <c r="BV110" s="134"/>
      <c r="BW110" s="134"/>
      <c r="BX110" s="134"/>
      <c r="BY110" s="134"/>
      <c r="BZ110" s="134"/>
      <c r="CA110" s="134"/>
      <c r="CB110" s="134"/>
      <c r="CC110" s="134"/>
      <c r="CD110" s="134"/>
      <c r="CE110" s="134"/>
      <c r="CF110" s="134"/>
      <c r="CG110" s="134"/>
      <c r="CH110" s="134"/>
      <c r="CI110" s="134"/>
      <c r="CJ110" s="134"/>
      <c r="CK110" s="134"/>
      <c r="CL110" s="134"/>
      <c r="CM110" s="134"/>
      <c r="CN110" s="134"/>
      <c r="CO110" s="134"/>
      <c r="CP110" s="134"/>
      <c r="CQ110" s="134"/>
      <c r="CR110" s="134"/>
      <c r="CS110" s="134"/>
      <c r="CT110" s="134"/>
      <c r="CU110" s="134"/>
      <c r="CV110" s="134"/>
      <c r="CW110" s="134"/>
      <c r="CX110" s="134"/>
      <c r="CY110" s="134"/>
      <c r="CZ110" s="134"/>
      <c r="DA110" s="134"/>
      <c r="DB110" s="134"/>
      <c r="DC110" s="134"/>
      <c r="DD110" s="134"/>
      <c r="DE110" s="134"/>
      <c r="DF110" s="134"/>
      <c r="DG110" s="134"/>
      <c r="DH110" s="134"/>
      <c r="DI110" s="134"/>
      <c r="DJ110" s="134"/>
      <c r="DK110" s="134"/>
      <c r="DL110" s="134"/>
      <c r="DM110" s="134"/>
      <c r="DN110" s="134"/>
      <c r="DO110" s="134"/>
      <c r="DP110" s="134"/>
      <c r="DQ110" s="134"/>
      <c r="DR110" s="134"/>
      <c r="DS110" s="134"/>
      <c r="DT110" s="134"/>
      <c r="DU110" s="134"/>
      <c r="DV110" s="134"/>
      <c r="DW110" s="134"/>
      <c r="DX110" s="134"/>
      <c r="DY110" s="134"/>
      <c r="DZ110" s="134"/>
      <c r="EA110" s="134"/>
      <c r="EB110" s="134"/>
      <c r="EC110" s="134"/>
      <c r="ED110" s="134"/>
      <c r="EE110" s="134"/>
      <c r="EF110" s="134"/>
      <c r="EG110" s="134"/>
      <c r="EH110" s="134"/>
      <c r="EI110" s="134"/>
      <c r="EJ110" s="134"/>
      <c r="EK110" s="134"/>
      <c r="EL110" s="134"/>
      <c r="EM110" s="134"/>
      <c r="EN110" s="134"/>
      <c r="EO110" s="134"/>
      <c r="EP110" s="134"/>
      <c r="EQ110" s="134"/>
      <c r="ER110" s="134"/>
      <c r="ES110" s="134"/>
      <c r="ET110" s="134"/>
      <c r="EU110" s="134"/>
      <c r="EV110" s="134"/>
      <c r="EW110" s="134"/>
      <c r="EX110" s="134"/>
      <c r="EY110" s="134"/>
      <c r="EZ110" s="134"/>
      <c r="FA110" s="134"/>
      <c r="FB110" s="134"/>
      <c r="FC110" s="134"/>
      <c r="FD110" s="134"/>
      <c r="FE110" s="134"/>
      <c r="FF110" s="134"/>
      <c r="FG110" s="134"/>
      <c r="FH110" s="134"/>
      <c r="FI110" s="134"/>
      <c r="FJ110" s="134"/>
      <c r="FK110" s="134"/>
      <c r="FL110" s="134"/>
      <c r="FM110" s="134"/>
      <c r="FN110" s="134"/>
      <c r="FO110" s="134"/>
      <c r="FP110" s="134"/>
      <c r="FQ110" s="134"/>
      <c r="FR110" s="134"/>
      <c r="FS110" s="134"/>
      <c r="FT110" s="134"/>
      <c r="FU110" s="134"/>
      <c r="FV110" s="134"/>
      <c r="FW110" s="134"/>
      <c r="FX110" s="134"/>
      <c r="FY110" s="134"/>
      <c r="FZ110" s="134"/>
      <c r="GA110" s="134"/>
      <c r="GB110" s="134"/>
      <c r="GC110" s="134"/>
      <c r="GD110" s="134"/>
      <c r="GE110" s="134"/>
      <c r="GF110" s="134"/>
      <c r="GG110" s="134"/>
      <c r="GH110" s="134"/>
      <c r="GI110" s="134"/>
      <c r="GJ110" s="134"/>
      <c r="GK110" s="134"/>
      <c r="GL110" s="134"/>
      <c r="GM110" s="134"/>
      <c r="GN110" s="134"/>
      <c r="GO110" s="134"/>
      <c r="GP110" s="134"/>
      <c r="GQ110" s="134"/>
      <c r="GR110" s="134"/>
      <c r="GS110" s="134"/>
      <c r="GT110" s="134"/>
      <c r="GU110" s="134"/>
      <c r="GV110" s="134"/>
      <c r="GW110" s="134"/>
      <c r="GX110" s="134"/>
      <c r="GY110" s="134"/>
      <c r="GZ110" s="134"/>
      <c r="HA110" s="134"/>
      <c r="HB110" s="134"/>
      <c r="HC110" s="134"/>
      <c r="HD110" s="134"/>
      <c r="HE110" s="134"/>
      <c r="HF110" s="134"/>
      <c r="HG110" s="134"/>
      <c r="HH110" s="134"/>
      <c r="HI110" s="134"/>
      <c r="HJ110" s="134"/>
      <c r="HK110" s="134"/>
      <c r="HL110" s="134"/>
      <c r="HM110" s="134"/>
      <c r="HN110" s="134"/>
      <c r="HO110" s="134"/>
      <c r="HP110" s="134"/>
      <c r="HQ110" s="134"/>
      <c r="HR110" s="134"/>
      <c r="HS110" s="134"/>
      <c r="HT110" s="134"/>
      <c r="HU110" s="134"/>
      <c r="HV110" s="134"/>
      <c r="HW110" s="134"/>
      <c r="HX110" s="134"/>
      <c r="HY110" s="134"/>
      <c r="HZ110" s="134"/>
      <c r="IA110" s="134"/>
      <c r="IB110" s="134"/>
      <c r="IC110" s="134"/>
      <c r="ID110" s="134"/>
      <c r="IE110" s="134"/>
      <c r="IF110" s="134"/>
      <c r="IG110" s="134"/>
      <c r="IH110" s="134"/>
      <c r="II110" s="134"/>
      <c r="IJ110" s="134"/>
      <c r="IK110" s="134"/>
      <c r="IL110" s="134"/>
      <c r="IM110" s="134"/>
      <c r="IN110" s="134"/>
      <c r="IO110" s="134"/>
      <c r="IP110" s="134"/>
      <c r="IQ110" s="134"/>
      <c r="IR110" s="134"/>
      <c r="IS110" s="134"/>
      <c r="IT110" s="134"/>
      <c r="IU110" s="134"/>
      <c r="IV110" s="134"/>
      <c r="IW110" s="134"/>
      <c r="IX110" s="134"/>
      <c r="IY110" s="134"/>
      <c r="IZ110" s="134"/>
      <c r="JA110" s="134"/>
      <c r="JB110" s="134"/>
      <c r="JC110" s="134"/>
      <c r="JD110" s="134"/>
      <c r="JE110" s="134"/>
      <c r="JF110" s="134"/>
    </row>
    <row r="111" spans="5:266">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4"/>
      <c r="AZ111" s="134"/>
      <c r="BA111" s="134"/>
      <c r="BB111" s="134"/>
      <c r="BC111" s="134"/>
      <c r="BD111" s="134"/>
      <c r="BE111" s="134"/>
      <c r="BF111" s="134"/>
      <c r="BG111" s="134"/>
      <c r="BH111" s="134"/>
      <c r="BI111" s="134"/>
      <c r="BJ111" s="134"/>
      <c r="BK111" s="134"/>
      <c r="BL111" s="134"/>
      <c r="BM111" s="134"/>
      <c r="BN111" s="134"/>
      <c r="BO111" s="134"/>
      <c r="BP111" s="134"/>
      <c r="BQ111" s="134"/>
      <c r="BR111" s="134"/>
      <c r="BS111" s="134"/>
      <c r="BT111" s="134"/>
      <c r="BU111" s="134"/>
      <c r="BV111" s="134"/>
      <c r="BW111" s="134"/>
      <c r="BX111" s="134"/>
      <c r="BY111" s="134"/>
      <c r="BZ111" s="134"/>
      <c r="CA111" s="134"/>
      <c r="CB111" s="134"/>
      <c r="CC111" s="134"/>
      <c r="CD111" s="134"/>
      <c r="CE111" s="134"/>
      <c r="CF111" s="134"/>
      <c r="CG111" s="134"/>
      <c r="CH111" s="134"/>
      <c r="CI111" s="134"/>
      <c r="CJ111" s="134"/>
      <c r="CK111" s="134"/>
      <c r="CL111" s="134"/>
      <c r="CM111" s="134"/>
      <c r="CN111" s="134"/>
      <c r="CO111" s="134"/>
      <c r="CP111" s="134"/>
      <c r="CQ111" s="134"/>
      <c r="CR111" s="134"/>
      <c r="CS111" s="134"/>
      <c r="CT111" s="134"/>
      <c r="CU111" s="134"/>
      <c r="CV111" s="134"/>
      <c r="CW111" s="134"/>
      <c r="CX111" s="134"/>
      <c r="CY111" s="134"/>
      <c r="CZ111" s="134"/>
      <c r="DA111" s="134"/>
      <c r="DB111" s="134"/>
      <c r="DC111" s="134"/>
      <c r="DD111" s="134"/>
      <c r="DE111" s="134"/>
      <c r="DF111" s="134"/>
      <c r="DG111" s="134"/>
      <c r="DH111" s="134"/>
      <c r="DI111" s="134"/>
      <c r="DJ111" s="134"/>
      <c r="DK111" s="134"/>
      <c r="DL111" s="134"/>
      <c r="DM111" s="134"/>
      <c r="DN111" s="134"/>
      <c r="DO111" s="134"/>
      <c r="DP111" s="134"/>
      <c r="DQ111" s="134"/>
      <c r="DR111" s="134"/>
      <c r="DS111" s="134"/>
      <c r="DT111" s="134"/>
      <c r="DU111" s="134"/>
      <c r="DV111" s="134"/>
      <c r="DW111" s="134"/>
      <c r="DX111" s="134"/>
      <c r="DY111" s="134"/>
      <c r="DZ111" s="134"/>
      <c r="EA111" s="134"/>
      <c r="EB111" s="134"/>
      <c r="EC111" s="134"/>
      <c r="ED111" s="134"/>
      <c r="EE111" s="134"/>
      <c r="EF111" s="134"/>
      <c r="EG111" s="134"/>
      <c r="EH111" s="134"/>
      <c r="EI111" s="134"/>
      <c r="EJ111" s="134"/>
      <c r="EK111" s="134"/>
      <c r="EL111" s="134"/>
      <c r="EM111" s="134"/>
      <c r="EN111" s="134"/>
      <c r="EO111" s="134"/>
      <c r="EP111" s="134"/>
      <c r="EQ111" s="134"/>
      <c r="ER111" s="134"/>
      <c r="ES111" s="134"/>
      <c r="ET111" s="134"/>
      <c r="EU111" s="134"/>
      <c r="EV111" s="134"/>
      <c r="EW111" s="134"/>
      <c r="EX111" s="134"/>
      <c r="EY111" s="134"/>
      <c r="EZ111" s="134"/>
      <c r="FA111" s="134"/>
      <c r="FB111" s="134"/>
      <c r="FC111" s="134"/>
      <c r="FD111" s="134"/>
      <c r="FE111" s="134"/>
      <c r="FF111" s="134"/>
      <c r="FG111" s="134"/>
      <c r="FH111" s="134"/>
      <c r="FI111" s="134"/>
      <c r="FJ111" s="134"/>
      <c r="FK111" s="134"/>
      <c r="FL111" s="134"/>
      <c r="FM111" s="134"/>
      <c r="FN111" s="134"/>
      <c r="FO111" s="134"/>
      <c r="FP111" s="134"/>
      <c r="FQ111" s="134"/>
      <c r="FR111" s="134"/>
      <c r="FS111" s="134"/>
      <c r="FT111" s="134"/>
      <c r="FU111" s="134"/>
      <c r="FV111" s="134"/>
      <c r="FW111" s="134"/>
      <c r="FX111" s="134"/>
      <c r="FY111" s="134"/>
      <c r="FZ111" s="134"/>
      <c r="GA111" s="134"/>
      <c r="GB111" s="134"/>
      <c r="GC111" s="134"/>
      <c r="GD111" s="134"/>
      <c r="GE111" s="134"/>
      <c r="GF111" s="134"/>
      <c r="GG111" s="134"/>
      <c r="GH111" s="134"/>
      <c r="GI111" s="134"/>
      <c r="GJ111" s="134"/>
      <c r="GK111" s="134"/>
      <c r="GL111" s="134"/>
      <c r="GM111" s="134"/>
      <c r="GN111" s="134"/>
      <c r="GO111" s="134"/>
      <c r="GP111" s="134"/>
      <c r="GQ111" s="134"/>
      <c r="GR111" s="134"/>
      <c r="GS111" s="134"/>
      <c r="GT111" s="134"/>
      <c r="GU111" s="134"/>
      <c r="GV111" s="134"/>
      <c r="GW111" s="134"/>
      <c r="GX111" s="134"/>
      <c r="GY111" s="134"/>
      <c r="GZ111" s="134"/>
      <c r="HA111" s="134"/>
      <c r="HB111" s="134"/>
      <c r="HC111" s="134"/>
      <c r="HD111" s="134"/>
      <c r="HE111" s="134"/>
      <c r="HF111" s="134"/>
      <c r="HG111" s="134"/>
      <c r="HH111" s="134"/>
      <c r="HI111" s="134"/>
      <c r="HJ111" s="134"/>
      <c r="HK111" s="134"/>
      <c r="HL111" s="134"/>
      <c r="HM111" s="134"/>
      <c r="HN111" s="134"/>
      <c r="HO111" s="134"/>
      <c r="HP111" s="134"/>
      <c r="HQ111" s="134"/>
      <c r="HR111" s="134"/>
      <c r="HS111" s="134"/>
      <c r="HT111" s="134"/>
      <c r="HU111" s="134"/>
      <c r="HV111" s="134"/>
      <c r="HW111" s="134"/>
      <c r="HX111" s="134"/>
      <c r="HY111" s="134"/>
      <c r="HZ111" s="134"/>
      <c r="IA111" s="134"/>
      <c r="IB111" s="134"/>
      <c r="IC111" s="134"/>
      <c r="ID111" s="134"/>
      <c r="IE111" s="134"/>
      <c r="IF111" s="134"/>
      <c r="IG111" s="134"/>
      <c r="IH111" s="134"/>
      <c r="II111" s="134"/>
      <c r="IJ111" s="134"/>
      <c r="IK111" s="134"/>
      <c r="IL111" s="134"/>
      <c r="IM111" s="134"/>
      <c r="IN111" s="134"/>
      <c r="IO111" s="134"/>
      <c r="IP111" s="134"/>
      <c r="IQ111" s="134"/>
      <c r="IR111" s="134"/>
      <c r="IS111" s="134"/>
      <c r="IT111" s="134"/>
      <c r="IU111" s="134"/>
      <c r="IV111" s="134"/>
      <c r="IW111" s="134"/>
      <c r="IX111" s="134"/>
      <c r="IY111" s="134"/>
      <c r="IZ111" s="134"/>
      <c r="JA111" s="134"/>
      <c r="JB111" s="134"/>
      <c r="JC111" s="134"/>
      <c r="JD111" s="134"/>
      <c r="JE111" s="134"/>
      <c r="JF111" s="134"/>
    </row>
    <row r="112" spans="5:266">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134"/>
      <c r="BJ112" s="134"/>
      <c r="BK112" s="134"/>
      <c r="BL112" s="134"/>
      <c r="BM112" s="134"/>
      <c r="BN112" s="134"/>
      <c r="BO112" s="134"/>
      <c r="BP112" s="134"/>
      <c r="BQ112" s="134"/>
      <c r="BR112" s="134"/>
      <c r="BS112" s="134"/>
      <c r="BT112" s="134"/>
      <c r="BU112" s="134"/>
      <c r="BV112" s="134"/>
      <c r="BW112" s="134"/>
      <c r="BX112" s="134"/>
      <c r="BY112" s="134"/>
      <c r="BZ112" s="134"/>
      <c r="CA112" s="134"/>
      <c r="CB112" s="134"/>
      <c r="CC112" s="134"/>
      <c r="CD112" s="134"/>
      <c r="CE112" s="134"/>
      <c r="CF112" s="134"/>
      <c r="CG112" s="134"/>
      <c r="CH112" s="134"/>
      <c r="CI112" s="134"/>
      <c r="CJ112" s="134"/>
      <c r="CK112" s="134"/>
      <c r="CL112" s="134"/>
      <c r="CM112" s="134"/>
      <c r="CN112" s="134"/>
      <c r="CO112" s="134"/>
      <c r="CP112" s="134"/>
      <c r="CQ112" s="134"/>
      <c r="CR112" s="134"/>
      <c r="CS112" s="134"/>
      <c r="CT112" s="134"/>
      <c r="CU112" s="134"/>
      <c r="CV112" s="134"/>
      <c r="CW112" s="134"/>
      <c r="CX112" s="134"/>
      <c r="CY112" s="134"/>
      <c r="CZ112" s="134"/>
      <c r="DA112" s="134"/>
      <c r="DB112" s="134"/>
      <c r="DC112" s="134"/>
      <c r="DD112" s="134"/>
      <c r="DE112" s="134"/>
      <c r="DF112" s="134"/>
      <c r="DG112" s="134"/>
      <c r="DH112" s="134"/>
      <c r="DI112" s="134"/>
      <c r="DJ112" s="134"/>
      <c r="DK112" s="134"/>
      <c r="DL112" s="134"/>
      <c r="DM112" s="134"/>
      <c r="DN112" s="134"/>
      <c r="DO112" s="134"/>
      <c r="DP112" s="134"/>
      <c r="DQ112" s="134"/>
      <c r="DR112" s="134"/>
      <c r="DS112" s="134"/>
      <c r="DT112" s="134"/>
      <c r="DU112" s="134"/>
      <c r="DV112" s="134"/>
      <c r="DW112" s="134"/>
      <c r="DX112" s="134"/>
      <c r="DY112" s="134"/>
      <c r="DZ112" s="134"/>
      <c r="EA112" s="134"/>
      <c r="EB112" s="134"/>
      <c r="EC112" s="134"/>
      <c r="ED112" s="134"/>
      <c r="EE112" s="134"/>
      <c r="EF112" s="134"/>
      <c r="EG112" s="134"/>
      <c r="EH112" s="134"/>
      <c r="EI112" s="134"/>
      <c r="EJ112" s="134"/>
      <c r="EK112" s="134"/>
      <c r="EL112" s="134"/>
      <c r="EM112" s="134"/>
      <c r="EN112" s="134"/>
      <c r="EO112" s="134"/>
      <c r="EP112" s="134"/>
      <c r="EQ112" s="134"/>
      <c r="ER112" s="134"/>
      <c r="ES112" s="134"/>
      <c r="ET112" s="134"/>
      <c r="EU112" s="134"/>
      <c r="EV112" s="134"/>
      <c r="EW112" s="134"/>
      <c r="EX112" s="134"/>
      <c r="EY112" s="134"/>
      <c r="EZ112" s="134"/>
      <c r="FA112" s="134"/>
      <c r="FB112" s="134"/>
      <c r="FC112" s="134"/>
      <c r="FD112" s="134"/>
      <c r="FE112" s="134"/>
      <c r="FF112" s="134"/>
      <c r="FG112" s="134"/>
      <c r="FH112" s="134"/>
      <c r="FI112" s="134"/>
      <c r="FJ112" s="134"/>
      <c r="FK112" s="134"/>
      <c r="FL112" s="134"/>
      <c r="FM112" s="134"/>
      <c r="FN112" s="134"/>
      <c r="FO112" s="134"/>
      <c r="FP112" s="134"/>
      <c r="FQ112" s="134"/>
      <c r="FR112" s="134"/>
      <c r="FS112" s="134"/>
      <c r="FT112" s="134"/>
      <c r="FU112" s="134"/>
      <c r="FV112" s="134"/>
      <c r="FW112" s="134"/>
      <c r="FX112" s="134"/>
      <c r="FY112" s="134"/>
      <c r="FZ112" s="134"/>
      <c r="GA112" s="134"/>
      <c r="GB112" s="134"/>
      <c r="GC112" s="134"/>
      <c r="GD112" s="134"/>
      <c r="GE112" s="134"/>
      <c r="GF112" s="134"/>
      <c r="GG112" s="134"/>
      <c r="GH112" s="134"/>
      <c r="GI112" s="134"/>
      <c r="GJ112" s="134"/>
      <c r="GK112" s="134"/>
      <c r="GL112" s="134"/>
      <c r="GM112" s="134"/>
      <c r="GN112" s="134"/>
      <c r="GO112" s="134"/>
      <c r="GP112" s="134"/>
      <c r="GQ112" s="134"/>
      <c r="GR112" s="134"/>
      <c r="GS112" s="134"/>
      <c r="GT112" s="134"/>
      <c r="GU112" s="134"/>
      <c r="GV112" s="134"/>
      <c r="GW112" s="134"/>
      <c r="GX112" s="134"/>
      <c r="GY112" s="134"/>
      <c r="GZ112" s="134"/>
      <c r="HA112" s="134"/>
      <c r="HB112" s="134"/>
      <c r="HC112" s="134"/>
      <c r="HD112" s="134"/>
      <c r="HE112" s="134"/>
      <c r="HF112" s="134"/>
      <c r="HG112" s="134"/>
      <c r="HH112" s="134"/>
      <c r="HI112" s="134"/>
      <c r="HJ112" s="134"/>
      <c r="HK112" s="134"/>
      <c r="HL112" s="134"/>
      <c r="HM112" s="134"/>
      <c r="HN112" s="134"/>
      <c r="HO112" s="134"/>
      <c r="HP112" s="134"/>
      <c r="HQ112" s="134"/>
      <c r="HR112" s="134"/>
      <c r="HS112" s="134"/>
      <c r="HT112" s="134"/>
      <c r="HU112" s="134"/>
      <c r="HV112" s="134"/>
      <c r="HW112" s="134"/>
      <c r="HX112" s="134"/>
      <c r="HY112" s="134"/>
      <c r="HZ112" s="134"/>
      <c r="IA112" s="134"/>
      <c r="IB112" s="134"/>
      <c r="IC112" s="134"/>
      <c r="ID112" s="134"/>
      <c r="IE112" s="134"/>
      <c r="IF112" s="134"/>
      <c r="IG112" s="134"/>
      <c r="IH112" s="134"/>
      <c r="II112" s="134"/>
      <c r="IJ112" s="134"/>
      <c r="IK112" s="134"/>
      <c r="IL112" s="134"/>
      <c r="IM112" s="134"/>
      <c r="IN112" s="134"/>
      <c r="IO112" s="134"/>
      <c r="IP112" s="134"/>
      <c r="IQ112" s="134"/>
      <c r="IR112" s="134"/>
      <c r="IS112" s="134"/>
      <c r="IT112" s="134"/>
      <c r="IU112" s="134"/>
      <c r="IV112" s="134"/>
      <c r="IW112" s="134"/>
      <c r="IX112" s="134"/>
      <c r="IY112" s="134"/>
      <c r="IZ112" s="134"/>
      <c r="JA112" s="134"/>
      <c r="JB112" s="134"/>
      <c r="JC112" s="134"/>
      <c r="JD112" s="134"/>
      <c r="JE112" s="134"/>
      <c r="JF112" s="134"/>
    </row>
    <row r="113" spans="16:266">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134"/>
      <c r="BK113" s="134"/>
      <c r="BL113" s="134"/>
      <c r="BM113" s="134"/>
      <c r="BN113" s="134"/>
      <c r="BO113" s="134"/>
      <c r="BP113" s="134"/>
      <c r="BQ113" s="134"/>
      <c r="BR113" s="134"/>
      <c r="BS113" s="134"/>
      <c r="BT113" s="134"/>
      <c r="BU113" s="134"/>
      <c r="BV113" s="134"/>
      <c r="BW113" s="134"/>
      <c r="BX113" s="134"/>
      <c r="BY113" s="134"/>
      <c r="BZ113" s="134"/>
      <c r="CA113" s="134"/>
      <c r="CB113" s="134"/>
      <c r="CC113" s="134"/>
      <c r="CD113" s="134"/>
      <c r="CE113" s="134"/>
      <c r="CF113" s="134"/>
      <c r="CG113" s="134"/>
      <c r="CH113" s="134"/>
      <c r="CI113" s="134"/>
      <c r="CJ113" s="134"/>
      <c r="CK113" s="134"/>
      <c r="CL113" s="134"/>
      <c r="CM113" s="134"/>
      <c r="CN113" s="134"/>
      <c r="CO113" s="134"/>
      <c r="CP113" s="134"/>
      <c r="CQ113" s="134"/>
      <c r="CR113" s="134"/>
      <c r="CS113" s="134"/>
      <c r="CT113" s="134"/>
      <c r="CU113" s="134"/>
      <c r="CV113" s="134"/>
      <c r="CW113" s="134"/>
      <c r="CX113" s="134"/>
      <c r="CY113" s="134"/>
      <c r="CZ113" s="134"/>
      <c r="DA113" s="134"/>
      <c r="DB113" s="134"/>
      <c r="DC113" s="134"/>
      <c r="DD113" s="134"/>
      <c r="DE113" s="134"/>
      <c r="DF113" s="134"/>
      <c r="DG113" s="134"/>
      <c r="DH113" s="134"/>
      <c r="DI113" s="134"/>
      <c r="DJ113" s="134"/>
      <c r="DK113" s="134"/>
      <c r="DL113" s="134"/>
      <c r="DM113" s="134"/>
      <c r="DN113" s="134"/>
      <c r="DO113" s="134"/>
      <c r="DP113" s="134"/>
      <c r="DQ113" s="134"/>
      <c r="DR113" s="134"/>
      <c r="DS113" s="134"/>
      <c r="DT113" s="134"/>
      <c r="DU113" s="134"/>
      <c r="DV113" s="134"/>
      <c r="DW113" s="134"/>
      <c r="DX113" s="134"/>
      <c r="DY113" s="134"/>
      <c r="DZ113" s="134"/>
      <c r="EA113" s="134"/>
      <c r="EB113" s="134"/>
      <c r="EC113" s="134"/>
      <c r="ED113" s="134"/>
      <c r="EE113" s="134"/>
      <c r="EF113" s="134"/>
      <c r="EG113" s="134"/>
      <c r="EH113" s="134"/>
      <c r="EI113" s="134"/>
      <c r="EJ113" s="134"/>
      <c r="EK113" s="134"/>
      <c r="EL113" s="134"/>
      <c r="EM113" s="134"/>
      <c r="EN113" s="134"/>
      <c r="EO113" s="134"/>
      <c r="EP113" s="134"/>
      <c r="EQ113" s="134"/>
      <c r="ER113" s="134"/>
      <c r="ES113" s="134"/>
      <c r="ET113" s="134"/>
      <c r="EU113" s="134"/>
      <c r="EV113" s="134"/>
      <c r="EW113" s="134"/>
      <c r="EX113" s="134"/>
      <c r="EY113" s="134"/>
      <c r="EZ113" s="134"/>
      <c r="FA113" s="134"/>
      <c r="FB113" s="134"/>
      <c r="FC113" s="134"/>
      <c r="FD113" s="134"/>
      <c r="FE113" s="134"/>
      <c r="FF113" s="134"/>
      <c r="FG113" s="134"/>
      <c r="FH113" s="134"/>
      <c r="FI113" s="134"/>
      <c r="FJ113" s="134"/>
      <c r="FK113" s="134"/>
      <c r="FL113" s="134"/>
      <c r="FM113" s="134"/>
      <c r="FN113" s="134"/>
      <c r="FO113" s="134"/>
      <c r="FP113" s="134"/>
      <c r="FQ113" s="134"/>
      <c r="FR113" s="134"/>
      <c r="FS113" s="134"/>
      <c r="FT113" s="134"/>
      <c r="FU113" s="134"/>
      <c r="FV113" s="134"/>
      <c r="FW113" s="134"/>
      <c r="FX113" s="134"/>
      <c r="FY113" s="134"/>
      <c r="FZ113" s="134"/>
      <c r="GA113" s="134"/>
      <c r="GB113" s="134"/>
      <c r="GC113" s="134"/>
      <c r="GD113" s="134"/>
      <c r="GE113" s="134"/>
      <c r="GF113" s="134"/>
      <c r="GG113" s="134"/>
      <c r="GH113" s="134"/>
      <c r="GI113" s="134"/>
      <c r="GJ113" s="134"/>
      <c r="GK113" s="134"/>
      <c r="GL113" s="134"/>
      <c r="GM113" s="134"/>
      <c r="GN113" s="134"/>
      <c r="GO113" s="134"/>
      <c r="GP113" s="134"/>
      <c r="GQ113" s="134"/>
      <c r="GR113" s="134"/>
      <c r="GS113" s="134"/>
      <c r="GT113" s="134"/>
      <c r="GU113" s="134"/>
      <c r="GV113" s="134"/>
      <c r="GW113" s="134"/>
      <c r="GX113" s="134"/>
      <c r="GY113" s="134"/>
      <c r="GZ113" s="134"/>
      <c r="HA113" s="134"/>
      <c r="HB113" s="134"/>
      <c r="HC113" s="134"/>
      <c r="HD113" s="134"/>
      <c r="HE113" s="134"/>
      <c r="HF113" s="134"/>
      <c r="HG113" s="134"/>
      <c r="HH113" s="134"/>
      <c r="HI113" s="134"/>
      <c r="HJ113" s="134"/>
      <c r="HK113" s="134"/>
      <c r="HL113" s="134"/>
      <c r="HM113" s="134"/>
      <c r="HN113" s="134"/>
      <c r="HO113" s="134"/>
      <c r="HP113" s="134"/>
      <c r="HQ113" s="134"/>
      <c r="HR113" s="134"/>
      <c r="HS113" s="134"/>
      <c r="HT113" s="134"/>
      <c r="HU113" s="134"/>
      <c r="HV113" s="134"/>
      <c r="HW113" s="134"/>
      <c r="HX113" s="134"/>
      <c r="HY113" s="134"/>
      <c r="HZ113" s="134"/>
      <c r="IA113" s="134"/>
      <c r="IB113" s="134"/>
      <c r="IC113" s="134"/>
      <c r="ID113" s="134"/>
      <c r="IE113" s="134"/>
      <c r="IF113" s="134"/>
      <c r="IG113" s="134"/>
      <c r="IH113" s="134"/>
      <c r="II113" s="134"/>
      <c r="IJ113" s="134"/>
      <c r="IK113" s="134"/>
      <c r="IL113" s="134"/>
      <c r="IM113" s="134"/>
      <c r="IN113" s="134"/>
      <c r="IO113" s="134"/>
      <c r="IP113" s="134"/>
      <c r="IQ113" s="134"/>
      <c r="IR113" s="134"/>
      <c r="IS113" s="134"/>
      <c r="IT113" s="134"/>
      <c r="IU113" s="134"/>
      <c r="IV113" s="134"/>
      <c r="IW113" s="134"/>
      <c r="IX113" s="134"/>
      <c r="IY113" s="134"/>
      <c r="IZ113" s="134"/>
      <c r="JA113" s="134"/>
      <c r="JB113" s="134"/>
      <c r="JC113" s="134"/>
      <c r="JD113" s="134"/>
      <c r="JE113" s="134"/>
      <c r="JF113" s="134"/>
    </row>
    <row r="114" spans="16:266">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134"/>
      <c r="BK114" s="134"/>
      <c r="BL114" s="134"/>
      <c r="BM114" s="134"/>
      <c r="BN114" s="134"/>
      <c r="BO114" s="134"/>
      <c r="BP114" s="134"/>
      <c r="BQ114" s="134"/>
      <c r="BR114" s="134"/>
      <c r="BS114" s="134"/>
      <c r="BT114" s="134"/>
      <c r="BU114" s="134"/>
      <c r="BV114" s="134"/>
      <c r="BW114" s="134"/>
      <c r="BX114" s="134"/>
      <c r="BY114" s="134"/>
      <c r="BZ114" s="134"/>
      <c r="CA114" s="134"/>
      <c r="CB114" s="134"/>
      <c r="CC114" s="134"/>
      <c r="CD114" s="134"/>
      <c r="CE114" s="134"/>
      <c r="CF114" s="134"/>
      <c r="CG114" s="134"/>
      <c r="CH114" s="134"/>
      <c r="CI114" s="134"/>
      <c r="CJ114" s="134"/>
      <c r="CK114" s="134"/>
      <c r="CL114" s="134"/>
      <c r="CM114" s="134"/>
      <c r="CN114" s="134"/>
      <c r="CO114" s="134"/>
      <c r="CP114" s="134"/>
      <c r="CQ114" s="134"/>
      <c r="CR114" s="134"/>
      <c r="CS114" s="134"/>
      <c r="CT114" s="134"/>
      <c r="CU114" s="134"/>
      <c r="CV114" s="134"/>
      <c r="CW114" s="134"/>
      <c r="CX114" s="134"/>
      <c r="CY114" s="134"/>
      <c r="CZ114" s="134"/>
      <c r="DA114" s="134"/>
      <c r="DB114" s="134"/>
      <c r="DC114" s="134"/>
      <c r="DD114" s="134"/>
      <c r="DE114" s="134"/>
      <c r="DF114" s="134"/>
      <c r="DG114" s="134"/>
      <c r="DH114" s="134"/>
      <c r="DI114" s="134"/>
      <c r="DJ114" s="134"/>
      <c r="DK114" s="134"/>
      <c r="DL114" s="134"/>
      <c r="DM114" s="134"/>
      <c r="DN114" s="134"/>
      <c r="DO114" s="134"/>
      <c r="DP114" s="134"/>
      <c r="DQ114" s="134"/>
      <c r="DR114" s="134"/>
      <c r="DS114" s="134"/>
      <c r="DT114" s="134"/>
      <c r="DU114" s="134"/>
      <c r="DV114" s="134"/>
      <c r="DW114" s="134"/>
      <c r="DX114" s="134"/>
      <c r="DY114" s="134"/>
      <c r="DZ114" s="134"/>
      <c r="EA114" s="134"/>
      <c r="EB114" s="134"/>
      <c r="EC114" s="134"/>
      <c r="ED114" s="134"/>
      <c r="EE114" s="134"/>
      <c r="EF114" s="134"/>
      <c r="EG114" s="134"/>
      <c r="EH114" s="134"/>
      <c r="EI114" s="134"/>
      <c r="EJ114" s="134"/>
      <c r="EK114" s="134"/>
      <c r="EL114" s="134"/>
      <c r="EM114" s="134"/>
      <c r="EN114" s="134"/>
      <c r="EO114" s="134"/>
      <c r="EP114" s="134"/>
      <c r="EQ114" s="134"/>
      <c r="ER114" s="134"/>
      <c r="ES114" s="134"/>
      <c r="ET114" s="134"/>
      <c r="EU114" s="134"/>
      <c r="EV114" s="134"/>
      <c r="EW114" s="134"/>
      <c r="EX114" s="134"/>
      <c r="EY114" s="134"/>
      <c r="EZ114" s="134"/>
      <c r="FA114" s="134"/>
      <c r="FB114" s="134"/>
      <c r="FC114" s="134"/>
      <c r="FD114" s="134"/>
      <c r="FE114" s="134"/>
      <c r="FF114" s="134"/>
      <c r="FG114" s="134"/>
      <c r="FH114" s="134"/>
      <c r="FI114" s="134"/>
      <c r="FJ114" s="134"/>
      <c r="FK114" s="134"/>
      <c r="FL114" s="134"/>
      <c r="FM114" s="134"/>
      <c r="FN114" s="134"/>
      <c r="FO114" s="134"/>
      <c r="FP114" s="134"/>
      <c r="FQ114" s="134"/>
      <c r="FR114" s="134"/>
      <c r="FS114" s="134"/>
      <c r="FT114" s="134"/>
      <c r="FU114" s="134"/>
      <c r="FV114" s="134"/>
      <c r="FW114" s="134"/>
      <c r="FX114" s="134"/>
      <c r="FY114" s="134"/>
      <c r="FZ114" s="134"/>
      <c r="GA114" s="134"/>
      <c r="GB114" s="134"/>
      <c r="GC114" s="134"/>
      <c r="GD114" s="134"/>
      <c r="GE114" s="134"/>
      <c r="GF114" s="134"/>
      <c r="GG114" s="134"/>
      <c r="GH114" s="134"/>
      <c r="GI114" s="134"/>
      <c r="GJ114" s="134"/>
      <c r="GK114" s="134"/>
      <c r="GL114" s="134"/>
      <c r="GM114" s="134"/>
      <c r="GN114" s="134"/>
      <c r="GO114" s="134"/>
      <c r="GP114" s="134"/>
      <c r="GQ114" s="134"/>
      <c r="GR114" s="134"/>
      <c r="GS114" s="134"/>
      <c r="GT114" s="134"/>
      <c r="GU114" s="134"/>
      <c r="GV114" s="134"/>
      <c r="GW114" s="134"/>
      <c r="GX114" s="134"/>
      <c r="GY114" s="134"/>
      <c r="GZ114" s="134"/>
      <c r="HA114" s="134"/>
      <c r="HB114" s="134"/>
      <c r="HC114" s="134"/>
      <c r="HD114" s="134"/>
      <c r="HE114" s="134"/>
      <c r="HF114" s="134"/>
      <c r="HG114" s="134"/>
      <c r="HH114" s="134"/>
      <c r="HI114" s="134"/>
      <c r="HJ114" s="134"/>
      <c r="HK114" s="134"/>
      <c r="HL114" s="134"/>
      <c r="HM114" s="134"/>
      <c r="HN114" s="134"/>
      <c r="HO114" s="134"/>
      <c r="HP114" s="134"/>
      <c r="HQ114" s="134"/>
      <c r="HR114" s="134"/>
      <c r="HS114" s="134"/>
      <c r="HT114" s="134"/>
      <c r="HU114" s="134"/>
      <c r="HV114" s="134"/>
      <c r="HW114" s="134"/>
      <c r="HX114" s="134"/>
      <c r="HY114" s="134"/>
      <c r="HZ114" s="134"/>
      <c r="IA114" s="134"/>
      <c r="IB114" s="134"/>
      <c r="IC114" s="134"/>
      <c r="ID114" s="134"/>
      <c r="IE114" s="134"/>
      <c r="IF114" s="134"/>
      <c r="IG114" s="134"/>
      <c r="IH114" s="134"/>
      <c r="II114" s="134"/>
      <c r="IJ114" s="134"/>
      <c r="IK114" s="134"/>
      <c r="IL114" s="134"/>
      <c r="IM114" s="134"/>
      <c r="IN114" s="134"/>
      <c r="IO114" s="134"/>
      <c r="IP114" s="134"/>
      <c r="IQ114" s="134"/>
      <c r="IR114" s="134"/>
      <c r="IS114" s="134"/>
      <c r="IT114" s="134"/>
      <c r="IU114" s="134"/>
      <c r="IV114" s="134"/>
      <c r="IW114" s="134"/>
      <c r="IX114" s="134"/>
      <c r="IY114" s="134"/>
      <c r="IZ114" s="134"/>
      <c r="JA114" s="134"/>
      <c r="JB114" s="134"/>
      <c r="JC114" s="134"/>
      <c r="JD114" s="134"/>
      <c r="JE114" s="134"/>
      <c r="JF114" s="134"/>
    </row>
    <row r="115" spans="16:266">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c r="BA115" s="134"/>
      <c r="BB115" s="134"/>
      <c r="BC115" s="134"/>
      <c r="BD115" s="134"/>
      <c r="BE115" s="134"/>
      <c r="BF115" s="134"/>
      <c r="BG115" s="134"/>
      <c r="BH115" s="134"/>
      <c r="BI115" s="134"/>
      <c r="BJ115" s="134"/>
      <c r="BK115" s="134"/>
      <c r="BL115" s="134"/>
      <c r="BM115" s="134"/>
      <c r="BN115" s="134"/>
      <c r="BO115" s="134"/>
      <c r="BP115" s="134"/>
      <c r="BQ115" s="134"/>
      <c r="BR115" s="134"/>
      <c r="BS115" s="134"/>
      <c r="BT115" s="134"/>
      <c r="BU115" s="134"/>
      <c r="BV115" s="134"/>
      <c r="BW115" s="134"/>
      <c r="BX115" s="134"/>
      <c r="BY115" s="134"/>
      <c r="BZ115" s="134"/>
      <c r="CA115" s="134"/>
      <c r="CB115" s="134"/>
      <c r="CC115" s="134"/>
      <c r="CD115" s="134"/>
      <c r="CE115" s="134"/>
      <c r="CF115" s="134"/>
      <c r="CG115" s="134"/>
      <c r="CH115" s="134"/>
      <c r="CI115" s="134"/>
      <c r="CJ115" s="134"/>
      <c r="CK115" s="134"/>
      <c r="CL115" s="134"/>
      <c r="CM115" s="134"/>
      <c r="CN115" s="134"/>
      <c r="CO115" s="134"/>
      <c r="CP115" s="134"/>
      <c r="CQ115" s="134"/>
      <c r="CR115" s="134"/>
      <c r="CS115" s="134"/>
      <c r="CT115" s="134"/>
      <c r="CU115" s="134"/>
      <c r="CV115" s="134"/>
      <c r="CW115" s="134"/>
      <c r="CX115" s="134"/>
      <c r="CY115" s="134"/>
      <c r="CZ115" s="134"/>
      <c r="DA115" s="134"/>
      <c r="DB115" s="134"/>
      <c r="DC115" s="134"/>
      <c r="DD115" s="134"/>
      <c r="DE115" s="134"/>
      <c r="DF115" s="134"/>
      <c r="DG115" s="134"/>
      <c r="DH115" s="134"/>
      <c r="DI115" s="134"/>
      <c r="DJ115" s="134"/>
      <c r="DK115" s="134"/>
      <c r="DL115" s="134"/>
      <c r="DM115" s="134"/>
      <c r="DN115" s="134"/>
      <c r="DO115" s="134"/>
      <c r="DP115" s="134"/>
      <c r="DQ115" s="134"/>
      <c r="DR115" s="134"/>
      <c r="DS115" s="134"/>
      <c r="DT115" s="134"/>
      <c r="DU115" s="134"/>
      <c r="DV115" s="134"/>
      <c r="DW115" s="134"/>
      <c r="DX115" s="134"/>
      <c r="DY115" s="134"/>
      <c r="DZ115" s="134"/>
      <c r="EA115" s="134"/>
      <c r="EB115" s="134"/>
      <c r="EC115" s="134"/>
      <c r="ED115" s="134"/>
      <c r="EE115" s="134"/>
      <c r="EF115" s="134"/>
      <c r="EG115" s="134"/>
      <c r="EH115" s="134"/>
      <c r="EI115" s="134"/>
      <c r="EJ115" s="134"/>
      <c r="EK115" s="134"/>
      <c r="EL115" s="134"/>
      <c r="EM115" s="134"/>
      <c r="EN115" s="134"/>
      <c r="EO115" s="134"/>
      <c r="EP115" s="134"/>
      <c r="EQ115" s="134"/>
      <c r="ER115" s="134"/>
      <c r="ES115" s="134"/>
      <c r="ET115" s="134"/>
      <c r="EU115" s="134"/>
      <c r="EV115" s="134"/>
      <c r="EW115" s="134"/>
      <c r="EX115" s="134"/>
      <c r="EY115" s="134"/>
      <c r="EZ115" s="134"/>
      <c r="FA115" s="134"/>
      <c r="FB115" s="134"/>
      <c r="FC115" s="134"/>
      <c r="FD115" s="134"/>
      <c r="FE115" s="134"/>
      <c r="FF115" s="134"/>
      <c r="FG115" s="134"/>
      <c r="FH115" s="134"/>
      <c r="FI115" s="134"/>
      <c r="FJ115" s="134"/>
      <c r="FK115" s="134"/>
      <c r="FL115" s="134"/>
      <c r="FM115" s="134"/>
      <c r="FN115" s="134"/>
      <c r="FO115" s="134"/>
      <c r="FP115" s="134"/>
      <c r="FQ115" s="134"/>
      <c r="FR115" s="134"/>
      <c r="FS115" s="134"/>
      <c r="FT115" s="134"/>
      <c r="FU115" s="134"/>
      <c r="FV115" s="134"/>
      <c r="FW115" s="134"/>
      <c r="FX115" s="134"/>
      <c r="FY115" s="134"/>
      <c r="FZ115" s="134"/>
      <c r="GA115" s="134"/>
      <c r="GB115" s="134"/>
      <c r="GC115" s="134"/>
      <c r="GD115" s="134"/>
      <c r="GE115" s="134"/>
      <c r="GF115" s="134"/>
      <c r="GG115" s="134"/>
      <c r="GH115" s="134"/>
      <c r="GI115" s="134"/>
      <c r="GJ115" s="134"/>
      <c r="GK115" s="134"/>
      <c r="GL115" s="134"/>
      <c r="GM115" s="134"/>
      <c r="GN115" s="134"/>
      <c r="GO115" s="134"/>
      <c r="GP115" s="134"/>
      <c r="GQ115" s="134"/>
      <c r="GR115" s="134"/>
      <c r="GS115" s="134"/>
      <c r="GT115" s="134"/>
      <c r="GU115" s="134"/>
      <c r="GV115" s="134"/>
      <c r="GW115" s="134"/>
      <c r="GX115" s="134"/>
      <c r="GY115" s="134"/>
      <c r="GZ115" s="134"/>
      <c r="HA115" s="134"/>
      <c r="HB115" s="134"/>
      <c r="HC115" s="134"/>
      <c r="HD115" s="134"/>
      <c r="HE115" s="134"/>
      <c r="HF115" s="134"/>
      <c r="HG115" s="134"/>
      <c r="HH115" s="134"/>
      <c r="HI115" s="134"/>
      <c r="HJ115" s="134"/>
      <c r="HK115" s="134"/>
      <c r="HL115" s="134"/>
      <c r="HM115" s="134"/>
      <c r="HN115" s="134"/>
      <c r="HO115" s="134"/>
      <c r="HP115" s="134"/>
      <c r="HQ115" s="134"/>
      <c r="HR115" s="134"/>
      <c r="HS115" s="134"/>
      <c r="HT115" s="134"/>
      <c r="HU115" s="134"/>
      <c r="HV115" s="134"/>
      <c r="HW115" s="134"/>
      <c r="HX115" s="134"/>
      <c r="HY115" s="134"/>
      <c r="HZ115" s="134"/>
      <c r="IA115" s="134"/>
      <c r="IB115" s="134"/>
      <c r="IC115" s="134"/>
      <c r="ID115" s="134"/>
      <c r="IE115" s="134"/>
      <c r="IF115" s="134"/>
      <c r="IG115" s="134"/>
      <c r="IH115" s="134"/>
      <c r="II115" s="134"/>
      <c r="IJ115" s="134"/>
      <c r="IK115" s="134"/>
      <c r="IL115" s="134"/>
      <c r="IM115" s="134"/>
      <c r="IN115" s="134"/>
      <c r="IO115" s="134"/>
      <c r="IP115" s="134"/>
      <c r="IQ115" s="134"/>
      <c r="IR115" s="134"/>
      <c r="IS115" s="134"/>
      <c r="IT115" s="134"/>
      <c r="IU115" s="134"/>
      <c r="IV115" s="134"/>
      <c r="IW115" s="134"/>
      <c r="IX115" s="134"/>
      <c r="IY115" s="134"/>
      <c r="IZ115" s="134"/>
      <c r="JA115" s="134"/>
      <c r="JB115" s="134"/>
      <c r="JC115" s="134"/>
      <c r="JD115" s="134"/>
      <c r="JE115" s="134"/>
      <c r="JF115" s="134"/>
    </row>
    <row r="116" spans="16:266">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c r="AU116" s="134"/>
      <c r="AV116" s="134"/>
      <c r="AW116" s="134"/>
      <c r="AX116" s="134"/>
      <c r="AY116" s="134"/>
      <c r="AZ116" s="134"/>
      <c r="BA116" s="134"/>
      <c r="BB116" s="134"/>
      <c r="BC116" s="134"/>
      <c r="BD116" s="134"/>
      <c r="BE116" s="134"/>
      <c r="BF116" s="134"/>
      <c r="BG116" s="134"/>
      <c r="BH116" s="134"/>
      <c r="BI116" s="134"/>
      <c r="BJ116" s="134"/>
      <c r="BK116" s="134"/>
      <c r="BL116" s="134"/>
      <c r="BM116" s="134"/>
      <c r="BN116" s="134"/>
      <c r="BO116" s="134"/>
      <c r="BP116" s="134"/>
      <c r="BQ116" s="134"/>
      <c r="BR116" s="134"/>
      <c r="BS116" s="134"/>
      <c r="BT116" s="134"/>
      <c r="BU116" s="134"/>
      <c r="BV116" s="134"/>
      <c r="BW116" s="134"/>
      <c r="BX116" s="134"/>
      <c r="BY116" s="134"/>
      <c r="BZ116" s="134"/>
      <c r="CA116" s="134"/>
      <c r="CB116" s="134"/>
      <c r="CC116" s="134"/>
      <c r="CD116" s="134"/>
      <c r="CE116" s="134"/>
      <c r="CF116" s="134"/>
      <c r="CG116" s="134"/>
      <c r="CH116" s="134"/>
      <c r="CI116" s="134"/>
      <c r="CJ116" s="134"/>
      <c r="CK116" s="134"/>
      <c r="CL116" s="134"/>
      <c r="CM116" s="134"/>
      <c r="CN116" s="134"/>
      <c r="CO116" s="134"/>
      <c r="CP116" s="134"/>
      <c r="CQ116" s="134"/>
      <c r="CR116" s="134"/>
      <c r="CS116" s="134"/>
      <c r="CT116" s="134"/>
      <c r="CU116" s="134"/>
      <c r="CV116" s="134"/>
      <c r="CW116" s="134"/>
      <c r="CX116" s="134"/>
      <c r="CY116" s="134"/>
      <c r="CZ116" s="134"/>
      <c r="DA116" s="134"/>
      <c r="DB116" s="134"/>
      <c r="DC116" s="134"/>
      <c r="DD116" s="134"/>
      <c r="DE116" s="134"/>
      <c r="DF116" s="134"/>
      <c r="DG116" s="134"/>
      <c r="DH116" s="134"/>
      <c r="DI116" s="134"/>
      <c r="DJ116" s="134"/>
      <c r="DK116" s="134"/>
      <c r="DL116" s="134"/>
      <c r="DM116" s="134"/>
      <c r="DN116" s="134"/>
      <c r="DO116" s="134"/>
      <c r="DP116" s="134"/>
      <c r="DQ116" s="134"/>
      <c r="DR116" s="134"/>
      <c r="DS116" s="134"/>
      <c r="DT116" s="134"/>
      <c r="DU116" s="134"/>
      <c r="DV116" s="134"/>
      <c r="DW116" s="134"/>
      <c r="DX116" s="134"/>
      <c r="DY116" s="134"/>
      <c r="DZ116" s="134"/>
      <c r="EA116" s="134"/>
      <c r="EB116" s="134"/>
      <c r="EC116" s="134"/>
      <c r="ED116" s="134"/>
      <c r="EE116" s="134"/>
      <c r="EF116" s="134"/>
      <c r="EG116" s="134"/>
      <c r="EH116" s="134"/>
      <c r="EI116" s="134"/>
      <c r="EJ116" s="134"/>
      <c r="EK116" s="134"/>
      <c r="EL116" s="134"/>
      <c r="EM116" s="134"/>
      <c r="EN116" s="134"/>
      <c r="EO116" s="134"/>
      <c r="EP116" s="134"/>
      <c r="EQ116" s="134"/>
      <c r="ER116" s="134"/>
      <c r="ES116" s="134"/>
      <c r="ET116" s="134"/>
      <c r="EU116" s="134"/>
      <c r="EV116" s="134"/>
      <c r="EW116" s="134"/>
      <c r="EX116" s="134"/>
      <c r="EY116" s="134"/>
      <c r="EZ116" s="134"/>
      <c r="FA116" s="134"/>
      <c r="FB116" s="134"/>
      <c r="FC116" s="134"/>
      <c r="FD116" s="134"/>
      <c r="FE116" s="134"/>
      <c r="FF116" s="134"/>
      <c r="FG116" s="134"/>
      <c r="FH116" s="134"/>
      <c r="FI116" s="134"/>
      <c r="FJ116" s="134"/>
      <c r="FK116" s="134"/>
      <c r="FL116" s="134"/>
      <c r="FM116" s="134"/>
      <c r="FN116" s="134"/>
      <c r="FO116" s="134"/>
      <c r="FP116" s="134"/>
      <c r="FQ116" s="134"/>
      <c r="FR116" s="134"/>
      <c r="FS116" s="134"/>
      <c r="FT116" s="134"/>
      <c r="FU116" s="134"/>
      <c r="FV116" s="134"/>
      <c r="FW116" s="134"/>
      <c r="FX116" s="134"/>
      <c r="FY116" s="134"/>
      <c r="FZ116" s="134"/>
      <c r="GA116" s="134"/>
      <c r="GB116" s="134"/>
      <c r="GC116" s="134"/>
      <c r="GD116" s="134"/>
      <c r="GE116" s="134"/>
      <c r="GF116" s="134"/>
      <c r="GG116" s="134"/>
      <c r="GH116" s="134"/>
      <c r="GI116" s="134"/>
      <c r="GJ116" s="134"/>
      <c r="GK116" s="134"/>
      <c r="GL116" s="134"/>
      <c r="GM116" s="134"/>
      <c r="GN116" s="134"/>
      <c r="GO116" s="134"/>
      <c r="GP116" s="134"/>
      <c r="GQ116" s="134"/>
      <c r="GR116" s="134"/>
      <c r="GS116" s="134"/>
      <c r="GT116" s="134"/>
      <c r="GU116" s="134"/>
      <c r="GV116" s="134"/>
      <c r="GW116" s="134"/>
      <c r="GX116" s="134"/>
      <c r="GY116" s="134"/>
      <c r="GZ116" s="134"/>
      <c r="HA116" s="134"/>
      <c r="HB116" s="134"/>
      <c r="HC116" s="134"/>
      <c r="HD116" s="134"/>
      <c r="HE116" s="134"/>
      <c r="HF116" s="134"/>
      <c r="HG116" s="134"/>
      <c r="HH116" s="134"/>
      <c r="HI116" s="134"/>
      <c r="HJ116" s="134"/>
      <c r="HK116" s="134"/>
      <c r="HL116" s="134"/>
      <c r="HM116" s="134"/>
      <c r="HN116" s="134"/>
      <c r="HO116" s="134"/>
      <c r="HP116" s="134"/>
      <c r="HQ116" s="134"/>
      <c r="HR116" s="134"/>
      <c r="HS116" s="134"/>
      <c r="HT116" s="134"/>
      <c r="HU116" s="134"/>
      <c r="HV116" s="134"/>
      <c r="HW116" s="134"/>
      <c r="HX116" s="134"/>
      <c r="HY116" s="134"/>
      <c r="HZ116" s="134"/>
      <c r="IA116" s="134"/>
      <c r="IB116" s="134"/>
      <c r="IC116" s="134"/>
      <c r="ID116" s="134"/>
      <c r="IE116" s="134"/>
      <c r="IF116" s="134"/>
      <c r="IG116" s="134"/>
      <c r="IH116" s="134"/>
      <c r="II116" s="134"/>
      <c r="IJ116" s="134"/>
      <c r="IK116" s="134"/>
      <c r="IL116" s="134"/>
      <c r="IM116" s="134"/>
      <c r="IN116" s="134"/>
      <c r="IO116" s="134"/>
      <c r="IP116" s="134"/>
      <c r="IQ116" s="134"/>
      <c r="IR116" s="134"/>
      <c r="IS116" s="134"/>
      <c r="IT116" s="134"/>
      <c r="IU116" s="134"/>
      <c r="IV116" s="134"/>
      <c r="IW116" s="134"/>
      <c r="IX116" s="134"/>
      <c r="IY116" s="134"/>
      <c r="IZ116" s="134"/>
      <c r="JA116" s="134"/>
      <c r="JB116" s="134"/>
      <c r="JC116" s="134"/>
      <c r="JD116" s="134"/>
      <c r="JE116" s="134"/>
      <c r="JF116" s="134"/>
    </row>
    <row r="117" spans="16:266">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c r="AU117" s="134"/>
      <c r="AV117" s="134"/>
      <c r="AW117" s="134"/>
      <c r="AX117" s="134"/>
      <c r="AY117" s="134"/>
      <c r="AZ117" s="134"/>
      <c r="BA117" s="134"/>
      <c r="BB117" s="134"/>
      <c r="BC117" s="134"/>
      <c r="BD117" s="134"/>
      <c r="BE117" s="134"/>
      <c r="BF117" s="134"/>
      <c r="BG117" s="134"/>
      <c r="BH117" s="134"/>
      <c r="BI117" s="134"/>
      <c r="BJ117" s="134"/>
      <c r="BK117" s="134"/>
      <c r="BL117" s="134"/>
      <c r="BM117" s="134"/>
      <c r="BN117" s="134"/>
      <c r="BO117" s="134"/>
      <c r="BP117" s="134"/>
      <c r="BQ117" s="134"/>
      <c r="BR117" s="134"/>
      <c r="BS117" s="134"/>
      <c r="BT117" s="134"/>
      <c r="BU117" s="134"/>
      <c r="BV117" s="134"/>
      <c r="BW117" s="134"/>
      <c r="BX117" s="134"/>
      <c r="BY117" s="134"/>
      <c r="BZ117" s="134"/>
      <c r="CA117" s="134"/>
      <c r="CB117" s="134"/>
      <c r="CC117" s="134"/>
      <c r="CD117" s="134"/>
      <c r="CE117" s="134"/>
      <c r="CF117" s="134"/>
      <c r="CG117" s="134"/>
      <c r="CH117" s="134"/>
      <c r="CI117" s="134"/>
      <c r="CJ117" s="134"/>
      <c r="CK117" s="134"/>
      <c r="CL117" s="134"/>
      <c r="CM117" s="134"/>
      <c r="CN117" s="134"/>
      <c r="CO117" s="134"/>
      <c r="CP117" s="134"/>
      <c r="CQ117" s="134"/>
      <c r="CR117" s="134"/>
      <c r="CS117" s="134"/>
      <c r="CT117" s="134"/>
      <c r="CU117" s="134"/>
      <c r="CV117" s="134"/>
      <c r="CW117" s="134"/>
      <c r="CX117" s="134"/>
      <c r="CY117" s="134"/>
      <c r="CZ117" s="134"/>
      <c r="DA117" s="134"/>
      <c r="DB117" s="134"/>
      <c r="DC117" s="134"/>
      <c r="DD117" s="134"/>
      <c r="DE117" s="134"/>
      <c r="DF117" s="134"/>
      <c r="DG117" s="134"/>
      <c r="DH117" s="134"/>
      <c r="DI117" s="134"/>
      <c r="DJ117" s="134"/>
      <c r="DK117" s="134"/>
      <c r="DL117" s="134"/>
      <c r="DM117" s="134"/>
      <c r="DN117" s="134"/>
      <c r="DO117" s="134"/>
      <c r="DP117" s="134"/>
      <c r="DQ117" s="134"/>
      <c r="DR117" s="134"/>
      <c r="DS117" s="134"/>
      <c r="DT117" s="134"/>
      <c r="DU117" s="134"/>
      <c r="DV117" s="134"/>
      <c r="DW117" s="134"/>
      <c r="DX117" s="134"/>
      <c r="DY117" s="134"/>
      <c r="DZ117" s="134"/>
      <c r="EA117" s="134"/>
      <c r="EB117" s="134"/>
      <c r="EC117" s="134"/>
      <c r="ED117" s="134"/>
      <c r="EE117" s="134"/>
      <c r="EF117" s="134"/>
      <c r="EG117" s="134"/>
      <c r="EH117" s="134"/>
      <c r="EI117" s="134"/>
      <c r="EJ117" s="134"/>
      <c r="EK117" s="134"/>
      <c r="EL117" s="134"/>
      <c r="EM117" s="134"/>
      <c r="EN117" s="134"/>
      <c r="EO117" s="134"/>
      <c r="EP117" s="134"/>
      <c r="EQ117" s="134"/>
      <c r="ER117" s="134"/>
      <c r="ES117" s="134"/>
      <c r="ET117" s="134"/>
      <c r="EU117" s="134"/>
      <c r="EV117" s="134"/>
      <c r="EW117" s="134"/>
      <c r="EX117" s="134"/>
      <c r="EY117" s="134"/>
      <c r="EZ117" s="134"/>
      <c r="FA117" s="134"/>
      <c r="FB117" s="134"/>
      <c r="FC117" s="134"/>
      <c r="FD117" s="134"/>
      <c r="FE117" s="134"/>
      <c r="FF117" s="134"/>
      <c r="FG117" s="134"/>
      <c r="FH117" s="134"/>
      <c r="FI117" s="134"/>
      <c r="FJ117" s="134"/>
      <c r="FK117" s="134"/>
      <c r="FL117" s="134"/>
      <c r="FM117" s="134"/>
      <c r="FN117" s="134"/>
      <c r="FO117" s="134"/>
      <c r="FP117" s="134"/>
      <c r="FQ117" s="134"/>
      <c r="FR117" s="134"/>
      <c r="FS117" s="134"/>
      <c r="FT117" s="134"/>
      <c r="FU117" s="134"/>
      <c r="FV117" s="134"/>
      <c r="FW117" s="134"/>
      <c r="FX117" s="134"/>
      <c r="FY117" s="134"/>
      <c r="FZ117" s="134"/>
      <c r="GA117" s="134"/>
      <c r="GB117" s="134"/>
      <c r="GC117" s="134"/>
      <c r="GD117" s="134"/>
      <c r="GE117" s="134"/>
      <c r="GF117" s="134"/>
      <c r="GG117" s="134"/>
      <c r="GH117" s="134"/>
      <c r="GI117" s="134"/>
      <c r="GJ117" s="134"/>
      <c r="GK117" s="134"/>
      <c r="GL117" s="134"/>
      <c r="GM117" s="134"/>
      <c r="GN117" s="134"/>
      <c r="GO117" s="134"/>
      <c r="GP117" s="134"/>
      <c r="GQ117" s="134"/>
      <c r="GR117" s="134"/>
      <c r="GS117" s="134"/>
      <c r="GT117" s="134"/>
      <c r="GU117" s="134"/>
      <c r="GV117" s="134"/>
      <c r="GW117" s="134"/>
      <c r="GX117" s="134"/>
      <c r="GY117" s="134"/>
      <c r="GZ117" s="134"/>
      <c r="HA117" s="134"/>
      <c r="HB117" s="134"/>
      <c r="HC117" s="134"/>
      <c r="HD117" s="134"/>
      <c r="HE117" s="134"/>
      <c r="HF117" s="134"/>
      <c r="HG117" s="134"/>
      <c r="HH117" s="134"/>
      <c r="HI117" s="134"/>
      <c r="HJ117" s="134"/>
      <c r="HK117" s="134"/>
      <c r="HL117" s="134"/>
      <c r="HM117" s="134"/>
      <c r="HN117" s="134"/>
      <c r="HO117" s="134"/>
      <c r="HP117" s="134"/>
      <c r="HQ117" s="134"/>
      <c r="HR117" s="134"/>
      <c r="HS117" s="134"/>
      <c r="HT117" s="134"/>
      <c r="HU117" s="134"/>
      <c r="HV117" s="134"/>
      <c r="HW117" s="134"/>
      <c r="HX117" s="134"/>
      <c r="HY117" s="134"/>
      <c r="HZ117" s="134"/>
      <c r="IA117" s="134"/>
      <c r="IB117" s="134"/>
      <c r="IC117" s="134"/>
      <c r="ID117" s="134"/>
      <c r="IE117" s="134"/>
      <c r="IF117" s="134"/>
      <c r="IG117" s="134"/>
      <c r="IH117" s="134"/>
      <c r="II117" s="134"/>
      <c r="IJ117" s="134"/>
      <c r="IK117" s="134"/>
      <c r="IL117" s="134"/>
      <c r="IM117" s="134"/>
      <c r="IN117" s="134"/>
      <c r="IO117" s="134"/>
      <c r="IP117" s="134"/>
      <c r="IQ117" s="134"/>
      <c r="IR117" s="134"/>
      <c r="IS117" s="134"/>
      <c r="IT117" s="134"/>
      <c r="IU117" s="134"/>
      <c r="IV117" s="134"/>
      <c r="IW117" s="134"/>
      <c r="IX117" s="134"/>
      <c r="IY117" s="134"/>
      <c r="IZ117" s="134"/>
      <c r="JA117" s="134"/>
      <c r="JB117" s="134"/>
      <c r="JC117" s="134"/>
      <c r="JD117" s="134"/>
      <c r="JE117" s="134"/>
      <c r="JF117" s="134"/>
    </row>
  </sheetData>
  <sheetProtection sheet="1" objects="1" scenarios="1"/>
  <protectedRanges>
    <protectedRange sqref="D10:D11 D13 D14 D15 D16 D19 D20 D22 D23 D24 D26:D34 D36 D37 D39:D45 E37 E29" name="Input"/>
  </protectedRanges>
  <mergeCells count="29">
    <mergeCell ref="A1:C6"/>
    <mergeCell ref="D1:P6"/>
    <mergeCell ref="L25:N25"/>
    <mergeCell ref="B51:J54"/>
    <mergeCell ref="L22:N22"/>
    <mergeCell ref="L13:N13"/>
    <mergeCell ref="L11:N11"/>
    <mergeCell ref="L10:N10"/>
    <mergeCell ref="L8:N8"/>
    <mergeCell ref="L20:N20"/>
    <mergeCell ref="L19:N19"/>
    <mergeCell ref="L17:N17"/>
    <mergeCell ref="L16:N16"/>
    <mergeCell ref="L14:N14"/>
    <mergeCell ref="B63:J66"/>
    <mergeCell ref="B67:J73"/>
    <mergeCell ref="B8:D8"/>
    <mergeCell ref="B50:J50"/>
    <mergeCell ref="E26:I27"/>
    <mergeCell ref="E28:I28"/>
    <mergeCell ref="E29:I34"/>
    <mergeCell ref="E36:I36"/>
    <mergeCell ref="E37:I45"/>
    <mergeCell ref="B17:D17"/>
    <mergeCell ref="B21:D21"/>
    <mergeCell ref="B25:D25"/>
    <mergeCell ref="B35:D35"/>
    <mergeCell ref="B59:J62"/>
    <mergeCell ref="B55:J58"/>
  </mergeCells>
  <conditionalFormatting sqref="D27:D34">
    <cfRule type="expression" dxfId="17" priority="25">
      <formula>$C27=0</formula>
    </cfRule>
    <cfRule type="expression" dxfId="16" priority="26">
      <formula>$C27="x"</formula>
    </cfRule>
    <cfRule type="expression" dxfId="15" priority="27">
      <formula>$D$26=""</formula>
    </cfRule>
  </conditionalFormatting>
  <conditionalFormatting sqref="D38">
    <cfRule type="expression" dxfId="14" priority="5">
      <formula>$D$36="Yes"</formula>
    </cfRule>
  </conditionalFormatting>
  <conditionalFormatting sqref="D39">
    <cfRule type="expression" dxfId="13" priority="3">
      <formula>$D$36&lt;&gt;"Yes"</formula>
    </cfRule>
  </conditionalFormatting>
  <conditionalFormatting sqref="D40:D45">
    <cfRule type="expression" dxfId="12" priority="7">
      <formula>$D$36="Yes"</formula>
    </cfRule>
    <cfRule type="expression" dxfId="11" priority="8">
      <formula>$D$37=""</formula>
    </cfRule>
  </conditionalFormatting>
  <conditionalFormatting sqref="E29">
    <cfRule type="expression" dxfId="10" priority="2">
      <formula>$D$26="Other"</formula>
    </cfRule>
  </conditionalFormatting>
  <conditionalFormatting sqref="E37">
    <cfRule type="expression" dxfId="9" priority="4">
      <formula>$D$36="Yes"</formula>
    </cfRule>
  </conditionalFormatting>
  <conditionalFormatting sqref="E26:I34">
    <cfRule type="expression" dxfId="8" priority="1">
      <formula>$D$26="Other"</formula>
    </cfRule>
  </conditionalFormatting>
  <conditionalFormatting sqref="E36:I45">
    <cfRule type="expression" dxfId="7" priority="6">
      <formula>$D$36="Yes"</formula>
    </cfRule>
  </conditionalFormatting>
  <dataValidations count="7">
    <dataValidation type="whole" allowBlank="1" showInputMessage="1" showErrorMessage="1" sqref="E25:G25" xr:uid="{00000000-0002-0000-0300-000001000000}">
      <formula1>0</formula1>
      <formula2>10000</formula2>
    </dataValidation>
    <dataValidation type="whole" allowBlank="1" showInputMessage="1" showErrorMessage="1" sqref="D79 I18 E20 I20 L19 E18 L17 L44:N44 O45 L42:N42 O43" xr:uid="{00000000-0002-0000-0300-000005000000}">
      <formula1>0</formula1>
      <formula2>1000000</formula2>
    </dataValidation>
    <dataValidation operator="lessThan" allowBlank="1" showInputMessage="1" showErrorMessage="1" sqref="L12:N12 L24:N24 E35:G35 K39:K44 M26:N26 O31:O36 L16:L21 M21:N21 M18:N18 D38:D45" xr:uid="{00000000-0002-0000-0300-000006000000}"/>
    <dataValidation type="decimal" allowBlank="1" showInputMessage="1" showErrorMessage="1" sqref="D78" xr:uid="{00000000-0002-0000-0300-000008000000}">
      <formula1>0.1</formula1>
      <formula2>5</formula2>
    </dataValidation>
    <dataValidation type="whole" allowBlank="1" showInputMessage="1" showErrorMessage="1" sqref="L24 J37:J38 K46:K47 O38:O39 M24:N24" xr:uid="{00000000-0002-0000-0300-000002000000}">
      <formula1>1950</formula1>
      <formula2>2050</formula2>
    </dataValidation>
    <dataValidation type="whole" allowBlank="1" showInputMessage="1" showErrorMessage="1" sqref="D77 J49:K49 L26:N26 O41" xr:uid="{00000000-0002-0000-0300-000003000000}">
      <formula1>2</formula1>
      <formula2>20</formula2>
    </dataValidation>
    <dataValidation type="decimal" allowBlank="1" showInputMessage="1" showErrorMessage="1" sqref="I17 E17 L16 L41:N41 O42" xr:uid="{00000000-0002-0000-0300-000004000000}">
      <formula1>0.1</formula1>
      <formula2>1.5</formula2>
    </dataValidation>
  </dataValidations>
  <hyperlinks>
    <hyperlink ref="R1" location="'Cover Sheet'!B14" display="BACK TO COVER SHEET" xr:uid="{65206F60-B9AB-49AA-A8D7-60D027D6DCD6}"/>
  </hyperlinks>
  <pageMargins left="0.25" right="0.25" top="0.75" bottom="0.75" header="0.3" footer="0.3"/>
  <pageSetup scale="54" orientation="portrait" r:id="rId1"/>
  <headerFooter>
    <oddHeader>&amp;L&amp;G&amp;C&amp;"-,Bold"Factor 3 - Benefit Cost Ratio Calculations</oddHeader>
    <oddFooter>&amp;LPrinted &amp;D
&amp;T&amp;C&amp;F&amp;RDesigned by:
2018 TSAM Subcommittee 
Created by:
Taylor Ruble</oddFooter>
  </headerFooter>
  <colBreaks count="1" manualBreakCount="1">
    <brk id="15" max="1048575" man="1"/>
  </col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'Factor 3 Calculations'!$A$119:$A$139</xm:f>
          </x14:formula1>
          <xm:sqref>D26</xm:sqref>
        </x14:dataValidation>
        <x14:dataValidation type="list" allowBlank="1" showInputMessage="1" showErrorMessage="1" xr:uid="{B92E81C4-B34C-4F06-8F73-543DDCF46932}">
          <x14:formula1>
            <xm:f>'Factor 3 Calculations'!$A$80:$A$81</xm:f>
          </x14:formula1>
          <xm:sqref>D37</xm:sqref>
        </x14:dataValidation>
        <x14:dataValidation type="list" allowBlank="1" showInputMessage="1" showErrorMessage="1" xr:uid="{960DD1D6-E62C-454D-ABF5-00C558431877}">
          <x14:formula1>
            <xm:f>'Factor 3 Calculations'!$A$77:$A$78</xm:f>
          </x14:formula1>
          <xm:sqref>D36</xm:sqref>
        </x14:dataValidation>
        <x14:dataValidation type="list" allowBlank="1" showInputMessage="1" showErrorMessage="1" xr:uid="{77A9F125-D6AA-430A-8D4E-3F0599A1CA0A}">
          <x14:formula1>
            <xm:f>'Factor 3 Calculations'!$A$103:$A$107</xm:f>
          </x14:formula1>
          <xm:sqref>D30</xm:sqref>
        </x14:dataValidation>
        <x14:dataValidation type="list" allowBlank="1" showInputMessage="1" showErrorMessage="1" xr:uid="{805A5A91-EC33-4CCB-8547-C961E66DC03E}">
          <x14:formula1>
            <xm:f>'Factor 3 Calculations'!$A$100:$A$101</xm:f>
          </x14:formula1>
          <xm:sqref>D31</xm:sqref>
        </x14:dataValidation>
        <x14:dataValidation type="list" allowBlank="1" showInputMessage="1" showErrorMessage="1" xr:uid="{95FBEF7E-FC36-4BC4-9ADC-8FF530675B26}">
          <x14:formula1>
            <xm:f>'Factor 3 Calculations'!$A$109:$A$111</xm:f>
          </x14:formula1>
          <xm:sqref>D33</xm:sqref>
        </x14:dataValidation>
        <x14:dataValidation type="list" allowBlank="1" showInputMessage="1" showErrorMessage="1" xr:uid="{CA197184-301A-4236-AC1E-A068E3528CD0}">
          <x14:formula1>
            <xm:f>'Factor 3 Calculations'!$A$113:$A$117</xm:f>
          </x14:formula1>
          <xm:sqref>D32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9EF0A-71DC-49B8-8A6C-0DD8C1899AC2}">
  <dimension ref="A1:AL139"/>
  <sheetViews>
    <sheetView zoomScaleNormal="100" workbookViewId="0">
      <selection activeCell="E10" sqref="E10"/>
    </sheetView>
  </sheetViews>
  <sheetFormatPr defaultRowHeight="15"/>
  <cols>
    <col min="1" max="1" width="45.7109375" bestFit="1" customWidth="1"/>
    <col min="2" max="2" width="27.7109375" customWidth="1"/>
    <col min="3" max="3" width="15.5703125" bestFit="1" customWidth="1"/>
    <col min="4" max="4" width="28.85546875" bestFit="1" customWidth="1"/>
    <col min="5" max="5" width="24" bestFit="1" customWidth="1"/>
    <col min="6" max="6" width="16.140625" bestFit="1" customWidth="1"/>
    <col min="7" max="7" width="14.7109375" bestFit="1" customWidth="1"/>
    <col min="8" max="8" width="15.5703125" bestFit="1" customWidth="1"/>
    <col min="9" max="9" width="22" bestFit="1" customWidth="1"/>
    <col min="10" max="10" width="24" bestFit="1" customWidth="1"/>
    <col min="11" max="11" width="17" bestFit="1" customWidth="1"/>
    <col min="12" max="12" width="14.7109375" bestFit="1" customWidth="1"/>
    <col min="13" max="13" width="15.5703125" bestFit="1" customWidth="1"/>
    <col min="14" max="14" width="22" bestFit="1" customWidth="1"/>
    <col min="15" max="15" width="24" bestFit="1" customWidth="1"/>
    <col min="16" max="16" width="14.85546875" bestFit="1" customWidth="1"/>
    <col min="17" max="17" width="44.5703125" bestFit="1" customWidth="1"/>
    <col min="18" max="18" width="12.5703125" bestFit="1" customWidth="1"/>
    <col min="19" max="19" width="30.7109375" customWidth="1"/>
    <col min="20" max="22" width="12.5703125" bestFit="1" customWidth="1"/>
    <col min="23" max="23" width="12" bestFit="1" customWidth="1"/>
    <col min="24" max="24" width="11.5703125" bestFit="1" customWidth="1"/>
    <col min="25" max="25" width="12" bestFit="1" customWidth="1"/>
    <col min="26" max="26" width="11.140625" bestFit="1" customWidth="1"/>
    <col min="27" max="31" width="12" bestFit="1" customWidth="1"/>
    <col min="32" max="33" width="12.42578125" bestFit="1" customWidth="1"/>
    <col min="34" max="35" width="12" bestFit="1" customWidth="1"/>
    <col min="36" max="37" width="12.42578125" bestFit="1" customWidth="1"/>
  </cols>
  <sheetData>
    <row r="1" spans="1:22">
      <c r="A1" t="s">
        <v>197</v>
      </c>
      <c r="B1" t="str">
        <f>IF('F3 Cost Effectiveness'!D26="","",'F3 Cost Effectiveness'!D26)</f>
        <v/>
      </c>
    </row>
    <row r="2" spans="1:22">
      <c r="A2" t="s">
        <v>198</v>
      </c>
      <c r="B2">
        <f>IF('F3 Cost Effectiveness'!D36="Yes", 'F3 Cost Effectiveness'!D39,'F3 Cost Effectiveness'!D38)</f>
        <v>0</v>
      </c>
      <c r="C2">
        <f>'F3 Cost Effectiveness'!D37</f>
        <v>0</v>
      </c>
    </row>
    <row r="3" spans="1:22" ht="15.75" thickBot="1">
      <c r="A3" t="s">
        <v>199</v>
      </c>
      <c r="B3">
        <f>'F3 Cost Effectiveness'!D16</f>
        <v>7.0000000000000001E-3</v>
      </c>
    </row>
    <row r="4" spans="1:22">
      <c r="A4" s="44"/>
      <c r="B4" s="374" t="s">
        <v>200</v>
      </c>
      <c r="C4" s="375"/>
      <c r="D4" s="375"/>
      <c r="E4" s="375"/>
      <c r="F4" s="376"/>
      <c r="G4" s="374" t="s">
        <v>201</v>
      </c>
      <c r="H4" s="375"/>
      <c r="I4" s="375"/>
      <c r="J4" s="375"/>
      <c r="K4" s="376"/>
      <c r="L4" s="374" t="s">
        <v>202</v>
      </c>
      <c r="M4" s="375"/>
      <c r="N4" s="375"/>
      <c r="O4" s="375"/>
      <c r="P4" s="376"/>
      <c r="Q4" s="48" t="s">
        <v>203</v>
      </c>
      <c r="T4" t="s">
        <v>200</v>
      </c>
      <c r="U4" t="s">
        <v>204</v>
      </c>
      <c r="V4" t="s">
        <v>205</v>
      </c>
    </row>
    <row r="5" spans="1:22">
      <c r="A5" s="45" t="s">
        <v>206</v>
      </c>
      <c r="B5" s="8" t="s">
        <v>207</v>
      </c>
      <c r="C5" s="3" t="s">
        <v>208</v>
      </c>
      <c r="D5" s="3" t="s">
        <v>209</v>
      </c>
      <c r="E5" s="3" t="s">
        <v>210</v>
      </c>
      <c r="F5" s="40" t="s">
        <v>211</v>
      </c>
      <c r="G5" s="8" t="s">
        <v>207</v>
      </c>
      <c r="H5" s="3" t="s">
        <v>208</v>
      </c>
      <c r="I5" s="3" t="s">
        <v>209</v>
      </c>
      <c r="J5" s="3" t="s">
        <v>210</v>
      </c>
      <c r="K5" s="40" t="s">
        <v>212</v>
      </c>
      <c r="L5" s="8" t="s">
        <v>207</v>
      </c>
      <c r="M5" s="3" t="s">
        <v>208</v>
      </c>
      <c r="N5" s="3" t="s">
        <v>209</v>
      </c>
      <c r="O5" s="3" t="s">
        <v>210</v>
      </c>
      <c r="P5" s="40" t="s">
        <v>213</v>
      </c>
      <c r="Q5" s="49"/>
      <c r="S5" t="s">
        <v>214</v>
      </c>
      <c r="T5">
        <v>11900</v>
      </c>
      <c r="U5">
        <v>162050</v>
      </c>
      <c r="V5">
        <v>655000</v>
      </c>
    </row>
    <row r="6" spans="1:22">
      <c r="A6" s="46" t="s">
        <v>215</v>
      </c>
      <c r="B6" s="8"/>
      <c r="C6" s="3"/>
      <c r="D6" s="3">
        <f>'F3 Cost Effectiveness'!D24/3</f>
        <v>0</v>
      </c>
      <c r="E6" s="39">
        <v>15587.29</v>
      </c>
      <c r="F6" s="41">
        <f>D6*E6</f>
        <v>0</v>
      </c>
      <c r="G6" s="8"/>
      <c r="H6" s="3"/>
      <c r="I6" s="3">
        <f>'F3 Cost Effectiveness'!D23/3</f>
        <v>0</v>
      </c>
      <c r="J6" s="39">
        <v>212261.27</v>
      </c>
      <c r="K6" s="41">
        <f>J6*I6</f>
        <v>0</v>
      </c>
      <c r="L6" s="8"/>
      <c r="M6" s="3"/>
      <c r="N6" s="3">
        <f>'F3 Cost Effectiveness'!D22/3</f>
        <v>0</v>
      </c>
      <c r="O6" s="39">
        <v>857956.11</v>
      </c>
      <c r="P6" s="41">
        <f>O6*N6</f>
        <v>0</v>
      </c>
      <c r="Q6" s="50">
        <f>IF('F3 Cost Effectiveness'!$D$26='Factor 3 Calculations'!A6,SUM(P6,K6,F6,),0)</f>
        <v>0</v>
      </c>
    </row>
    <row r="7" spans="1:22">
      <c r="A7" s="46" t="s">
        <v>216</v>
      </c>
      <c r="B7" s="8">
        <f>3.0512*(10^-3)*('F3 Cost Effectiveness'!$D$28^0.7088)*('F3 Cost Effectiveness'!$D$27^1.0015)*EXP(0.0712*'F3 Cost Effectiveness'!$D$34)</f>
        <v>0</v>
      </c>
      <c r="C7" s="3">
        <v>0.93530000000000002</v>
      </c>
      <c r="D7" s="3" t="e">
        <f>(('F3 Cost Effectiveness'!$D$24+(1/'Factor 3 Calculations'!C7))/(3+(1/('Factor 3 Calculations'!C7*'Factor 3 Calculations'!B7))))</f>
        <v>#DIV/0!</v>
      </c>
      <c r="E7" s="39">
        <v>15587.29</v>
      </c>
      <c r="F7" s="41" t="e">
        <f>D7*E7</f>
        <v>#DIV/0!</v>
      </c>
      <c r="G7" s="8">
        <f>2.6988*(10^-5)*('F3 Cost Effectiveness'!$D$28^0.9734)*('F3 Cost Effectiveness'!$D$27^0.9893)*EXP(0.0783*'F3 Cost Effectiveness'!$D$34)</f>
        <v>0</v>
      </c>
      <c r="H7" s="3">
        <v>1.2975000000000001</v>
      </c>
      <c r="I7" s="3" t="e">
        <f>(('F3 Cost Effectiveness'!$D$23+(1/'Factor 3 Calculations'!H7))/(3+(1/('Factor 3 Calculations'!H7*'Factor 3 Calculations'!G7))))</f>
        <v>#DIV/0!</v>
      </c>
      <c r="J7" s="39">
        <v>212262.27</v>
      </c>
      <c r="K7" s="41" t="e">
        <f>J7*I7</f>
        <v>#DIV/0!</v>
      </c>
      <c r="L7" s="8">
        <f>1.6622*(10^-4)*('F3 Cost Effectiveness'!$D$28^0.8305)*('F3 Cost Effectiveness'!$D$27^0.09638)*EXP(0.048*'F3 Cost Effectiveness'!$D$34)</f>
        <v>0</v>
      </c>
      <c r="M7" s="3">
        <v>1.0270999999999999</v>
      </c>
      <c r="N7" s="3" t="e">
        <f>(('F3 Cost Effectiveness'!$D$22+(1/'Factor 3 Calculations'!M7))/(3+(1/('Factor 3 Calculations'!M7*'Factor 3 Calculations'!L7))))</f>
        <v>#DIV/0!</v>
      </c>
      <c r="O7" s="39">
        <v>857956.11</v>
      </c>
      <c r="P7" s="41" t="e">
        <f>O7*N7</f>
        <v>#DIV/0!</v>
      </c>
      <c r="Q7" s="50">
        <f>IF('F3 Cost Effectiveness'!$D$26='Factor 3 Calculations'!A7,SUM(P7,K7,F7,),0)</f>
        <v>0</v>
      </c>
      <c r="S7" t="s">
        <v>217</v>
      </c>
    </row>
    <row r="8" spans="1:22">
      <c r="A8" s="46" t="s">
        <v>218</v>
      </c>
      <c r="B8" s="8">
        <f>3.0512*(10^-3)*('F3 Cost Effectiveness'!$D$28^0.7088)*('F3 Cost Effectiveness'!$D$27^1.0015)*EXP(0.0712*'F3 Cost Effectiveness'!$D$34)</f>
        <v>0</v>
      </c>
      <c r="C8" s="3">
        <v>0.93530000000000002</v>
      </c>
      <c r="D8" s="3" t="e">
        <f>(('F3 Cost Effectiveness'!$D$24+(1/'Factor 3 Calculations'!C8))/(3+(1/('Factor 3 Calculations'!C8*'Factor 3 Calculations'!B8))))</f>
        <v>#DIV/0!</v>
      </c>
      <c r="E8" s="39">
        <v>15587.29</v>
      </c>
      <c r="F8" s="41" t="e">
        <f t="shared" ref="F8:F26" si="0">D8*E8</f>
        <v>#DIV/0!</v>
      </c>
      <c r="G8" s="8">
        <f>2.6988*(10^-5)*('F3 Cost Effectiveness'!$D$28^0.9734)*('F3 Cost Effectiveness'!$D$27^0.9893)*EXP(0.0783*'F3 Cost Effectiveness'!$D$34)</f>
        <v>0</v>
      </c>
      <c r="H8" s="3">
        <v>1.2975000000000001</v>
      </c>
      <c r="I8" s="3" t="e">
        <f>(('F3 Cost Effectiveness'!$D$23+(1/'Factor 3 Calculations'!H8))/(3+(1/('Factor 3 Calculations'!H8*'Factor 3 Calculations'!G8))))</f>
        <v>#DIV/0!</v>
      </c>
      <c r="J8" s="39">
        <v>212262.27</v>
      </c>
      <c r="K8" s="41" t="e">
        <f t="shared" ref="K8:K26" si="1">J8*I8</f>
        <v>#DIV/0!</v>
      </c>
      <c r="L8" s="8">
        <f>1.6622*(10^-4)*('F3 Cost Effectiveness'!$D$28^0.8305)*('F3 Cost Effectiveness'!$D$27^0.09638)*EXP(0.0481*'F3 Cost Effectiveness'!$D$34)</f>
        <v>0</v>
      </c>
      <c r="M8" s="3">
        <v>1.0270999999999999</v>
      </c>
      <c r="N8" s="3" t="e">
        <f>(('F3 Cost Effectiveness'!$D$22+(1/'Factor 3 Calculations'!M8))/(3+(1/('Factor 3 Calculations'!M8*'Factor 3 Calculations'!L8))))</f>
        <v>#DIV/0!</v>
      </c>
      <c r="O8" s="39">
        <v>857956.11</v>
      </c>
      <c r="P8" s="41" t="e">
        <f t="shared" ref="P8:P26" si="2">O8*N8</f>
        <v>#DIV/0!</v>
      </c>
      <c r="Q8" s="50">
        <f>IF('F3 Cost Effectiveness'!$D$26='Factor 3 Calculations'!A8,SUM(P8,K8,F8,),0)</f>
        <v>0</v>
      </c>
      <c r="S8" t="s">
        <v>219</v>
      </c>
    </row>
    <row r="9" spans="1:22">
      <c r="A9" s="46" t="s">
        <v>220</v>
      </c>
      <c r="B9" s="8">
        <f>3.1455*(10^-1)*('F3 Cost Effectiveness'!$D$28^0.2869)*('F3 Cost Effectiveness'!$D$27^1.1279)</f>
        <v>0</v>
      </c>
      <c r="C9" s="3">
        <v>0.4672</v>
      </c>
      <c r="D9" s="3" t="e">
        <f>(('F3 Cost Effectiveness'!$D$24+(1/'Factor 3 Calculations'!C9))/(3+(1/('Factor 3 Calculations'!C9*'Factor 3 Calculations'!B9))))</f>
        <v>#DIV/0!</v>
      </c>
      <c r="E9" s="39">
        <v>15587.29</v>
      </c>
      <c r="F9" s="41" t="e">
        <f t="shared" si="0"/>
        <v>#DIV/0!</v>
      </c>
      <c r="G9" s="8">
        <f>1.1063*(10^-4)*('F3 Cost Effectiveness'!$D$28^0.7746)*('F3 Cost Effectiveness'!$D$27^1.0224)</f>
        <v>0</v>
      </c>
      <c r="H9" s="3">
        <v>0.47560000000000002</v>
      </c>
      <c r="I9" s="3" t="e">
        <f>(('F3 Cost Effectiveness'!$D$23+(1/'Factor 3 Calculations'!H9))/(3+(1/('Factor 3 Calculations'!H9*'Factor 3 Calculations'!G9))))</f>
        <v>#DIV/0!</v>
      </c>
      <c r="J9" s="39">
        <v>212262.27</v>
      </c>
      <c r="K9" s="41" t="e">
        <f t="shared" si="1"/>
        <v>#DIV/0!</v>
      </c>
      <c r="L9" s="8">
        <f>3.4217*(10^-4)*('F3 Cost Effectiveness'!$D$28^0.7283)*('F3 Cost Effectiveness'!$D$27^0.9005)</f>
        <v>0</v>
      </c>
      <c r="M9" s="3">
        <v>0.35060000000000002</v>
      </c>
      <c r="N9" s="3" t="e">
        <f>(('F3 Cost Effectiveness'!$D$22+(1/'Factor 3 Calculations'!M9))/(3+(1/('Factor 3 Calculations'!M9*'Factor 3 Calculations'!L9))))</f>
        <v>#DIV/0!</v>
      </c>
      <c r="O9" s="39">
        <v>857956.11</v>
      </c>
      <c r="P9" s="41" t="e">
        <f t="shared" si="2"/>
        <v>#DIV/0!</v>
      </c>
      <c r="Q9" s="50">
        <f>IF('F3 Cost Effectiveness'!$D$26='Factor 3 Calculations'!A9,SUM(P9,K9,F9,),0)</f>
        <v>0</v>
      </c>
    </row>
    <row r="10" spans="1:22">
      <c r="A10" s="46" t="s">
        <v>221</v>
      </c>
      <c r="B10" s="8">
        <f>2.7287*(10^-4)*('F3 Cost Effectiveness'!$D$28^1.0054)*('F3 Cost Effectiveness'!$D$27^0.866)*EXP(0.056*'F3 Cost Effectiveness'!$D$34)</f>
        <v>0</v>
      </c>
      <c r="C10" s="3">
        <v>1.2984</v>
      </c>
      <c r="D10" s="3" t="e">
        <f>(('F3 Cost Effectiveness'!$D$24+(1/'Factor 3 Calculations'!C10))/(3+(1/('Factor 3 Calculations'!C10*'Factor 3 Calculations'!B10))))</f>
        <v>#DIV/0!</v>
      </c>
      <c r="E10" s="39">
        <v>15587.29</v>
      </c>
      <c r="F10" s="41" t="e">
        <f t="shared" si="0"/>
        <v>#DIV/0!</v>
      </c>
      <c r="G10" s="8">
        <f>1.2714*(10^-6)*('F3 Cost Effectiveness'!$D$28^1.3498)*('F3 Cost Effectiveness'!$D$27^0.8982)*EXP(0.0567*'F3 Cost Effectiveness'!$D$34)</f>
        <v>0</v>
      </c>
      <c r="H10" s="3">
        <v>1.9487000000000001</v>
      </c>
      <c r="I10" s="3" t="e">
        <f>(('F3 Cost Effectiveness'!$D$23+(1/'Factor 3 Calculations'!H10))/(3+(1/('Factor 3 Calculations'!H10*'Factor 3 Calculations'!G10))))</f>
        <v>#DIV/0!</v>
      </c>
      <c r="J10" s="39">
        <v>212262.27</v>
      </c>
      <c r="K10" s="41" t="e">
        <f t="shared" si="1"/>
        <v>#DIV/0!</v>
      </c>
      <c r="L10" s="8">
        <f>1.1352*(10^-4)*('F3 Cost Effectiveness'!$D$28^0.9099)*('F3 Cost Effectiveness'!$D$27^1.0374)*EXP(0.0454*'F3 Cost Effectiveness'!$D$34)</f>
        <v>0</v>
      </c>
      <c r="M10" s="3">
        <v>1.2892999999999999</v>
      </c>
      <c r="N10" s="3" t="e">
        <f>(('F3 Cost Effectiveness'!$D$22+(1/'Factor 3 Calculations'!M10))/(3+(1/('Factor 3 Calculations'!M10*'Factor 3 Calculations'!L10))))</f>
        <v>#DIV/0!</v>
      </c>
      <c r="O10" s="39">
        <v>857956.11</v>
      </c>
      <c r="P10" s="41" t="e">
        <f t="shared" si="2"/>
        <v>#DIV/0!</v>
      </c>
      <c r="Q10" s="50">
        <f>IF('F3 Cost Effectiveness'!$D$26='Factor 3 Calculations'!A10,SUM(P10,K10,F10,),0)</f>
        <v>0</v>
      </c>
      <c r="S10" t="s">
        <v>222</v>
      </c>
    </row>
    <row r="11" spans="1:22">
      <c r="A11" s="46" t="s">
        <v>223</v>
      </c>
      <c r="B11" s="8">
        <f>1.4748*(10^-4)*('F3 Cost Effectiveness'!$D$28^1.0657)*('F3 Cost Effectiveness'!$D$27^0.9423)*EXP(0.0443*'F3 Cost Effectiveness'!$D$34)</f>
        <v>0</v>
      </c>
      <c r="C11" s="3">
        <v>1.3399000000000001</v>
      </c>
      <c r="D11" s="3" t="e">
        <f>(('F3 Cost Effectiveness'!$D$24+(1/'Factor 3 Calculations'!C11))/(3+(1/('Factor 3 Calculations'!C11*'Factor 3 Calculations'!B11))))</f>
        <v>#DIV/0!</v>
      </c>
      <c r="E11" s="39">
        <v>15587.29</v>
      </c>
      <c r="F11" s="41" t="e">
        <f t="shared" si="0"/>
        <v>#DIV/0!</v>
      </c>
      <c r="G11" s="8">
        <f>5.7288*(10^-6)*('F3 Cost Effectiveness'!$D$28^1.1792)*('F3 Cost Effectiveness'!$D$27^1.0151)*EXP(0.0572*'F3 Cost Effectiveness'!$D$34)</f>
        <v>0</v>
      </c>
      <c r="H11" s="3">
        <v>1.54</v>
      </c>
      <c r="I11" s="3" t="e">
        <f>(('F3 Cost Effectiveness'!$D$23+(1/'Factor 3 Calculations'!H11))/(3+(1/('Factor 3 Calculations'!H11*'Factor 3 Calculations'!G11))))</f>
        <v>#DIV/0!</v>
      </c>
      <c r="J11" s="39">
        <v>212262.27</v>
      </c>
      <c r="K11" s="41" t="e">
        <f t="shared" si="1"/>
        <v>#DIV/0!</v>
      </c>
      <c r="L11" s="8">
        <f>1.1864*(10^-4)*('F3 Cost Effectiveness'!$D$28^0.08814)*('F3 Cost Effectiveness'!$D$27^1.0672)*EXP(0.0554*'F3 Cost Effectiveness'!$D$34)</f>
        <v>0</v>
      </c>
      <c r="M11" s="3">
        <v>1.3647</v>
      </c>
      <c r="N11" s="3" t="e">
        <f>(('F3 Cost Effectiveness'!$D$22+(1/'Factor 3 Calculations'!M11))/(3+(1/('Factor 3 Calculations'!M11*'Factor 3 Calculations'!L11))))</f>
        <v>#DIV/0!</v>
      </c>
      <c r="O11" s="39">
        <v>857956.11</v>
      </c>
      <c r="P11" s="41" t="e">
        <f t="shared" si="2"/>
        <v>#DIV/0!</v>
      </c>
      <c r="Q11" s="50">
        <f>IF('F3 Cost Effectiveness'!$D$26='Factor 3 Calculations'!A11,SUM(P11,K11,F11,),0)</f>
        <v>0</v>
      </c>
      <c r="S11" t="s">
        <v>224</v>
      </c>
    </row>
    <row r="12" spans="1:22">
      <c r="A12" s="46" t="s">
        <v>225</v>
      </c>
      <c r="B12" s="8">
        <f>4.889*(10^-7)*('F3 Cost Effectiveness'!$D$28^1.5733)*('F3 Cost Effectiveness'!$D$27^0.8828)</f>
        <v>0</v>
      </c>
      <c r="C12" s="3">
        <v>0.31480000000000002</v>
      </c>
      <c r="D12" s="3" t="e">
        <f>(('F3 Cost Effectiveness'!$D$24+(1/'Factor 3 Calculations'!C12))/(3+(1/('Factor 3 Calculations'!C12*'Factor 3 Calculations'!B12))))</f>
        <v>#DIV/0!</v>
      </c>
      <c r="E12" s="39">
        <v>15587.29</v>
      </c>
      <c r="F12" s="41" t="e">
        <f t="shared" si="0"/>
        <v>#DIV/0!</v>
      </c>
      <c r="G12" s="8">
        <f>6.3519*(10^-9)*('F3 Cost Effectiveness'!$D$28^1.709)*('F3 Cost Effectiveness'!$D$27^0.8907)</f>
        <v>0</v>
      </c>
      <c r="H12" s="3">
        <v>0.4093</v>
      </c>
      <c r="I12" s="3" t="e">
        <f>(('F3 Cost Effectiveness'!$D$23+(1/'Factor 3 Calculations'!H12))/(3+(1/('Factor 3 Calculations'!H12*'Factor 3 Calculations'!G12))))</f>
        <v>#DIV/0!</v>
      </c>
      <c r="J12" s="39">
        <v>212262.27</v>
      </c>
      <c r="K12" s="41" t="e">
        <f t="shared" si="1"/>
        <v>#DIV/0!</v>
      </c>
      <c r="L12" s="8">
        <f>2.6904*(10^-7)*('F3 Cost Effectiveness'!$D$28^1.4256)*('F3 Cost Effectiveness'!$D$27^0.9725)</f>
        <v>0</v>
      </c>
      <c r="M12" s="3">
        <v>0.26929999999999998</v>
      </c>
      <c r="N12" s="3" t="e">
        <f>(('F3 Cost Effectiveness'!$D$22+(1/'Factor 3 Calculations'!M12))/(3+(1/('Factor 3 Calculations'!M12*'Factor 3 Calculations'!L12))))</f>
        <v>#DIV/0!</v>
      </c>
      <c r="O12" s="39">
        <v>857956.11</v>
      </c>
      <c r="P12" s="41" t="e">
        <f t="shared" si="2"/>
        <v>#DIV/0!</v>
      </c>
      <c r="Q12" s="50">
        <f>IF('F3 Cost Effectiveness'!$D$26='Factor 3 Calculations'!A12,SUM(P12,K12,F12,),0)</f>
        <v>0</v>
      </c>
    </row>
    <row r="13" spans="1:22">
      <c r="A13" s="46" t="s">
        <v>226</v>
      </c>
      <c r="B13" s="8">
        <f>9.9909*(10^-1)*('F3 Cost Effectiveness'!$D$28^0.1699)*('F3 Cost Effectiveness'!$D$27^0.4908)*EXP(0.371*IF('F3 Cost Effectiveness'!$D$30="Diamond",1,0)+0.5954*IF('F3 Cost Effectiveness'!$D$30="Cloverleaf",1,0))</f>
        <v>0</v>
      </c>
      <c r="C13" s="3">
        <v>0.38790000000000002</v>
      </c>
      <c r="D13" s="3" t="e">
        <f>(('F3 Cost Effectiveness'!$D$24+(1/'Factor 3 Calculations'!C13))/(3+(1/('Factor 3 Calculations'!C13*'Factor 3 Calculations'!B13))))</f>
        <v>#DIV/0!</v>
      </c>
      <c r="E13" s="39">
        <v>15587.29</v>
      </c>
      <c r="F13" s="41" t="e">
        <f t="shared" si="0"/>
        <v>#DIV/0!</v>
      </c>
      <c r="G13" s="8">
        <f>2.8675*(10^-4)*('F3 Cost Effectiveness'!$D$28^0.7184)*EXP(0.466*IF('F3 Cost Effectiveness'!$D$30="Cloverleaf",1,0))</f>
        <v>0</v>
      </c>
      <c r="H13" s="3">
        <v>0.1009</v>
      </c>
      <c r="I13" s="3" t="e">
        <f>(('F3 Cost Effectiveness'!$D$23+(1/'Factor 3 Calculations'!H13))/(3+(1/('Factor 3 Calculations'!H13*'Factor 3 Calculations'!G13))))</f>
        <v>#DIV/0!</v>
      </c>
      <c r="J13" s="39">
        <v>212262.27</v>
      </c>
      <c r="K13" s="41" t="e">
        <f t="shared" si="1"/>
        <v>#DIV/0!</v>
      </c>
      <c r="L13" s="8">
        <f>3.773*(10^-1)*('F3 Cost Effectiveness'!$D$28^0.0702)*('F3 Cost Effectiveness'!$D$27^0.5405)*EXP(0.4028*IF('F3 Cost Effectiveness'!$D$30="Cloverleaf",1,0))</f>
        <v>0</v>
      </c>
      <c r="M13" s="3">
        <v>0.39</v>
      </c>
      <c r="N13" s="3" t="e">
        <f>(('F3 Cost Effectiveness'!$D$22+(1/'Factor 3 Calculations'!M13))/(3+(1/('Factor 3 Calculations'!M13*'Factor 3 Calculations'!L13))))</f>
        <v>#DIV/0!</v>
      </c>
      <c r="O13" s="39">
        <v>857956.11</v>
      </c>
      <c r="P13" s="41" t="e">
        <f t="shared" si="2"/>
        <v>#DIV/0!</v>
      </c>
      <c r="Q13" s="50">
        <f>IF('F3 Cost Effectiveness'!$D$26='Factor 3 Calculations'!A13,SUM(P13,K13,F13,),0)</f>
        <v>0</v>
      </c>
      <c r="S13" t="s">
        <v>227</v>
      </c>
    </row>
    <row r="14" spans="1:22">
      <c r="A14" s="46" t="s">
        <v>228</v>
      </c>
      <c r="B14" s="8">
        <f>9.9894*(10^-4)*('F3 Cost Effectiveness'!$D$28^0.7905)*EXP(0.651*IF('F3 Cost Effectiveness'!$D$30="Diamond",1,0)+0.4254*IF('F3 Cost Effectiveness'!$D$30="Cloverleaf",1,0))</f>
        <v>0</v>
      </c>
      <c r="C14" s="3">
        <v>1.4245000000000001</v>
      </c>
      <c r="D14" s="3" t="e">
        <f>(('F3 Cost Effectiveness'!$D$24+(1/'Factor 3 Calculations'!C14))/(3+(1/('Factor 3 Calculations'!C14*'Factor 3 Calculations'!B14))))</f>
        <v>#DIV/0!</v>
      </c>
      <c r="E14" s="39">
        <v>15587.29</v>
      </c>
      <c r="F14" s="41" t="e">
        <f t="shared" si="0"/>
        <v>#DIV/0!</v>
      </c>
      <c r="G14" s="8">
        <f>4.645*(10^-6)*'F3 Cost Effectiveness'!$D$28^1.1507</f>
        <v>0</v>
      </c>
      <c r="H14" s="3">
        <v>2.1941000000000002</v>
      </c>
      <c r="I14" s="3" t="e">
        <f>(('F3 Cost Effectiveness'!$D$23+(1/'Factor 3 Calculations'!H14))/(3+(1/('Factor 3 Calculations'!H14*'Factor 3 Calculations'!G14))))</f>
        <v>#DIV/0!</v>
      </c>
      <c r="J14" s="39">
        <v>212262.27</v>
      </c>
      <c r="K14" s="41" t="e">
        <f t="shared" si="1"/>
        <v>#DIV/0!</v>
      </c>
      <c r="L14" s="8">
        <f>9.2547*(10^-4)*('F3 Cost Effectiveness'!$D$28^0.596)*EXP(0.3644*IF('F3 Cost Effectiveness'!$D$30="Diamond",1,0))</f>
        <v>0</v>
      </c>
      <c r="M14" s="3">
        <v>1.0385</v>
      </c>
      <c r="N14" s="3" t="e">
        <f>(('F3 Cost Effectiveness'!$D$22+(1/'Factor 3 Calculations'!M14))/(3+(1/('Factor 3 Calculations'!M14*'Factor 3 Calculations'!L14))))</f>
        <v>#DIV/0!</v>
      </c>
      <c r="O14" s="39">
        <v>857956.11</v>
      </c>
      <c r="P14" s="41" t="e">
        <f t="shared" si="2"/>
        <v>#DIV/0!</v>
      </c>
      <c r="Q14" s="50">
        <f>IF('F3 Cost Effectiveness'!$D$26='Factor 3 Calculations'!A14,SUM(P14,K14,F14,),0)</f>
        <v>0</v>
      </c>
      <c r="S14" t="s">
        <v>229</v>
      </c>
    </row>
    <row r="15" spans="1:22">
      <c r="A15" s="46" t="s">
        <v>230</v>
      </c>
      <c r="B15" s="8">
        <f>9.8544*(10^-5)*('F3 Cost Effectiveness'!$D$28^1.1344)*('F3 Cost Effectiveness'!$D$27^0.8282)*EXP(-0.1919*IF('F3 Cost Effectiveness'!$D$30="Diamond",1,0))</f>
        <v>0</v>
      </c>
      <c r="C15" s="3">
        <v>0.38690000000000002</v>
      </c>
      <c r="D15" s="3" t="e">
        <f>(('F3 Cost Effectiveness'!$D$24+(1/'Factor 3 Calculations'!C15))/(3+(1/('Factor 3 Calculations'!C15*'Factor 3 Calculations'!B15))))</f>
        <v>#DIV/0!</v>
      </c>
      <c r="E15" s="39">
        <v>15587.29</v>
      </c>
      <c r="F15" s="41" t="e">
        <f t="shared" si="0"/>
        <v>#DIV/0!</v>
      </c>
      <c r="G15" s="8">
        <f>1.2281*(10^-6)*('F3 Cost Effectiveness'!$D$28^1.2585)*('F3 Cost Effectiveness'!$D$27^0.6151)*EXP(0.2291*IF('F3 Cost Effectiveness'!$D$30="Cloverleaf",1,0))</f>
        <v>0</v>
      </c>
      <c r="H15" s="3">
        <v>0.27010000000000001</v>
      </c>
      <c r="I15" s="3" t="e">
        <f>(('F3 Cost Effectiveness'!$D$23+(1/'Factor 3 Calculations'!H15))/(3+(1/('Factor 3 Calculations'!H15*'Factor 3 Calculations'!G15))))</f>
        <v>#DIV/0!</v>
      </c>
      <c r="J15" s="39">
        <v>212262.27</v>
      </c>
      <c r="K15" s="41" t="e">
        <f t="shared" si="1"/>
        <v>#DIV/0!</v>
      </c>
      <c r="L15" s="8">
        <f>1.0114*(10^-6)*('F3 Cost Effectiveness'!$D$28^1.3269)*('F3 Cost Effectiveness'!$D$27^0.5967)*EXP(0.2022*IF('F3 Cost Effectiveness'!$D$30="Cloverleaf",1,0))</f>
        <v>0</v>
      </c>
      <c r="M15" s="3">
        <v>0.22850000000000001</v>
      </c>
      <c r="N15" s="3" t="e">
        <f>(('F3 Cost Effectiveness'!$D$22+(1/'Factor 3 Calculations'!M15))/(3+(1/('Factor 3 Calculations'!M15*'Factor 3 Calculations'!L15))))</f>
        <v>#DIV/0!</v>
      </c>
      <c r="O15" s="39">
        <v>857956.11</v>
      </c>
      <c r="P15" s="41" t="e">
        <f t="shared" si="2"/>
        <v>#DIV/0!</v>
      </c>
      <c r="Q15" s="50">
        <f>IF('F3 Cost Effectiveness'!$D$26='Factor 3 Calculations'!A15,SUM(P15,K15,F15,),0)</f>
        <v>0</v>
      </c>
    </row>
    <row r="16" spans="1:22">
      <c r="A16" s="46" t="s">
        <v>231</v>
      </c>
      <c r="B16" s="8">
        <f>6.6648*(10^-3)*('F3 Cost Effectiveness'!$D$28^0.6108)*('F3 Cost Effectiveness'!$D$27^0.79)*EXP(1.5238*IF('F3 Cost Effectiveness'!$D$30="Diamond",1,0)+0.7662*IF('F3 Cost Effectiveness'!$D$30="Cloverleaf",1,0))</f>
        <v>0</v>
      </c>
      <c r="C16" s="3">
        <v>1.6494</v>
      </c>
      <c r="D16" s="3" t="e">
        <f>(('F3 Cost Effectiveness'!$D$24+(1/'Factor 3 Calculations'!C16))/(3+(1/('Factor 3 Calculations'!C16*'Factor 3 Calculations'!B16))))</f>
        <v>#DIV/0!</v>
      </c>
      <c r="E16" s="39">
        <v>15587.29</v>
      </c>
      <c r="F16" s="41" t="e">
        <f t="shared" si="0"/>
        <v>#DIV/0!</v>
      </c>
      <c r="G16" s="8">
        <f>2.8063*(10^-2)*('F3 Cost Effectiveness'!$D$28^0.3079)*('F3 Cost Effectiveness'!$D$27^0.5705)*EXP(0.9024*IF('F3 Cost Effectiveness'!$D$30="Diamond",1,0))</f>
        <v>0</v>
      </c>
      <c r="H16" s="3">
        <v>1.5466</v>
      </c>
      <c r="I16" s="3" t="e">
        <f>(('F3 Cost Effectiveness'!$D$23+(1/'Factor 3 Calculations'!H16))/(3+(1/('Factor 3 Calculations'!H16*'Factor 3 Calculations'!G16))))</f>
        <v>#DIV/0!</v>
      </c>
      <c r="J16" s="39">
        <v>212262.27</v>
      </c>
      <c r="K16" s="41" t="e">
        <f t="shared" si="1"/>
        <v>#DIV/0!</v>
      </c>
      <c r="L16" s="8">
        <f>7.3871*(10^-3)*('F3 Cost Effectiveness'!$D$28^0.4663)*('F3 Cost Effectiveness'!$D$27^1.0147)*EXP(0.592*IF('F3 Cost Effectiveness'!$D$30="Diamond",1,0))</f>
        <v>0</v>
      </c>
      <c r="M16" s="3">
        <v>2.6981999999999999</v>
      </c>
      <c r="N16" s="3" t="e">
        <f>(('F3 Cost Effectiveness'!$D$22+(1/'Factor 3 Calculations'!M16))/(3+(1/('Factor 3 Calculations'!M16*'Factor 3 Calculations'!L16))))</f>
        <v>#DIV/0!</v>
      </c>
      <c r="O16" s="39">
        <v>857956.11</v>
      </c>
      <c r="P16" s="41" t="e">
        <f t="shared" si="2"/>
        <v>#DIV/0!</v>
      </c>
      <c r="Q16" s="50">
        <f>IF('F3 Cost Effectiveness'!$D$26='Factor 3 Calculations'!A16,SUM(P16,K16,F16,),0)</f>
        <v>0</v>
      </c>
    </row>
    <row r="17" spans="1:37">
      <c r="A17" s="46" t="s">
        <v>232</v>
      </c>
      <c r="B17" s="8">
        <f>1.7166*(10^-3)*('F3 Cost Effectiveness'!$D$28^0.655)+('F3 Cost Effectiveness'!$D$27^0.3181)*EXP(0.4112*IF('F3 Cost Effectiveness'!$D$33="Other",1,0))</f>
        <v>0</v>
      </c>
      <c r="C17" s="3">
        <v>5.1818</v>
      </c>
      <c r="D17" s="3" t="e">
        <f>(('F3 Cost Effectiveness'!$D$24+(1/'Factor 3 Calculations'!C17))/(3+(1/('Factor 3 Calculations'!C17*'Factor 3 Calculations'!B17))))</f>
        <v>#DIV/0!</v>
      </c>
      <c r="E17" s="39">
        <v>15587.29</v>
      </c>
      <c r="F17" s="41" t="e">
        <f t="shared" si="0"/>
        <v>#DIV/0!</v>
      </c>
      <c r="G17" s="8">
        <f>5.1369*(10^-4)*('F3 Cost Effectiveness'!$D$28^0.5362)+('F3 Cost Effectiveness'!$D$27^0.2629)*EXP(0.3629*IF('F3 Cost Effectiveness'!$D$33="Loop",1,0)+0.6036*IF('F3 Cost Effectiveness'!$D$33="Other",1,0))</f>
        <v>0</v>
      </c>
      <c r="H17" s="3">
        <v>6.2168999999999999</v>
      </c>
      <c r="I17" s="3" t="e">
        <f>(('F3 Cost Effectiveness'!$D$23+(1/'Factor 3 Calculations'!H17))/(3+(1/('Factor 3 Calculations'!H17*'Factor 3 Calculations'!G17))))</f>
        <v>#DIV/0!</v>
      </c>
      <c r="J17" s="39">
        <v>212262.27</v>
      </c>
      <c r="K17" s="41" t="e">
        <f t="shared" si="1"/>
        <v>#DIV/0!</v>
      </c>
      <c r="L17" s="8">
        <f>4.4705*(10^-4)*('F3 Cost Effectiveness'!$D$28^0.5362)+('F3 Cost Effectiveness'!$D$27^0.2629)*EXP(0.3629*IF('F3 Cost Effectiveness'!$D$33="Loop",1,0)+0.6036*IF('F3 Cost Effectiveness'!$D$33="Other",1,0))</f>
        <v>0</v>
      </c>
      <c r="M17" s="3">
        <v>6.2168999999999999</v>
      </c>
      <c r="N17" s="3" t="e">
        <f>(('F3 Cost Effectiveness'!$D$22+(1/'Factor 3 Calculations'!M17))/(3+(1/('Factor 3 Calculations'!M17*'Factor 3 Calculations'!L17))))</f>
        <v>#DIV/0!</v>
      </c>
      <c r="O17" s="39">
        <v>857956.11</v>
      </c>
      <c r="P17" s="41" t="e">
        <f t="shared" si="2"/>
        <v>#DIV/0!</v>
      </c>
      <c r="Q17" s="50">
        <f>IF('F3 Cost Effectiveness'!$D$26='Factor 3 Calculations'!A17,SUM(P17,K17,F17,),0)</f>
        <v>0</v>
      </c>
    </row>
    <row r="18" spans="1:37">
      <c r="A18" s="46" t="s">
        <v>233</v>
      </c>
      <c r="B18" s="8">
        <f>8.3797*(10^-5)*('F3 Cost Effectiveness'!$D$28^0.8077)*('F3 Cost Effectiveness'!$D$29^0.403)*EXP(-0.4586*IF('F3 Cost Effectiveness'!$D$31="Yes",1,0))</f>
        <v>0</v>
      </c>
      <c r="C18" s="3">
        <v>0.54149999999999998</v>
      </c>
      <c r="D18" s="3" t="e">
        <f>(('F3 Cost Effectiveness'!$D$24+(1/'Factor 3 Calculations'!C18))/(3+(1/('Factor 3 Calculations'!C18*'Factor 3 Calculations'!B18))))</f>
        <v>#DIV/0!</v>
      </c>
      <c r="E18" s="39">
        <v>15587.29</v>
      </c>
      <c r="F18" s="41" t="e">
        <f t="shared" si="0"/>
        <v>#DIV/0!</v>
      </c>
      <c r="G18" s="8">
        <f>1.7617*(10^-7)*('F3 Cost Effectiveness'!$D$28^1.3787)*('F3 Cost Effectiveness'!$D$29^0.1979)</f>
        <v>0</v>
      </c>
      <c r="H18" s="3">
        <v>0.89259999999999995</v>
      </c>
      <c r="I18" s="3" t="e">
        <f>(('F3 Cost Effectiveness'!$D$23+(1/'Factor 3 Calculations'!H18))/(3+(1/('Factor 3 Calculations'!H18*'Factor 3 Calculations'!G18))))</f>
        <v>#DIV/0!</v>
      </c>
      <c r="J18" s="39">
        <v>212262.27</v>
      </c>
      <c r="K18" s="41" t="e">
        <f t="shared" si="1"/>
        <v>#DIV/0!</v>
      </c>
      <c r="L18" s="8">
        <f>2.887*(10^-5)*('F3 Cost Effectiveness'!$D$28^0.7071)*('F3 Cost Effectiveness'!$D$29^0.3709)*EXP(-0.6066*IF('F3 Cost Effectiveness'!$D$31="Yes",1,0))</f>
        <v>0</v>
      </c>
      <c r="M18" s="3">
        <v>0.71299999999999997</v>
      </c>
      <c r="N18" s="3" t="e">
        <f>(('F3 Cost Effectiveness'!$D$22+(1/'Factor 3 Calculations'!M18))/(3+(1/('Factor 3 Calculations'!M18*'Factor 3 Calculations'!L18))))</f>
        <v>#DIV/0!</v>
      </c>
      <c r="O18" s="39">
        <v>857956.11</v>
      </c>
      <c r="P18" s="41" t="e">
        <f t="shared" si="2"/>
        <v>#DIV/0!</v>
      </c>
      <c r="Q18" s="50">
        <f>IF('F3 Cost Effectiveness'!$D$26='Factor 3 Calculations'!A18,SUM(P18,K18,F18,),0)</f>
        <v>0</v>
      </c>
    </row>
    <row r="19" spans="1:37">
      <c r="A19" s="46" t="s">
        <v>234</v>
      </c>
      <c r="B19" s="8">
        <f>1.1165*(10^-2)*('F3 Cost Effectiveness'!$D$28^0.6381)*EXP(-0.2427*IF('F3 Cost Effectiveness'!$D$31="Yes",1,0)+0.4581*IF(OR('F3 Cost Effectiveness'!$D$32="Principal Arterial",'F3 Cost Effectiveness'!$D$32="Minor Arterial"),1,0))</f>
        <v>0</v>
      </c>
      <c r="C19" s="3">
        <v>0.65369999999999995</v>
      </c>
      <c r="D19" s="3" t="e">
        <f>(('F3 Cost Effectiveness'!$D$24+(1/'Factor 3 Calculations'!C19))/(3+(1/('Factor 3 Calculations'!C19*'Factor 3 Calculations'!B19))))</f>
        <v>#DIV/0!</v>
      </c>
      <c r="E19" s="39">
        <v>15587.29</v>
      </c>
      <c r="F19" s="41" t="e">
        <f t="shared" si="0"/>
        <v>#DIV/0!</v>
      </c>
      <c r="G19" s="8">
        <f>2.4457*(10^-4)*('F3 Cost Effectiveness'!$D$28^0.8247)*EXP(-0.2935*IF('F3 Cost Effectiveness'!$D$31="Yes",1,0)+0.3989*IF(OR('F3 Cost Effectiveness'!$D$32="Principal Arterial",'F3 Cost Effectiveness'!$D$32="Minor Arterial"),1,0))</f>
        <v>0</v>
      </c>
      <c r="H19" s="3">
        <v>1.0684</v>
      </c>
      <c r="I19" s="3" t="e">
        <f>(('F3 Cost Effectiveness'!$D$23+(1/'Factor 3 Calculations'!H19))/(3+(1/('Factor 3 Calculations'!H19*'Factor 3 Calculations'!G19))))</f>
        <v>#DIV/0!</v>
      </c>
      <c r="J19" s="39">
        <v>212262.27</v>
      </c>
      <c r="K19" s="41" t="e">
        <f t="shared" si="1"/>
        <v>#DIV/0!</v>
      </c>
      <c r="L19" s="8">
        <f>1.4198*(10^-3)*('F3 Cost Effectiveness'!$D$28^0.6178)*EXP(-0.2738*IF('F3 Cost Effectiveness'!$D$31="Yes",1,0)+0.3614*IF(OR('F3 Cost Effectiveness'!$D$32="Principal Arterial",'F3 Cost Effectiveness'!$D$32="Minor Arterial"),1,0))</f>
        <v>0</v>
      </c>
      <c r="M19" s="3">
        <v>0.84250000000000003</v>
      </c>
      <c r="N19" s="3" t="e">
        <f>(('F3 Cost Effectiveness'!$D$22+(1/'Factor 3 Calculations'!M19))/(3+(1/('Factor 3 Calculations'!M19*'Factor 3 Calculations'!L19))))</f>
        <v>#DIV/0!</v>
      </c>
      <c r="O19" s="39">
        <v>857956.11</v>
      </c>
      <c r="P19" s="41" t="e">
        <f t="shared" si="2"/>
        <v>#DIV/0!</v>
      </c>
      <c r="Q19" s="50">
        <f>IF('F3 Cost Effectiveness'!$D$26='Factor 3 Calculations'!A19,SUM(P19,K19,F19,),0)</f>
        <v>0</v>
      </c>
    </row>
    <row r="20" spans="1:37">
      <c r="A20" s="46" t="s">
        <v>235</v>
      </c>
      <c r="B20" s="8">
        <f>3.8929*(10^-3)*('F3 Cost Effectiveness'!$D$28^0.3891)*('F3 Cost Effectiveness'!$D$29^0.431)*EXP(-0.4349*IF('F3 Cost Effectiveness'!$D$31="Yes",1,0))</f>
        <v>0</v>
      </c>
      <c r="C20" s="3">
        <v>0.55469999999999997</v>
      </c>
      <c r="D20" s="3" t="e">
        <f>(('F3 Cost Effectiveness'!$D$24+(1/'Factor 3 Calculations'!C20))/(3+(1/('Factor 3 Calculations'!C20*'Factor 3 Calculations'!B20))))</f>
        <v>#DIV/0!</v>
      </c>
      <c r="E20" s="39">
        <v>15587.29</v>
      </c>
      <c r="F20" s="41" t="e">
        <f t="shared" si="0"/>
        <v>#DIV/0!</v>
      </c>
      <c r="G20" s="8">
        <f>1.3378*(10^-5)*('F3 Cost Effectiveness'!$D$28^1.1265)</f>
        <v>0</v>
      </c>
      <c r="H20" s="3">
        <v>0.77539999999999998</v>
      </c>
      <c r="I20" s="3" t="e">
        <f>(('F3 Cost Effectiveness'!$D$23+(1/'Factor 3 Calculations'!H20))/(3+(1/('Factor 3 Calculations'!H20*'Factor 3 Calculations'!G20))))</f>
        <v>#DIV/0!</v>
      </c>
      <c r="J20" s="39">
        <v>212262.27</v>
      </c>
      <c r="K20" s="41" t="e">
        <f t="shared" si="1"/>
        <v>#DIV/0!</v>
      </c>
      <c r="L20" s="8">
        <f>6.7616*(10^-2)*('F3 Cost Effectiveness'!$D$28^0.2809)*EXP(-0.7268*IF('F3 Cost Effectiveness'!$D$31="Yes",1,0))</f>
        <v>0</v>
      </c>
      <c r="M20" s="3">
        <v>0.84289999999999998</v>
      </c>
      <c r="N20" s="3" t="e">
        <f>(('F3 Cost Effectiveness'!$D$22+(1/'Factor 3 Calculations'!M20))/(3+(1/('Factor 3 Calculations'!M20*'Factor 3 Calculations'!L20))))</f>
        <v>#DIV/0!</v>
      </c>
      <c r="O20" s="39">
        <v>857956.11</v>
      </c>
      <c r="P20" s="41" t="e">
        <f t="shared" si="2"/>
        <v>#DIV/0!</v>
      </c>
      <c r="Q20" s="50">
        <f>IF('F3 Cost Effectiveness'!$D$26='Factor 3 Calculations'!A20,SUM(P20,K20,F20,),0)</f>
        <v>0</v>
      </c>
    </row>
    <row r="21" spans="1:37">
      <c r="A21" s="46" t="s">
        <v>236</v>
      </c>
      <c r="B21" s="8">
        <f>1.1701*(10^-4)*('F3 Cost Effectiveness'!$D$28^1.1212)*EXP(-0.186*IF('F3 Cost Effectiveness'!$D$31="Yes",1,0)+0.1525*IF(OR('F3 Cost Effectiveness'!$D$32="Principal Arterial",'F3 Cost Effectiveness'!$D$32="Minor Arterial"),1,0))</f>
        <v>0</v>
      </c>
      <c r="C21" s="3">
        <v>0.62639999999999996</v>
      </c>
      <c r="D21" s="3" t="e">
        <f>(('F3 Cost Effectiveness'!$D$24+(1/'Factor 3 Calculations'!C21))/(3+(1/('Factor 3 Calculations'!C21*'Factor 3 Calculations'!B21))))</f>
        <v>#DIV/0!</v>
      </c>
      <c r="E21" s="39">
        <v>15587.29</v>
      </c>
      <c r="F21" s="41" t="e">
        <f t="shared" si="0"/>
        <v>#DIV/0!</v>
      </c>
      <c r="G21" s="8">
        <f>1.5849*(10^-5)*('F3 Cost Effectiveness'!$D$28^1.0969)*EXP(0.3911*IF(OR('F3 Cost Effectiveness'!$D$32="Principal Arterial",'F3 Cost Effectiveness'!$D$32="Minor Arterial"),1,0))</f>
        <v>0</v>
      </c>
      <c r="H21" s="3">
        <v>0.86339999999999995</v>
      </c>
      <c r="I21" s="3" t="e">
        <f>(('F3 Cost Effectiveness'!$D$23+(1/'Factor 3 Calculations'!H21))/(3+(1/('Factor 3 Calculations'!H21*'Factor 3 Calculations'!G21))))</f>
        <v>#DIV/0!</v>
      </c>
      <c r="J21" s="39">
        <v>212262.27</v>
      </c>
      <c r="K21" s="41" t="e">
        <f t="shared" si="1"/>
        <v>#DIV/0!</v>
      </c>
      <c r="L21" s="8">
        <f>1.3517*(10^-4)*('F3 Cost Effectiveness'!$D$28^0.8833)*EXP(0.3985*IF(OR('F3 Cost Effectiveness'!$D$32="Principal Arterial",'F3 Cost Effectiveness'!$D$32="Minor Arterial"),1,0))</f>
        <v>0</v>
      </c>
      <c r="M21" s="3">
        <v>0.9224</v>
      </c>
      <c r="N21" s="3" t="e">
        <f>(('F3 Cost Effectiveness'!$D$22+(1/'Factor 3 Calculations'!M21))/(3+(1/('Factor 3 Calculations'!M21*'Factor 3 Calculations'!L21))))</f>
        <v>#DIV/0!</v>
      </c>
      <c r="O21" s="39">
        <v>857956.11</v>
      </c>
      <c r="P21" s="41" t="e">
        <f t="shared" si="2"/>
        <v>#DIV/0!</v>
      </c>
      <c r="Q21" s="50">
        <f>IF('F3 Cost Effectiveness'!$D$26='Factor 3 Calculations'!A21,SUM(P21,K21,F21,),0)</f>
        <v>0</v>
      </c>
    </row>
    <row r="22" spans="1:37">
      <c r="A22" s="46" t="s">
        <v>237</v>
      </c>
      <c r="B22" s="8">
        <f>2.2178*(10^-4)*('F3 Cost Effectiveness'!$D$28^0.8481)*('F3 Cost Effectiveness'!$D$29^0.2284)*EXP(-0.777*IF('F3 Cost Effectiveness'!$D$31="Yes",1,0))</f>
        <v>0</v>
      </c>
      <c r="C22" s="3">
        <v>0.77439999999999998</v>
      </c>
      <c r="D22" s="3" t="e">
        <f>(('F3 Cost Effectiveness'!$D$24+(1/'Factor 3 Calculations'!C22))/(3+(1/('Factor 3 Calculations'!C22*'Factor 3 Calculations'!B22))))</f>
        <v>#DIV/0!</v>
      </c>
      <c r="E22" s="39">
        <v>15587.29</v>
      </c>
      <c r="F22" s="41" t="e">
        <f t="shared" si="0"/>
        <v>#DIV/0!</v>
      </c>
      <c r="G22" s="8">
        <f>1.0243*(10^-6)*('F3 Cost Effectiveness'!$D$28^1.2145)*('F3 Cost Effectiveness'!$D$29^0.1612)*EXP(-0.4759*IF('F3 Cost Effectiveness'!$D$31="Yes",1,0))</f>
        <v>0</v>
      </c>
      <c r="H22" s="3">
        <v>1.4455</v>
      </c>
      <c r="I22" s="3" t="e">
        <f>(('F3 Cost Effectiveness'!$D$23+(1/'Factor 3 Calculations'!H22))/(3+(1/('Factor 3 Calculations'!H22*'Factor 3 Calculations'!G22))))</f>
        <v>#DIV/0!</v>
      </c>
      <c r="J22" s="39">
        <v>212262.27</v>
      </c>
      <c r="K22" s="41" t="e">
        <f t="shared" si="1"/>
        <v>#DIV/0!</v>
      </c>
      <c r="L22" s="8">
        <f>4.8134*(10^-5)*('F3 Cost Effectiveness'!$D$28^0.7317)*('F3 Cost Effectiveness'!$D$29^0.2595)*EXP(-1.0369*IF('F3 Cost Effectiveness'!$D$31="Yes",1,0))</f>
        <v>0</v>
      </c>
      <c r="M22" s="3">
        <v>1.2053</v>
      </c>
      <c r="N22" s="3" t="e">
        <f>(('F3 Cost Effectiveness'!$D$22+(1/'Factor 3 Calculations'!M22))/(3+(1/('Factor 3 Calculations'!M22*'Factor 3 Calculations'!L22))))</f>
        <v>#DIV/0!</v>
      </c>
      <c r="O22" s="39">
        <v>857956.11</v>
      </c>
      <c r="P22" s="41" t="e">
        <f t="shared" si="2"/>
        <v>#DIV/0!</v>
      </c>
      <c r="Q22" s="50">
        <f>IF('F3 Cost Effectiveness'!$D$26='Factor 3 Calculations'!A22,SUM(P22,K22,F22,),0)</f>
        <v>0</v>
      </c>
    </row>
    <row r="23" spans="1:37">
      <c r="A23" s="46" t="s">
        <v>238</v>
      </c>
      <c r="B23" s="8">
        <f>2.1986*(10^-4)*('F3 Cost Effectiveness'!$D$28^0.932)*EXP(-0.5273*IF('F3 Cost Effectiveness'!$D$31="Yes",1,0)+0.8264*IF('F3 Cost Effectiveness'!$D$32="Major Collector",1,0))</f>
        <v>0</v>
      </c>
      <c r="C23" s="3">
        <v>1.1808000000000001</v>
      </c>
      <c r="D23" s="3" t="e">
        <f>(('F3 Cost Effectiveness'!$D$24+(1/'Factor 3 Calculations'!C23))/(3+(1/('Factor 3 Calculations'!C23*'Factor 3 Calculations'!B23))))</f>
        <v>#DIV/0!</v>
      </c>
      <c r="E23" s="39">
        <v>15587.29</v>
      </c>
      <c r="F23" s="41" t="e">
        <f t="shared" si="0"/>
        <v>#DIV/0!</v>
      </c>
      <c r="G23" s="8">
        <f>1.4185*(10^-6)*('F3 Cost Effectiveness'!$D$28^1.2428)*EXP(-0.6126*IF('F3 Cost Effectiveness'!$D$31="Yes",1,0)+0.7643*IF('F3 Cost Effectiveness'!$D$32="Major Collector",1,0))</f>
        <v>0</v>
      </c>
      <c r="H23" s="3">
        <v>1.7019</v>
      </c>
      <c r="I23" s="3" t="e">
        <f>(('F3 Cost Effectiveness'!$D$23+(1/'Factor 3 Calculations'!H23))/(3+(1/('Factor 3 Calculations'!H23*'Factor 3 Calculations'!G23))))</f>
        <v>#DIV/0!</v>
      </c>
      <c r="J23" s="39">
        <v>212262.27</v>
      </c>
      <c r="K23" s="41" t="e">
        <f t="shared" si="1"/>
        <v>#DIV/0!</v>
      </c>
      <c r="L23" s="8">
        <f>8.6677*(10^-6)*('F3 Cost Effectiveness'!$D$28^1.0545)*EXP(-0.6311*IF('F3 Cost Effectiveness'!$D$31="Yes",1,0)+0.8778*IF('F3 Cost Effectiveness'!$D$32="Major Collector",1,0))</f>
        <v>0</v>
      </c>
      <c r="M23" s="3">
        <v>1.6760999999999999</v>
      </c>
      <c r="N23" s="3" t="e">
        <f>(('F3 Cost Effectiveness'!$D$22+(1/'Factor 3 Calculations'!M23))/(3+(1/('Factor 3 Calculations'!M23*'Factor 3 Calculations'!L23))))</f>
        <v>#DIV/0!</v>
      </c>
      <c r="O23" s="39">
        <v>857956.11</v>
      </c>
      <c r="P23" s="41" t="e">
        <f t="shared" si="2"/>
        <v>#DIV/0!</v>
      </c>
      <c r="Q23" s="50">
        <f>IF('F3 Cost Effectiveness'!$D$26='Factor 3 Calculations'!A23,SUM(P23,K23,F23,),0)</f>
        <v>0</v>
      </c>
    </row>
    <row r="24" spans="1:37">
      <c r="A24" s="46" t="s">
        <v>239</v>
      </c>
      <c r="B24" s="8">
        <f>2.6126*(10^-4)*('F3 Cost Effectiveness'!$D$28^0.788)*('F3 Cost Effectiveness'!$D$29^0.3119)*EXP(-0.5454*IF('F3 Cost Effectiveness'!$D$31="Yes",1,0))</f>
        <v>0</v>
      </c>
      <c r="C24" s="3">
        <v>0.61580000000000001</v>
      </c>
      <c r="D24" s="3" t="e">
        <f>(('F3 Cost Effectiveness'!$D$24+(1/'Factor 3 Calculations'!C24))/(3+(1/('Factor 3 Calculations'!C24*'Factor 3 Calculations'!B24))))</f>
        <v>#DIV/0!</v>
      </c>
      <c r="E24" s="39">
        <v>15587.29</v>
      </c>
      <c r="F24" s="41" t="e">
        <f t="shared" si="0"/>
        <v>#DIV/0!</v>
      </c>
      <c r="G24" s="8">
        <f>1.1176*(10^-5)*('F3 Cost Effectiveness'!$D$28^0.8521)*('F3 Cost Effectiveness'!$D$29^0.3304)*EXP(-0.1353*IF('F3 Cost Effectiveness'!$D$31="Yes",1,0))</f>
        <v>0</v>
      </c>
      <c r="H24" s="3">
        <v>0.97009999999999996</v>
      </c>
      <c r="I24" s="3" t="e">
        <f>(('F3 Cost Effectiveness'!$D$23+(1/'Factor 3 Calculations'!H24))/(3+(1/('Factor 3 Calculations'!H24*'Factor 3 Calculations'!G24))))</f>
        <v>#DIV/0!</v>
      </c>
      <c r="J24" s="39">
        <v>212262.27</v>
      </c>
      <c r="K24" s="41" t="e">
        <f t="shared" si="1"/>
        <v>#DIV/0!</v>
      </c>
      <c r="L24" s="8">
        <f>6.6626*(10^-5)*('F3 Cost Effectiveness'!$D$28^0.8546)*('F3 Cost Effectiveness'!$D$29^0.1977)*EXP(-0.6778*IF('F3 Cost Effectiveness'!$D$31="Yes",1,0))</f>
        <v>0</v>
      </c>
      <c r="M24" s="3">
        <v>0.70369999999999999</v>
      </c>
      <c r="N24" s="3" t="e">
        <f>(('F3 Cost Effectiveness'!$D$22+(1/'Factor 3 Calculations'!M24))/(3+(1/('Factor 3 Calculations'!M24*'Factor 3 Calculations'!L24))))</f>
        <v>#DIV/0!</v>
      </c>
      <c r="O24" s="39">
        <v>857956.11</v>
      </c>
      <c r="P24" s="41" t="e">
        <f t="shared" si="2"/>
        <v>#DIV/0!</v>
      </c>
      <c r="Q24" s="50">
        <f>IF('F3 Cost Effectiveness'!$D$26='Factor 3 Calculations'!A24,SUM(P24,K24,F24,),0)</f>
        <v>0</v>
      </c>
    </row>
    <row r="25" spans="1:37">
      <c r="A25" s="46" t="s">
        <v>240</v>
      </c>
      <c r="B25" s="8">
        <f>1.8775*(10^-3)*('F3 Cost Effectiveness'!$D$28^0.682)*EXP(-0.3222*IF('F3 Cost Effectiveness'!$D$31="Yes",1,0)+0.5506*IF('F3 Cost Effectiveness'!$D$32="Major Collector",1,0))</f>
        <v>0</v>
      </c>
      <c r="C25" s="3">
        <v>1.0219</v>
      </c>
      <c r="D25" s="3" t="e">
        <f>(('F3 Cost Effectiveness'!$D$24+(1/'Factor 3 Calculations'!C25))/(3+(1/('Factor 3 Calculations'!C25*'Factor 3 Calculations'!B25))))</f>
        <v>#DIV/0!</v>
      </c>
      <c r="E25" s="39">
        <v>15587.29</v>
      </c>
      <c r="F25" s="41" t="e">
        <f t="shared" si="0"/>
        <v>#DIV/0!</v>
      </c>
      <c r="G25" s="8">
        <f>3.1165*(10^-5)*('F3 Cost Effectiveness'!$D$28^0.8953)*EXP(-0.5072*IF('F3 Cost Effectiveness'!$D$31="Yes",1,0)+0.7877*IF('F3 Cost Effectiveness'!$D$32="Major Collector",1,0))</f>
        <v>0</v>
      </c>
      <c r="H25" s="3">
        <v>1.7573000000000001</v>
      </c>
      <c r="I25" s="3" t="e">
        <f>(('F3 Cost Effectiveness'!$D$23+(1/'Factor 3 Calculations'!H25))/(3+(1/('Factor 3 Calculations'!H25*'Factor 3 Calculations'!G25))))</f>
        <v>#DIV/0!</v>
      </c>
      <c r="J25" s="39">
        <v>212262.27</v>
      </c>
      <c r="K25" s="41" t="e">
        <f t="shared" si="1"/>
        <v>#DIV/0!</v>
      </c>
      <c r="L25" s="8">
        <f>2.0182*(10^-4)*('F3 Cost Effectiveness'!$D$28^0.7492)*EXP(-0.5757*IF('F3 Cost Effectiveness'!$D$31="Yes",1,0)+0.6593*IF('F3 Cost Effectiveness'!$D$32="Major Collector",1,0))</f>
        <v>0</v>
      </c>
      <c r="M25" s="3">
        <v>1.4316</v>
      </c>
      <c r="N25" s="3" t="e">
        <f>(('F3 Cost Effectiveness'!$D$22+(1/'Factor 3 Calculations'!M25))/(3+(1/('Factor 3 Calculations'!M25*'Factor 3 Calculations'!L25))))</f>
        <v>#DIV/0!</v>
      </c>
      <c r="O25" s="39">
        <v>857956.11</v>
      </c>
      <c r="P25" s="41" t="e">
        <f t="shared" si="2"/>
        <v>#DIV/0!</v>
      </c>
      <c r="Q25" s="50">
        <f>IF('F3 Cost Effectiveness'!$D$26='Factor 3 Calculations'!A25,SUM(P25,K25,F25,),0)</f>
        <v>0</v>
      </c>
    </row>
    <row r="26" spans="1:37" ht="15.75" thickBot="1">
      <c r="A26" s="47" t="s">
        <v>241</v>
      </c>
      <c r="B26" s="9">
        <f>3.3013*(10^-4)*('F3 Cost Effectiveness'!$D$28^0.224)*('F3 Cost Effectiveness'!$D$29^0.7954)</f>
        <v>0</v>
      </c>
      <c r="C26" s="10">
        <v>3.1278000000000001</v>
      </c>
      <c r="D26" s="10" t="e">
        <f>(('F3 Cost Effectiveness'!$D$24+(1/'Factor 3 Calculations'!C26))/(3+(1/('Factor 3 Calculations'!C26*'Factor 3 Calculations'!B26))))</f>
        <v>#DIV/0!</v>
      </c>
      <c r="E26" s="42">
        <v>15587.29</v>
      </c>
      <c r="F26" s="43" t="e">
        <f t="shared" si="0"/>
        <v>#DIV/0!</v>
      </c>
      <c r="G26" s="9">
        <f>1.7931*(10^-4)*('F3 Cost Effectiveness'!$D$28^0.1416)*('F3 Cost Effectiveness'!$D$29^0.7171)</f>
        <v>0</v>
      </c>
      <c r="H26" s="10">
        <v>3.0270000000000001</v>
      </c>
      <c r="I26" s="10" t="e">
        <f>(('F3 Cost Effectiveness'!$D$23+(1/'Factor 3 Calculations'!H26))/(3+(1/('Factor 3 Calculations'!H26*'Factor 3 Calculations'!G26))))</f>
        <v>#DIV/0!</v>
      </c>
      <c r="J26" s="42">
        <v>212262.27</v>
      </c>
      <c r="K26" s="43" t="e">
        <f t="shared" si="1"/>
        <v>#DIV/0!</v>
      </c>
      <c r="L26" s="9">
        <f>1.0726*(10^-4)*('F3 Cost Effectiveness'!$D$28^0.1416)*('F3 Cost Effectiveness'!$D$29^0.7171)</f>
        <v>0</v>
      </c>
      <c r="M26" s="10">
        <v>3.0270000000000001</v>
      </c>
      <c r="N26" s="10" t="e">
        <f>(('F3 Cost Effectiveness'!$D$22+(1/'Factor 3 Calculations'!M26))/(3+(1/('Factor 3 Calculations'!M26*'Factor 3 Calculations'!L26))))</f>
        <v>#DIV/0!</v>
      </c>
      <c r="O26" s="42">
        <v>857956.11</v>
      </c>
      <c r="P26" s="43" t="e">
        <f t="shared" si="2"/>
        <v>#DIV/0!</v>
      </c>
      <c r="Q26" s="51">
        <f>IF('F3 Cost Effectiveness'!$D$26='Factor 3 Calculations'!A26,SUM(P26,K26,F26,),0)</f>
        <v>0</v>
      </c>
    </row>
    <row r="27" spans="1:37">
      <c r="E27" s="31"/>
      <c r="J27" s="31"/>
      <c r="O27" s="31"/>
    </row>
    <row r="28" spans="1:37" ht="15.75" thickBot="1">
      <c r="E28" s="31"/>
      <c r="J28" s="31"/>
      <c r="O28" s="31"/>
    </row>
    <row r="29" spans="1:37" ht="15.75" thickBot="1">
      <c r="A29" s="68" t="s">
        <v>242</v>
      </c>
      <c r="B29" s="181">
        <v>0.02</v>
      </c>
      <c r="E29" s="31"/>
      <c r="J29" s="31"/>
      <c r="O29" s="31"/>
    </row>
    <row r="30" spans="1:37">
      <c r="A30" s="38"/>
      <c r="B30" s="53" t="s">
        <v>243</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4"/>
    </row>
    <row r="31" spans="1:37" ht="15.75" thickBot="1">
      <c r="A31" s="35" t="s">
        <v>244</v>
      </c>
      <c r="B31" s="36">
        <f ca="1">'F3 Cost Effectiveness'!D14</f>
        <v>2032</v>
      </c>
      <c r="C31" s="36">
        <f ca="1">IFERROR(IF(B31+1&gt;('F3 Cost Effectiveness'!$D$14+'F3 Cost Effectiveness'!$D$15),"",B31+1),"")</f>
        <v>2033</v>
      </c>
      <c r="D31" s="36">
        <f ca="1">IFERROR(IF(C31+1&gt;('F3 Cost Effectiveness'!$D$14+'F3 Cost Effectiveness'!$D$15),"",C31+1),"")</f>
        <v>2034</v>
      </c>
      <c r="E31" s="36">
        <f ca="1">IFERROR(IF(D31+1&gt;('F3 Cost Effectiveness'!$D$14+'F3 Cost Effectiveness'!$D$15),"",D31+1),"")</f>
        <v>2035</v>
      </c>
      <c r="F31" s="36">
        <f ca="1">IFERROR(IF(E31+1&gt;('F3 Cost Effectiveness'!$D$14+'F3 Cost Effectiveness'!$D$15),"",E31+1),"")</f>
        <v>2036</v>
      </c>
      <c r="G31" s="36">
        <f ca="1">IFERROR(IF(F31+1&gt;('F3 Cost Effectiveness'!$D$14+'F3 Cost Effectiveness'!$D$15),"",F31+1),"")</f>
        <v>2037</v>
      </c>
      <c r="H31" s="36">
        <f ca="1">IFERROR(IF(G31+1&gt;('F3 Cost Effectiveness'!$D$14+'F3 Cost Effectiveness'!$D$15),"",G31+1),"")</f>
        <v>2038</v>
      </c>
      <c r="I31" s="36">
        <f ca="1">IFERROR(IF(H31+1&gt;('F3 Cost Effectiveness'!$D$14+'F3 Cost Effectiveness'!$D$15),"",H31+1),"")</f>
        <v>2039</v>
      </c>
      <c r="J31" s="36">
        <f ca="1">IFERROR(IF(I31+1&gt;('F3 Cost Effectiveness'!$D$14+'F3 Cost Effectiveness'!$D$15),"",I31+1),"")</f>
        <v>2040</v>
      </c>
      <c r="K31" s="36">
        <f ca="1">IFERROR(IF(J31+1&gt;('F3 Cost Effectiveness'!$D$14+'F3 Cost Effectiveness'!$D$15),"",J31+1),"")</f>
        <v>2041</v>
      </c>
      <c r="L31" s="36">
        <f ca="1">IFERROR(IF(K31+1&gt;('F3 Cost Effectiveness'!$D$14+'F3 Cost Effectiveness'!$D$15),"",K31+1),"")</f>
        <v>2042</v>
      </c>
      <c r="M31" s="36">
        <f ca="1">IFERROR(IF(L31+1&gt;('F3 Cost Effectiveness'!$D$14+'F3 Cost Effectiveness'!$D$15),"",L31+1),"")</f>
        <v>2043</v>
      </c>
      <c r="N31" s="36">
        <f ca="1">IFERROR(IF(M31+1&gt;('F3 Cost Effectiveness'!$D$14+'F3 Cost Effectiveness'!$D$15),"",M31+1),"")</f>
        <v>2044</v>
      </c>
      <c r="O31" s="36">
        <f ca="1">IFERROR(IF(N31+1&gt;('F3 Cost Effectiveness'!$D$14+'F3 Cost Effectiveness'!$D$15),"",N31+1),"")</f>
        <v>2045</v>
      </c>
      <c r="P31" s="36">
        <f ca="1">IFERROR(IF(O31+1&gt;('F3 Cost Effectiveness'!$D$14+'F3 Cost Effectiveness'!$D$15),"",O31+1),"")</f>
        <v>2046</v>
      </c>
      <c r="Q31" s="36">
        <f ca="1">IFERROR(IF(P31+1&gt;('F3 Cost Effectiveness'!$D$14+'F3 Cost Effectiveness'!$D$15),"",P31+1),"")</f>
        <v>2047</v>
      </c>
      <c r="R31" s="36">
        <f ca="1">IFERROR(IF(Q31+1&gt;('F3 Cost Effectiveness'!$D$14+'F3 Cost Effectiveness'!$D$15),"",Q31+1),"")</f>
        <v>2048</v>
      </c>
      <c r="S31" s="36">
        <f ca="1">IFERROR(IF(R31+1&gt;('F3 Cost Effectiveness'!$D$14+'F3 Cost Effectiveness'!$D$15),"",R31+1),"")</f>
        <v>2049</v>
      </c>
      <c r="T31" s="36">
        <f ca="1">IFERROR(IF(S31+1&gt;('F3 Cost Effectiveness'!$D$14+'F3 Cost Effectiveness'!$D$15),"",S31+1),"")</f>
        <v>2050</v>
      </c>
      <c r="U31" s="36">
        <f ca="1">IFERROR(IF(T31+1&gt;('F3 Cost Effectiveness'!$D$14+'F3 Cost Effectiveness'!$D$15),"",T31+1),"")</f>
        <v>2051</v>
      </c>
      <c r="V31" s="36">
        <f ca="1">IFERROR(IF(U31+1&gt;('F3 Cost Effectiveness'!$D$14+'F3 Cost Effectiveness'!$D$15),"",U31+1),"")</f>
        <v>2052</v>
      </c>
      <c r="W31" s="36" t="str">
        <f ca="1">IFERROR(IF(V31+1&gt;('F3 Cost Effectiveness'!$D$14+'F3 Cost Effectiveness'!$D$15),"",V31+1),"")</f>
        <v/>
      </c>
      <c r="X31" s="36" t="str">
        <f ca="1">IFERROR(IF(W31+1&gt;('F3 Cost Effectiveness'!$D$14+'F3 Cost Effectiveness'!$D$15),"",W31+1),"")</f>
        <v/>
      </c>
      <c r="Y31" s="36" t="str">
        <f ca="1">IFERROR(IF(X31+1&gt;('F3 Cost Effectiveness'!$D$14+'F3 Cost Effectiveness'!$D$15),"",X31+1),"")</f>
        <v/>
      </c>
      <c r="Z31" s="36" t="str">
        <f ca="1">IFERROR(IF(Y31+1&gt;('F3 Cost Effectiveness'!$D$14+'F3 Cost Effectiveness'!$D$15),"",Y31+1),"")</f>
        <v/>
      </c>
      <c r="AA31" s="36" t="str">
        <f ca="1">IFERROR(IF(Z31+1&gt;('F3 Cost Effectiveness'!$D$14+'F3 Cost Effectiveness'!$D$15),"",Z31+1),"")</f>
        <v/>
      </c>
      <c r="AB31" s="36" t="str">
        <f ca="1">IFERROR(IF(AA31+1&gt;('F3 Cost Effectiveness'!$D$14+'F3 Cost Effectiveness'!$D$15),"",AA31+1),"")</f>
        <v/>
      </c>
      <c r="AC31" s="36" t="str">
        <f ca="1">IFERROR(IF(AB31+1&gt;('F3 Cost Effectiveness'!$D$14+'F3 Cost Effectiveness'!$D$15),"",AB31+1),"")</f>
        <v/>
      </c>
      <c r="AD31" s="36" t="str">
        <f ca="1">IFERROR(IF(AC31+1&gt;('F3 Cost Effectiveness'!$D$14+'F3 Cost Effectiveness'!$D$15),"",AC31+1),"")</f>
        <v/>
      </c>
      <c r="AE31" s="36" t="str">
        <f ca="1">IFERROR(IF(AD31+1&gt;('F3 Cost Effectiveness'!$D$14+'F3 Cost Effectiveness'!$D$15),"",AD31+1),"")</f>
        <v/>
      </c>
      <c r="AF31" s="36" t="str">
        <f ca="1">IFERROR(IF(AE31+1&gt;('F3 Cost Effectiveness'!$D$14+'F3 Cost Effectiveness'!$D$15),"",AE31+1),"")</f>
        <v/>
      </c>
      <c r="AG31" s="36" t="str">
        <f ca="1">IFERROR(IF(AF31+1&gt;('F3 Cost Effectiveness'!$D$14+'F3 Cost Effectiveness'!$D$15),"",AF31+1),"")</f>
        <v/>
      </c>
      <c r="AH31" s="36" t="str">
        <f ca="1">IFERROR(IF(AG31+1&gt;('F3 Cost Effectiveness'!$D$14+'F3 Cost Effectiveness'!$D$15),"",AG31+1),"")</f>
        <v/>
      </c>
      <c r="AI31" s="36" t="str">
        <f ca="1">IFERROR(IF(AH31+1&gt;('F3 Cost Effectiveness'!$D$14+'F3 Cost Effectiveness'!$D$15),"",AH31+1),"")</f>
        <v/>
      </c>
      <c r="AJ31" s="36" t="str">
        <f ca="1">IFERROR(IF(AI31+1&gt;('F3 Cost Effectiveness'!$D$14+'F3 Cost Effectiveness'!$D$15),"",AI31+1),"")</f>
        <v/>
      </c>
      <c r="AK31" s="37" t="str">
        <f ca="1">IFERROR(IF(AJ31+1&gt;('F3 Cost Effectiveness'!$D$14+'F3 Cost Effectiveness'!$D$15),"",AJ31+1),"")</f>
        <v/>
      </c>
    </row>
    <row r="32" spans="1:37">
      <c r="A32" s="38" t="s">
        <v>245</v>
      </c>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4"/>
    </row>
    <row r="33" spans="1:38">
      <c r="A33" s="70" t="s">
        <v>246</v>
      </c>
      <c r="B33" s="71">
        <f ca="1">IFERROR('F3 Cost Effectiveness'!$D$18*((1+$B$29)^(B31-(YEAR(TODAY())))),0)</f>
        <v>1126.1624192640002</v>
      </c>
      <c r="C33" s="71">
        <f ca="1">IFERROR('F3 Cost Effectiveness'!$D$18*((1+$B$29)^(C31-(YEAR(TODAY())))),0)</f>
        <v>1148.6856676492798</v>
      </c>
      <c r="D33" s="71">
        <f ca="1">IFERROR('F3 Cost Effectiveness'!$D$18*((1+$B$29)^(D31-(YEAR(TODAY())))),0)</f>
        <v>1171.6593810022655</v>
      </c>
      <c r="E33" s="71">
        <f ca="1">IFERROR('F3 Cost Effectiveness'!$D$18*((1+$B$29)^(E31-(YEAR(TODAY())))),0)</f>
        <v>1195.0925686223109</v>
      </c>
      <c r="F33" s="71">
        <f ca="1">IFERROR('F3 Cost Effectiveness'!$D$18*((1+$B$29)^(F31-(YEAR(TODAY())))),0)</f>
        <v>1218.9944199947572</v>
      </c>
      <c r="G33" s="71">
        <f ca="1">IFERROR('F3 Cost Effectiveness'!$D$18*((1+$B$29)^(G31-(YEAR(TODAY())))),0)</f>
        <v>1243.374308394652</v>
      </c>
      <c r="H33" s="71">
        <f ca="1">IFERROR('F3 Cost Effectiveness'!$D$18*((1+$B$29)^(H31-(YEAR(TODAY())))),0)</f>
        <v>1268.2417945625452</v>
      </c>
      <c r="I33" s="71">
        <f ca="1">IFERROR('F3 Cost Effectiveness'!$D$18*((1+$B$29)^(I31-(YEAR(TODAY())))),0)</f>
        <v>1293.606630453796</v>
      </c>
      <c r="J33" s="71">
        <f ca="1">IFERROR('F3 Cost Effectiveness'!$D$18*((1+$B$29)^(J31-(YEAR(TODAY())))),0)</f>
        <v>1319.4787630628721</v>
      </c>
      <c r="K33" s="71">
        <f ca="1">IFERROR('F3 Cost Effectiveness'!$D$18*((1+$B$29)^(K31-(YEAR(TODAY())))),0)</f>
        <v>1345.8683383241291</v>
      </c>
      <c r="L33" s="71">
        <f ca="1">IFERROR('F3 Cost Effectiveness'!$D$18*((1+$B$29)^(L31-(YEAR(TODAY())))),0)</f>
        <v>1372.7857050906121</v>
      </c>
      <c r="M33" s="71">
        <f ca="1">IFERROR('F3 Cost Effectiveness'!$D$18*((1+$B$29)^(M31-(YEAR(TODAY())))),0)</f>
        <v>1400.2414191924245</v>
      </c>
      <c r="N33" s="71">
        <f ca="1">IFERROR('F3 Cost Effectiveness'!$D$18*((1+$B$29)^(N31-(YEAR(TODAY())))),0)</f>
        <v>1428.2462475762727</v>
      </c>
      <c r="O33" s="71">
        <f ca="1">IFERROR('F3 Cost Effectiveness'!$D$18*((1+$B$29)^(O31-(YEAR(TODAY())))),0)</f>
        <v>1456.8111725277981</v>
      </c>
      <c r="P33" s="71">
        <f ca="1">IFERROR('F3 Cost Effectiveness'!$D$18*((1+$B$29)^(P31-(YEAR(TODAY())))),0)</f>
        <v>1485.9473959783543</v>
      </c>
      <c r="Q33" s="71">
        <f ca="1">IFERROR('F3 Cost Effectiveness'!$D$18*((1+$B$29)^(Q31-(YEAR(TODAY())))),0)</f>
        <v>1515.6663438979213</v>
      </c>
      <c r="R33" s="71">
        <f ca="1">IFERROR('F3 Cost Effectiveness'!$D$18*((1+$B$29)^(R31-(YEAR(TODAY())))),0)</f>
        <v>1545.9796707758796</v>
      </c>
      <c r="S33" s="71">
        <f ca="1">IFERROR('F3 Cost Effectiveness'!$D$18*((1+$B$29)^(S31-(YEAR(TODAY())))),0)</f>
        <v>1576.8992641913969</v>
      </c>
      <c r="T33" s="71">
        <f ca="1">IFERROR('F3 Cost Effectiveness'!$D$18*((1+$B$29)^(T31-(YEAR(TODAY())))),0)</f>
        <v>1608.4372494752251</v>
      </c>
      <c r="U33" s="71">
        <f ca="1">IFERROR('F3 Cost Effectiveness'!$D$18*((1+$B$29)^(U31-(YEAR(TODAY())))),0)</f>
        <v>1640.6059944647295</v>
      </c>
      <c r="V33" s="71">
        <f ca="1">IFERROR('F3 Cost Effectiveness'!$D$18*((1+$B$29)^(V31-(YEAR(TODAY())))),0)</f>
        <v>1673.4181143540243</v>
      </c>
      <c r="W33" s="71">
        <f ca="1">IFERROR('F3 Cost Effectiveness'!$D$18*((1+$B$29)^(W31-(YEAR(TODAY())))),0)</f>
        <v>0</v>
      </c>
      <c r="X33" s="71">
        <f ca="1">IFERROR('F3 Cost Effectiveness'!$D$18*((1+$B$29)^(X31-(YEAR(TODAY())))),0)</f>
        <v>0</v>
      </c>
      <c r="Y33" s="71">
        <f ca="1">IFERROR('F3 Cost Effectiveness'!$D$18*((1+$B$29)^(Y31-(YEAR(TODAY())))),0)</f>
        <v>0</v>
      </c>
      <c r="Z33" s="71">
        <f ca="1">IFERROR('F3 Cost Effectiveness'!$D$18*((1+$B$29)^(Z31-(YEAR(TODAY())))),0)</f>
        <v>0</v>
      </c>
      <c r="AA33" s="71">
        <f ca="1">IFERROR('F3 Cost Effectiveness'!$D$18*((1+$B$29)^(AA31-(YEAR(TODAY())))),0)</f>
        <v>0</v>
      </c>
      <c r="AB33" s="71">
        <f ca="1">IFERROR('F3 Cost Effectiveness'!$D$18*((1+$B$29)^(AB31-(YEAR(TODAY())))),0)</f>
        <v>0</v>
      </c>
      <c r="AC33" s="71">
        <f ca="1">IFERROR('F3 Cost Effectiveness'!$D$18*((1+$B$29)^(AC31-(YEAR(TODAY())))),0)</f>
        <v>0</v>
      </c>
      <c r="AD33" s="71">
        <f ca="1">IFERROR('F3 Cost Effectiveness'!$D$18*((1+$B$29)^(AD31-(YEAR(TODAY())))),0)</f>
        <v>0</v>
      </c>
      <c r="AE33" s="71">
        <f ca="1">IFERROR('F3 Cost Effectiveness'!$D$18*((1+$B$29)^(AE31-(YEAR(TODAY())))),0)</f>
        <v>0</v>
      </c>
      <c r="AF33" s="71">
        <f ca="1">IFERROR('F3 Cost Effectiveness'!$D$18*((1+$B$29)^(AF31-(YEAR(TODAY())))),0)</f>
        <v>0</v>
      </c>
      <c r="AG33" s="71">
        <f ca="1">IFERROR('F3 Cost Effectiveness'!$D$18*((1+$B$29)^(AG31-(YEAR(TODAY())))),0)</f>
        <v>0</v>
      </c>
      <c r="AH33" s="71">
        <f ca="1">IFERROR('F3 Cost Effectiveness'!$D$18*((1+$B$29)^(AH31-(YEAR(TODAY())))),0)</f>
        <v>0</v>
      </c>
      <c r="AI33" s="71">
        <f ca="1">IFERROR('F3 Cost Effectiveness'!$D$18*((1+$B$29)^(AI31-(YEAR(TODAY())))),0)</f>
        <v>0</v>
      </c>
      <c r="AJ33" s="71">
        <f ca="1">IFERROR('F3 Cost Effectiveness'!$D$18*((1+$B$29)^(AJ31-(YEAR(TODAY())))),0)</f>
        <v>0</v>
      </c>
      <c r="AK33" s="74">
        <f ca="1">IFERROR('F3 Cost Effectiveness'!$D$18*((1+$B$29)^(AK31-(YEAR(TODAY())))),0)</f>
        <v>0</v>
      </c>
    </row>
    <row r="34" spans="1:38">
      <c r="A34" s="70" t="s">
        <v>247</v>
      </c>
      <c r="B34" s="71">
        <f ca="1">IFERROR(B33/((1+($B$29/1))^(1*(B31-$B$31))),0)</f>
        <v>1126.1624192640002</v>
      </c>
      <c r="C34" s="71">
        <f t="shared" ref="C34:AK34" ca="1" si="3">IFERROR(C33/((1+($B$29/1))^(1*(C31-$B$31))),0)</f>
        <v>1126.1624192639997</v>
      </c>
      <c r="D34" s="71">
        <f t="shared" ca="1" si="3"/>
        <v>1126.1624192639999</v>
      </c>
      <c r="E34" s="71">
        <f t="shared" ca="1" si="3"/>
        <v>1126.1624192639999</v>
      </c>
      <c r="F34" s="71">
        <f t="shared" ca="1" si="3"/>
        <v>1126.1624192640002</v>
      </c>
      <c r="G34" s="71">
        <f t="shared" ca="1" si="3"/>
        <v>1126.1624192639997</v>
      </c>
      <c r="H34" s="71">
        <f t="shared" ca="1" si="3"/>
        <v>1126.1624192639999</v>
      </c>
      <c r="I34" s="71">
        <f t="shared" ca="1" si="3"/>
        <v>1126.1624192639999</v>
      </c>
      <c r="J34" s="71">
        <f t="shared" ca="1" si="3"/>
        <v>1126.1624192639999</v>
      </c>
      <c r="K34" s="71">
        <f t="shared" ca="1" si="3"/>
        <v>1126.1624192639997</v>
      </c>
      <c r="L34" s="71">
        <f t="shared" ca="1" si="3"/>
        <v>1126.1624192639999</v>
      </c>
      <c r="M34" s="71">
        <f t="shared" ca="1" si="3"/>
        <v>1126.1624192640002</v>
      </c>
      <c r="N34" s="71">
        <f t="shared" ca="1" si="3"/>
        <v>1126.1624192639999</v>
      </c>
      <c r="O34" s="71">
        <f t="shared" ca="1" si="3"/>
        <v>1126.1624192639999</v>
      </c>
      <c r="P34" s="71">
        <f t="shared" ca="1" si="3"/>
        <v>1126.1624192639999</v>
      </c>
      <c r="Q34" s="71">
        <f t="shared" ca="1" si="3"/>
        <v>1126.1624192640002</v>
      </c>
      <c r="R34" s="71">
        <f t="shared" ca="1" si="3"/>
        <v>1126.1624192639999</v>
      </c>
      <c r="S34" s="71">
        <f t="shared" ca="1" si="3"/>
        <v>1126.1624192639997</v>
      </c>
      <c r="T34" s="71">
        <f t="shared" ca="1" si="3"/>
        <v>1126.1624192639999</v>
      </c>
      <c r="U34" s="71">
        <f t="shared" ca="1" si="3"/>
        <v>1126.1624192639999</v>
      </c>
      <c r="V34" s="71">
        <f t="shared" ca="1" si="3"/>
        <v>1126.1624192639999</v>
      </c>
      <c r="W34" s="71">
        <f t="shared" ca="1" si="3"/>
        <v>0</v>
      </c>
      <c r="X34" s="71">
        <f t="shared" ca="1" si="3"/>
        <v>0</v>
      </c>
      <c r="Y34" s="71">
        <f t="shared" ca="1" si="3"/>
        <v>0</v>
      </c>
      <c r="Z34" s="71">
        <f t="shared" ca="1" si="3"/>
        <v>0</v>
      </c>
      <c r="AA34" s="71">
        <f t="shared" ca="1" si="3"/>
        <v>0</v>
      </c>
      <c r="AB34" s="71">
        <f t="shared" ca="1" si="3"/>
        <v>0</v>
      </c>
      <c r="AC34" s="71">
        <f t="shared" ca="1" si="3"/>
        <v>0</v>
      </c>
      <c r="AD34" s="71">
        <f t="shared" ca="1" si="3"/>
        <v>0</v>
      </c>
      <c r="AE34" s="71">
        <f t="shared" ca="1" si="3"/>
        <v>0</v>
      </c>
      <c r="AF34" s="71">
        <f t="shared" ca="1" si="3"/>
        <v>0</v>
      </c>
      <c r="AG34" s="71">
        <f t="shared" ca="1" si="3"/>
        <v>0</v>
      </c>
      <c r="AH34" s="71">
        <f t="shared" ca="1" si="3"/>
        <v>0</v>
      </c>
      <c r="AI34" s="71">
        <f t="shared" ca="1" si="3"/>
        <v>0</v>
      </c>
      <c r="AJ34" s="71">
        <f t="shared" ca="1" si="3"/>
        <v>0</v>
      </c>
      <c r="AK34" s="74">
        <f t="shared" ca="1" si="3"/>
        <v>0</v>
      </c>
    </row>
    <row r="35" spans="1:38">
      <c r="A35" s="70" t="s">
        <v>248</v>
      </c>
      <c r="B35" s="71">
        <f ca="1">'F3 Cost Effectiveness'!D12*(1+B29)^(B31-YEAR(TODAY()))</f>
        <v>112616241.92640001</v>
      </c>
      <c r="AK35" s="73"/>
    </row>
    <row r="36" spans="1:38" ht="15.75" thickBot="1">
      <c r="A36" s="35" t="s">
        <v>249</v>
      </c>
      <c r="B36" s="72">
        <f ca="1">SUM(B35,B34:AK34)</f>
        <v>112639891.33720446</v>
      </c>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7"/>
    </row>
    <row r="37" spans="1:38">
      <c r="A37" s="38" t="s">
        <v>250</v>
      </c>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4"/>
    </row>
    <row r="38" spans="1:38">
      <c r="A38" s="70" t="s">
        <v>251</v>
      </c>
      <c r="B38" s="52">
        <f ca="1">IFERROR(SUM($Q$6:$Q$26)*((1+$B$29)^(B31-2024))*((1+$B$3)^(B31-YEAR(TODAY()))),0)</f>
        <v>0</v>
      </c>
      <c r="C38" s="52">
        <f t="shared" ref="C38:AK38" ca="1" si="4">IFERROR(SUM($Q$6:$Q$26)*((1+$B$29)^(C31-2024))*((1+$B$3)^(C31-YEAR(TODAY()))),0)</f>
        <v>0</v>
      </c>
      <c r="D38" s="52">
        <f t="shared" ca="1" si="4"/>
        <v>0</v>
      </c>
      <c r="E38" s="52">
        <f t="shared" ca="1" si="4"/>
        <v>0</v>
      </c>
      <c r="F38" s="52">
        <f t="shared" ca="1" si="4"/>
        <v>0</v>
      </c>
      <c r="G38" s="52">
        <f t="shared" ca="1" si="4"/>
        <v>0</v>
      </c>
      <c r="H38" s="52">
        <f t="shared" ca="1" si="4"/>
        <v>0</v>
      </c>
      <c r="I38" s="52">
        <f t="shared" ca="1" si="4"/>
        <v>0</v>
      </c>
      <c r="J38" s="52">
        <f t="shared" ca="1" si="4"/>
        <v>0</v>
      </c>
      <c r="K38" s="52">
        <f t="shared" ca="1" si="4"/>
        <v>0</v>
      </c>
      <c r="L38" s="52">
        <f t="shared" ca="1" si="4"/>
        <v>0</v>
      </c>
      <c r="M38" s="52">
        <f t="shared" ca="1" si="4"/>
        <v>0</v>
      </c>
      <c r="N38" s="52">
        <f t="shared" ca="1" si="4"/>
        <v>0</v>
      </c>
      <c r="O38" s="52">
        <f t="shared" ca="1" si="4"/>
        <v>0</v>
      </c>
      <c r="P38" s="52">
        <f t="shared" ca="1" si="4"/>
        <v>0</v>
      </c>
      <c r="Q38" s="52">
        <f t="shared" ca="1" si="4"/>
        <v>0</v>
      </c>
      <c r="R38" s="52">
        <f t="shared" ca="1" si="4"/>
        <v>0</v>
      </c>
      <c r="S38" s="52">
        <f t="shared" ca="1" si="4"/>
        <v>0</v>
      </c>
      <c r="T38" s="52">
        <f t="shared" ca="1" si="4"/>
        <v>0</v>
      </c>
      <c r="U38" s="52">
        <f t="shared" ca="1" si="4"/>
        <v>0</v>
      </c>
      <c r="V38" s="52">
        <f t="shared" ca="1" si="4"/>
        <v>0</v>
      </c>
      <c r="W38" s="52">
        <f t="shared" ca="1" si="4"/>
        <v>0</v>
      </c>
      <c r="X38" s="52">
        <f t="shared" ca="1" si="4"/>
        <v>0</v>
      </c>
      <c r="Y38" s="52">
        <f t="shared" ca="1" si="4"/>
        <v>0</v>
      </c>
      <c r="Z38" s="52">
        <f t="shared" ca="1" si="4"/>
        <v>0</v>
      </c>
      <c r="AA38" s="52">
        <f t="shared" ca="1" si="4"/>
        <v>0</v>
      </c>
      <c r="AB38" s="52">
        <f t="shared" ca="1" si="4"/>
        <v>0</v>
      </c>
      <c r="AC38" s="52">
        <f t="shared" ca="1" si="4"/>
        <v>0</v>
      </c>
      <c r="AD38" s="52">
        <f t="shared" ca="1" si="4"/>
        <v>0</v>
      </c>
      <c r="AE38" s="52">
        <f t="shared" ca="1" si="4"/>
        <v>0</v>
      </c>
      <c r="AF38" s="52">
        <f t="shared" ca="1" si="4"/>
        <v>0</v>
      </c>
      <c r="AG38" s="52">
        <f t="shared" ca="1" si="4"/>
        <v>0</v>
      </c>
      <c r="AH38" s="52">
        <f t="shared" ca="1" si="4"/>
        <v>0</v>
      </c>
      <c r="AI38" s="52">
        <f t="shared" ca="1" si="4"/>
        <v>0</v>
      </c>
      <c r="AJ38" s="52">
        <f t="shared" ca="1" si="4"/>
        <v>0</v>
      </c>
      <c r="AK38" s="75">
        <f t="shared" ca="1" si="4"/>
        <v>0</v>
      </c>
      <c r="AL38" s="52"/>
    </row>
    <row r="39" spans="1:38">
      <c r="A39" s="70" t="s">
        <v>252</v>
      </c>
      <c r="B39" s="71">
        <f ca="1">IF($C$2=$A$80,(((VLOOKUP($B$1,$A$6:$Q$26,14,FALSE)*($B$2/100)*'Factor 3 Calculations'!$O$7)+(VLOOKUP($B$1,$A$6:$Q$26,9,FALSE)*(($B$2/100)*'Factor 3 Calculations'!$J$7)))*((1+$B$3)^(B31-YEAR(TODAY())))*((1+$B$29)^(B31-YEAR(TODAY())))),IF($C$2=$A$81,(((VLOOKUP($B$1,$A$6:$Q$26,14,FALSE)*($B$2/100)*'Factor 3 Calculations'!$O$7)+(VLOOKUP($B$1,$A$6:$Q$26,9,FALSE)*($B$2/100)*'Factor 3 Calculations'!$J$7)+(VLOOKUP($B$1,$A$6:$Q$26,4,FALSE)*($B$2/100)*$E$7))*((1+$B$3)^(B31-YEAR(TODAY())))*((1+$B$29)^(B31-YEAR(TODAY())))),0))</f>
        <v>0</v>
      </c>
      <c r="C39" s="71">
        <f ca="1">IF($C$2=$A$80,(((VLOOKUP($B$1,$A$6:$Q$26,14,FALSE)*($B$2/100)*'Factor 3 Calculations'!$O$7)+(VLOOKUP($B$1,$A$6:$Q$26,9,FALSE)*(($B$2/100)*'Factor 3 Calculations'!$J$7)))*((1+$B$3)^(C31-YEAR(TODAY())))*((1+$B$29)^(C31-YEAR(TODAY())))),IF($C$2=$A$81,(((VLOOKUP($B$1,$A$6:$Q$26,14,FALSE)*($B$2/100)*'Factor 3 Calculations'!$O$7)+(VLOOKUP($B$1,$A$6:$Q$26,9,FALSE)*($B$2/100)*'Factor 3 Calculations'!$J$7)+(VLOOKUP($B$1,$A$6:$Q$26,4,FALSE)*($B$2/100)*$E$7))*((1+$B$3)^(C31-YEAR(TODAY())))*((1+$B$29)^(C31-YEAR(TODAY())))),0))</f>
        <v>0</v>
      </c>
      <c r="D39" s="71">
        <f ca="1">IF($C$2=$A$80,(((VLOOKUP($B$1,$A$6:$Q$26,14,FALSE)*($B$2/100)*'Factor 3 Calculations'!$O$7)+(VLOOKUP($B$1,$A$6:$Q$26,9,FALSE)*(($B$2/100)*'Factor 3 Calculations'!$J$7)))*((1+$B$3)^(D31-YEAR(TODAY())))*((1+$B$29)^(D31-YEAR(TODAY())))),IF($C$2=$A$81,(((VLOOKUP($B$1,$A$6:$Q$26,14,FALSE)*($B$2/100)*'Factor 3 Calculations'!$O$7)+(VLOOKUP($B$1,$A$6:$Q$26,9,FALSE)*($B$2/100)*'Factor 3 Calculations'!$J$7)+(VLOOKUP($B$1,$A$6:$Q$26,4,FALSE)*($B$2/100)*$E$7))*((1+$B$3)^(D31-YEAR(TODAY())))*((1+$B$29)^(D31-YEAR(TODAY())))),0))</f>
        <v>0</v>
      </c>
      <c r="E39" s="71">
        <f ca="1">IF($C$2=$A$80,(((VLOOKUP($B$1,$A$6:$Q$26,14,FALSE)*($B$2/100)*'Factor 3 Calculations'!$O$7)+(VLOOKUP($B$1,$A$6:$Q$26,9,FALSE)*(($B$2/100)*'Factor 3 Calculations'!$J$7)))*((1+$B$3)^(E31-YEAR(TODAY())))*((1+$B$29)^(E31-YEAR(TODAY())))),IF($C$2=$A$81,(((VLOOKUP($B$1,$A$6:$Q$26,14,FALSE)*($B$2/100)*'Factor 3 Calculations'!$O$7)+(VLOOKUP($B$1,$A$6:$Q$26,9,FALSE)*($B$2/100)*'Factor 3 Calculations'!$J$7)+(VLOOKUP($B$1,$A$6:$Q$26,4,FALSE)*($B$2/100)*$E$7))*((1+$B$3)^(E31-YEAR(TODAY())))*((1+$B$29)^(E31-YEAR(TODAY())))),0))</f>
        <v>0</v>
      </c>
      <c r="F39" s="71">
        <f ca="1">IF($C$2=$A$80,(((VLOOKUP($B$1,$A$6:$Q$26,14,FALSE)*($B$2/100)*'Factor 3 Calculations'!$O$7)+(VLOOKUP($B$1,$A$6:$Q$26,9,FALSE)*(($B$2/100)*'Factor 3 Calculations'!$J$7)))*((1+$B$3)^(F31-YEAR(TODAY())))*((1+$B$29)^(F31-YEAR(TODAY())))),IF($C$2=$A$81,(((VLOOKUP($B$1,$A$6:$Q$26,14,FALSE)*($B$2/100)*'Factor 3 Calculations'!$O$7)+(VLOOKUP($B$1,$A$6:$Q$26,9,FALSE)*($B$2/100)*'Factor 3 Calculations'!$J$7)+(VLOOKUP($B$1,$A$6:$Q$26,4,FALSE)*($B$2/100)*$E$7))*((1+$B$3)^(F31-YEAR(TODAY())))*((1+$B$29)^(F31-YEAR(TODAY())))),0))</f>
        <v>0</v>
      </c>
      <c r="G39" s="71">
        <f ca="1">IF($C$2=$A$80,(((VLOOKUP($B$1,$A$6:$Q$26,14,FALSE)*($B$2/100)*'Factor 3 Calculations'!$O$7)+(VLOOKUP($B$1,$A$6:$Q$26,9,FALSE)*(($B$2/100)*'Factor 3 Calculations'!$J$7)))*((1+$B$3)^(G31-YEAR(TODAY())))*((1+$B$29)^(G31-YEAR(TODAY())))),IF($C$2=$A$81,(((VLOOKUP($B$1,$A$6:$Q$26,14,FALSE)*($B$2/100)*'Factor 3 Calculations'!$O$7)+(VLOOKUP($B$1,$A$6:$Q$26,9,FALSE)*($B$2/100)*'Factor 3 Calculations'!$J$7)+(VLOOKUP($B$1,$A$6:$Q$26,4,FALSE)*($B$2/100)*$E$7))*((1+$B$3)^(G31-YEAR(TODAY())))*((1+$B$29)^(G31-YEAR(TODAY())))),0))</f>
        <v>0</v>
      </c>
      <c r="H39" s="71">
        <f ca="1">IF($C$2=$A$80,(((VLOOKUP($B$1,$A$6:$Q$26,14,FALSE)*($B$2/100)*'Factor 3 Calculations'!$O$7)+(VLOOKUP($B$1,$A$6:$Q$26,9,FALSE)*(($B$2/100)*'Factor 3 Calculations'!$J$7)))*((1+$B$3)^(H31-YEAR(TODAY())))*((1+$B$29)^(H31-YEAR(TODAY())))),IF($C$2=$A$81,(((VLOOKUP($B$1,$A$6:$Q$26,14,FALSE)*($B$2/100)*'Factor 3 Calculations'!$O$7)+(VLOOKUP($B$1,$A$6:$Q$26,9,FALSE)*($B$2/100)*'Factor 3 Calculations'!$J$7)+(VLOOKUP($B$1,$A$6:$Q$26,4,FALSE)*($B$2/100)*$E$7))*((1+$B$3)^(H31-YEAR(TODAY())))*((1+$B$29)^(H31-YEAR(TODAY())))),0))</f>
        <v>0</v>
      </c>
      <c r="I39" s="71">
        <f ca="1">IF($C$2=$A$80,(((VLOOKUP($B$1,$A$6:$Q$26,14,FALSE)*($B$2/100)*'Factor 3 Calculations'!$O$7)+(VLOOKUP($B$1,$A$6:$Q$26,9,FALSE)*(($B$2/100)*'Factor 3 Calculations'!$J$7)))*((1+$B$3)^(I31-YEAR(TODAY())))*((1+$B$29)^(I31-YEAR(TODAY())))),IF($C$2=$A$81,(((VLOOKUP($B$1,$A$6:$Q$26,14,FALSE)*($B$2/100)*'Factor 3 Calculations'!$O$7)+(VLOOKUP($B$1,$A$6:$Q$26,9,FALSE)*($B$2/100)*'Factor 3 Calculations'!$J$7)+(VLOOKUP($B$1,$A$6:$Q$26,4,FALSE)*($B$2/100)*$E$7))*((1+$B$3)^(I31-YEAR(TODAY())))*((1+$B$29)^(I31-YEAR(TODAY())))),0))</f>
        <v>0</v>
      </c>
      <c r="J39" s="71">
        <f ca="1">IF($C$2=$A$80,(((VLOOKUP($B$1,$A$6:$Q$26,14,FALSE)*($B$2/100)*'Factor 3 Calculations'!$O$7)+(VLOOKUP($B$1,$A$6:$Q$26,9,FALSE)*(($B$2/100)*'Factor 3 Calculations'!$J$7)))*((1+$B$3)^(J31-YEAR(TODAY())))*((1+$B$29)^(J31-YEAR(TODAY())))),IF($C$2=$A$81,(((VLOOKUP($B$1,$A$6:$Q$26,14,FALSE)*($B$2/100)*'Factor 3 Calculations'!$O$7)+(VLOOKUP($B$1,$A$6:$Q$26,9,FALSE)*($B$2/100)*'Factor 3 Calculations'!$J$7)+(VLOOKUP($B$1,$A$6:$Q$26,4,FALSE)*($B$2/100)*$E$7))*((1+$B$3)^(J31-YEAR(TODAY())))*((1+$B$29)^(J31-YEAR(TODAY())))),0))</f>
        <v>0</v>
      </c>
      <c r="K39" s="71">
        <f ca="1">IF($C$2=$A$80,(((VLOOKUP($B$1,$A$6:$Q$26,14,FALSE)*($B$2/100)*'Factor 3 Calculations'!$O$7)+(VLOOKUP($B$1,$A$6:$Q$26,9,FALSE)*(($B$2/100)*'Factor 3 Calculations'!$J$7)))*((1+$B$3)^(K31-YEAR(TODAY())))*((1+$B$29)^(K31-YEAR(TODAY())))),IF($C$2=$A$81,(((VLOOKUP($B$1,$A$6:$Q$26,14,FALSE)*($B$2/100)*'Factor 3 Calculations'!$O$7)+(VLOOKUP($B$1,$A$6:$Q$26,9,FALSE)*($B$2/100)*'Factor 3 Calculations'!$J$7)+(VLOOKUP($B$1,$A$6:$Q$26,4,FALSE)*($B$2/100)*$E$7))*((1+$B$3)^(K31-YEAR(TODAY())))*((1+$B$29)^(K31-YEAR(TODAY())))),0))</f>
        <v>0</v>
      </c>
      <c r="L39" s="71">
        <f ca="1">IF($C$2=$A$80,(((VLOOKUP($B$1,$A$6:$Q$26,14,FALSE)*($B$2/100)*'Factor 3 Calculations'!$O$7)+(VLOOKUP($B$1,$A$6:$Q$26,9,FALSE)*(($B$2/100)*'Factor 3 Calculations'!$J$7)))*((1+$B$3)^(L31-YEAR(TODAY())))*((1+$B$29)^(L31-YEAR(TODAY())))),IF($C$2=$A$81,(((VLOOKUP($B$1,$A$6:$Q$26,14,FALSE)*($B$2/100)*'Factor 3 Calculations'!$O$7)+(VLOOKUP($B$1,$A$6:$Q$26,9,FALSE)*($B$2/100)*'Factor 3 Calculations'!$J$7)+(VLOOKUP($B$1,$A$6:$Q$26,4,FALSE)*($B$2/100)*$E$7))*((1+$B$3)^(L31-YEAR(TODAY())))*((1+$B$29)^(L31-YEAR(TODAY())))),0))</f>
        <v>0</v>
      </c>
      <c r="M39" s="71">
        <f ca="1">IF($C$2=$A$80,(((VLOOKUP($B$1,$A$6:$Q$26,14,FALSE)*($B$2/100)*'Factor 3 Calculations'!$O$7)+(VLOOKUP($B$1,$A$6:$Q$26,9,FALSE)*(($B$2/100)*'Factor 3 Calculations'!$J$7)))*((1+$B$3)^(M31-YEAR(TODAY())))*((1+$B$29)^(M31-YEAR(TODAY())))),IF($C$2=$A$81,(((VLOOKUP($B$1,$A$6:$Q$26,14,FALSE)*($B$2/100)*'Factor 3 Calculations'!$O$7)+(VLOOKUP($B$1,$A$6:$Q$26,9,FALSE)*($B$2/100)*'Factor 3 Calculations'!$J$7)+(VLOOKUP($B$1,$A$6:$Q$26,4,FALSE)*($B$2/100)*$E$7))*((1+$B$3)^(M31-YEAR(TODAY())))*((1+$B$29)^(M31-YEAR(TODAY())))),0))</f>
        <v>0</v>
      </c>
      <c r="N39" s="71">
        <f ca="1">IF($C$2=$A$80,(((VLOOKUP($B$1,$A$6:$Q$26,14,FALSE)*($B$2/100)*'Factor 3 Calculations'!$O$7)+(VLOOKUP($B$1,$A$6:$Q$26,9,FALSE)*(($B$2/100)*'Factor 3 Calculations'!$J$7)))*((1+$B$3)^(N31-YEAR(TODAY())))*((1+$B$29)^(N31-YEAR(TODAY())))),IF($C$2=$A$81,(((VLOOKUP($B$1,$A$6:$Q$26,14,FALSE)*($B$2/100)*'Factor 3 Calculations'!$O$7)+(VLOOKUP($B$1,$A$6:$Q$26,9,FALSE)*($B$2/100)*'Factor 3 Calculations'!$J$7)+(VLOOKUP($B$1,$A$6:$Q$26,4,FALSE)*($B$2/100)*$E$7))*((1+$B$3)^(N31-YEAR(TODAY())))*((1+$B$29)^(N31-YEAR(TODAY())))),0))</f>
        <v>0</v>
      </c>
      <c r="O39" s="71">
        <f ca="1">IF($C$2=$A$80,(((VLOOKUP($B$1,$A$6:$Q$26,14,FALSE)*($B$2/100)*'Factor 3 Calculations'!$O$7)+(VLOOKUP($B$1,$A$6:$Q$26,9,FALSE)*(($B$2/100)*'Factor 3 Calculations'!$J$7)))*((1+$B$3)^(O31-YEAR(TODAY())))*((1+$B$29)^(O31-YEAR(TODAY())))),IF($C$2=$A$81,(((VLOOKUP($B$1,$A$6:$Q$26,14,FALSE)*($B$2/100)*'Factor 3 Calculations'!$O$7)+(VLOOKUP($B$1,$A$6:$Q$26,9,FALSE)*($B$2/100)*'Factor 3 Calculations'!$J$7)+(VLOOKUP($B$1,$A$6:$Q$26,4,FALSE)*($B$2/100)*$E$7))*((1+$B$3)^(O31-YEAR(TODAY())))*((1+$B$29)^(O31-YEAR(TODAY())))),0))</f>
        <v>0</v>
      </c>
      <c r="P39" s="71">
        <f ca="1">IF($C$2=$A$80,(((VLOOKUP($B$1,$A$6:$Q$26,14,FALSE)*($B$2/100)*'Factor 3 Calculations'!$O$7)+(VLOOKUP($B$1,$A$6:$Q$26,9,FALSE)*(($B$2/100)*'Factor 3 Calculations'!$J$7)))*((1+$B$3)^(P31-YEAR(TODAY())))*((1+$B$29)^(P31-YEAR(TODAY())))),IF($C$2=$A$81,(((VLOOKUP($B$1,$A$6:$Q$26,14,FALSE)*($B$2/100)*'Factor 3 Calculations'!$O$7)+(VLOOKUP($B$1,$A$6:$Q$26,9,FALSE)*($B$2/100)*'Factor 3 Calculations'!$J$7)+(VLOOKUP($B$1,$A$6:$Q$26,4,FALSE)*($B$2/100)*$E$7))*((1+$B$3)^(P31-YEAR(TODAY())))*((1+$B$29)^(P31-YEAR(TODAY())))),0))</f>
        <v>0</v>
      </c>
      <c r="Q39" s="71">
        <f ca="1">IF($C$2=$A$80,(((VLOOKUP($B$1,$A$6:$Q$26,14,FALSE)*($B$2/100)*'Factor 3 Calculations'!$O$7)+(VLOOKUP($B$1,$A$6:$Q$26,9,FALSE)*(($B$2/100)*'Factor 3 Calculations'!$J$7)))*((1+$B$3)^(Q31-YEAR(TODAY())))*((1+$B$29)^(Q31-YEAR(TODAY())))),IF($C$2=$A$81,(((VLOOKUP($B$1,$A$6:$Q$26,14,FALSE)*($B$2/100)*'Factor 3 Calculations'!$O$7)+(VLOOKUP($B$1,$A$6:$Q$26,9,FALSE)*($B$2/100)*'Factor 3 Calculations'!$J$7)+(VLOOKUP($B$1,$A$6:$Q$26,4,FALSE)*($B$2/100)*$E$7))*((1+$B$3)^(Q31-YEAR(TODAY())))*((1+$B$29)^(Q31-YEAR(TODAY())))),0))</f>
        <v>0</v>
      </c>
      <c r="R39" s="71">
        <f ca="1">IF($C$2=$A$80,(((VLOOKUP($B$1,$A$6:$Q$26,14,FALSE)*($B$2/100)*'Factor 3 Calculations'!$O$7)+(VLOOKUP($B$1,$A$6:$Q$26,9,FALSE)*(($B$2/100)*'Factor 3 Calculations'!$J$7)))*((1+$B$3)^(R31-YEAR(TODAY())))*((1+$B$29)^(R31-YEAR(TODAY())))),IF($C$2=$A$81,(((VLOOKUP($B$1,$A$6:$Q$26,14,FALSE)*($B$2/100)*'Factor 3 Calculations'!$O$7)+(VLOOKUP($B$1,$A$6:$Q$26,9,FALSE)*($B$2/100)*'Factor 3 Calculations'!$J$7)+(VLOOKUP($B$1,$A$6:$Q$26,4,FALSE)*($B$2/100)*$E$7))*((1+$B$3)^(R31-YEAR(TODAY())))*((1+$B$29)^(R31-YEAR(TODAY())))),0))</f>
        <v>0</v>
      </c>
      <c r="S39" s="71">
        <f ca="1">IF($C$2=$A$80,(((VLOOKUP($B$1,$A$6:$Q$26,14,FALSE)*($B$2/100)*'Factor 3 Calculations'!$O$7)+(VLOOKUP($B$1,$A$6:$Q$26,9,FALSE)*(($B$2/100)*'Factor 3 Calculations'!$J$7)))*((1+$B$3)^(S31-YEAR(TODAY())))*((1+$B$29)^(S31-YEAR(TODAY())))),IF($C$2=$A$81,(((VLOOKUP($B$1,$A$6:$Q$26,14,FALSE)*($B$2/100)*'Factor 3 Calculations'!$O$7)+(VLOOKUP($B$1,$A$6:$Q$26,9,FALSE)*($B$2/100)*'Factor 3 Calculations'!$J$7)+(VLOOKUP($B$1,$A$6:$Q$26,4,FALSE)*($B$2/100)*$E$7))*((1+$B$3)^(S31-YEAR(TODAY())))*((1+$B$29)^(S31-YEAR(TODAY())))),0))</f>
        <v>0</v>
      </c>
      <c r="T39" s="71">
        <f ca="1">IF($C$2=$A$80,(((VLOOKUP($B$1,$A$6:$Q$26,14,FALSE)*($B$2/100)*'Factor 3 Calculations'!$O$7)+(VLOOKUP($B$1,$A$6:$Q$26,9,FALSE)*(($B$2/100)*'Factor 3 Calculations'!$J$7)))*((1+$B$3)^(T31-YEAR(TODAY())))*((1+$B$29)^(T31-YEAR(TODAY())))),IF($C$2=$A$81,(((VLOOKUP($B$1,$A$6:$Q$26,14,FALSE)*($B$2/100)*'Factor 3 Calculations'!$O$7)+(VLOOKUP($B$1,$A$6:$Q$26,9,FALSE)*($B$2/100)*'Factor 3 Calculations'!$J$7)+(VLOOKUP($B$1,$A$6:$Q$26,4,FALSE)*($B$2/100)*$E$7))*((1+$B$3)^(T31-YEAR(TODAY())))*((1+$B$29)^(T31-YEAR(TODAY())))),0))</f>
        <v>0</v>
      </c>
      <c r="U39" s="71">
        <f ca="1">IF($C$2=$A$80,(((VLOOKUP($B$1,$A$6:$Q$26,14,FALSE)*($B$2/100)*'Factor 3 Calculations'!$O$7)+(VLOOKUP($B$1,$A$6:$Q$26,9,FALSE)*(($B$2/100)*'Factor 3 Calculations'!$J$7)))*((1+$B$3)^(U31-YEAR(TODAY())))*((1+$B$29)^(U31-YEAR(TODAY())))),IF($C$2=$A$81,(((VLOOKUP($B$1,$A$6:$Q$26,14,FALSE)*($B$2/100)*'Factor 3 Calculations'!$O$7)+(VLOOKUP($B$1,$A$6:$Q$26,9,FALSE)*($B$2/100)*'Factor 3 Calculations'!$J$7)+(VLOOKUP($B$1,$A$6:$Q$26,4,FALSE)*($B$2/100)*$E$7))*((1+$B$3)^(U31-YEAR(TODAY())))*((1+$B$29)^(U31-YEAR(TODAY())))),0))</f>
        <v>0</v>
      </c>
      <c r="V39" s="71">
        <f ca="1">IF($C$2=$A$80,(((VLOOKUP($B$1,$A$6:$Q$26,14,FALSE)*($B$2/100)*'Factor 3 Calculations'!$O$7)+(VLOOKUP($B$1,$A$6:$Q$26,9,FALSE)*(($B$2/100)*'Factor 3 Calculations'!$J$7)))*((1+$B$3)^(V31-YEAR(TODAY())))*((1+$B$29)^(V31-YEAR(TODAY())))),IF($C$2=$A$81,(((VLOOKUP($B$1,$A$6:$Q$26,14,FALSE)*($B$2/100)*'Factor 3 Calculations'!$O$7)+(VLOOKUP($B$1,$A$6:$Q$26,9,FALSE)*($B$2/100)*'Factor 3 Calculations'!$J$7)+(VLOOKUP($B$1,$A$6:$Q$26,4,FALSE)*($B$2/100)*$E$7))*((1+$B$3)^(V31-YEAR(TODAY())))*((1+$B$29)^(V31-YEAR(TODAY())))),0))</f>
        <v>0</v>
      </c>
      <c r="W39" s="71">
        <f ca="1">IF($C$2=$A$80,(((VLOOKUP($B$1,$A$6:$Q$26,14,FALSE)*($B$2/100)*'Factor 3 Calculations'!$O$7)+(VLOOKUP($B$1,$A$6:$Q$26,9,FALSE)*(($B$2/100)*'Factor 3 Calculations'!$J$7)))*((1+$B$3)^(W31-YEAR(TODAY())))*((1+$B$29)^(W31-YEAR(TODAY())))),IF($C$2=$A$81,(((VLOOKUP($B$1,$A$6:$Q$26,14,FALSE)*($B$2/100)*'Factor 3 Calculations'!$O$7)+(VLOOKUP($B$1,$A$6:$Q$26,9,FALSE)*($B$2/100)*'Factor 3 Calculations'!$J$7)+(VLOOKUP($B$1,$A$6:$Q$26,4,FALSE)*($B$2/100)*$E$7))*((1+$B$3)^(W31-YEAR(TODAY())))*((1+$B$29)^(W31-YEAR(TODAY())))),0))</f>
        <v>0</v>
      </c>
      <c r="X39" s="71">
        <f ca="1">IF($C$2=$A$80,(((VLOOKUP($B$1,$A$6:$Q$26,14,FALSE)*($B$2/100)*'Factor 3 Calculations'!$O$7)+(VLOOKUP($B$1,$A$6:$Q$26,9,FALSE)*(($B$2/100)*'Factor 3 Calculations'!$J$7)))*((1+$B$3)^(X31-YEAR(TODAY())))*((1+$B$29)^(X31-YEAR(TODAY())))),IF($C$2=$A$81,(((VLOOKUP($B$1,$A$6:$Q$26,14,FALSE)*($B$2/100)*'Factor 3 Calculations'!$O$7)+(VLOOKUP($B$1,$A$6:$Q$26,9,FALSE)*($B$2/100)*'Factor 3 Calculations'!$J$7)+(VLOOKUP($B$1,$A$6:$Q$26,4,FALSE)*($B$2/100)*$E$7))*((1+$B$3)^(X31-YEAR(TODAY())))*((1+$B$29)^(X31-YEAR(TODAY())))),0))</f>
        <v>0</v>
      </c>
      <c r="Y39" s="71">
        <f ca="1">IF($C$2=$A$80,(((VLOOKUP($B$1,$A$6:$Q$26,14,FALSE)*($B$2/100)*'Factor 3 Calculations'!$O$7)+(VLOOKUP($B$1,$A$6:$Q$26,9,FALSE)*(($B$2/100)*'Factor 3 Calculations'!$J$7)))*((1+$B$3)^(Y31-YEAR(TODAY())))*((1+$B$29)^(Y31-YEAR(TODAY())))),IF($C$2=$A$81,(((VLOOKUP($B$1,$A$6:$Q$26,14,FALSE)*($B$2/100)*'Factor 3 Calculations'!$O$7)+(VLOOKUP($B$1,$A$6:$Q$26,9,FALSE)*($B$2/100)*'Factor 3 Calculations'!$J$7)+(VLOOKUP($B$1,$A$6:$Q$26,4,FALSE)*($B$2/100)*$E$7))*((1+$B$3)^(Y31-YEAR(TODAY())))*((1+$B$29)^(Y31-YEAR(TODAY())))),0))</f>
        <v>0</v>
      </c>
      <c r="Z39" s="71">
        <f ca="1">IF($C$2=$A$80,(((VLOOKUP($B$1,$A$6:$Q$26,14,FALSE)*($B$2/100)*'Factor 3 Calculations'!$O$7)+(VLOOKUP($B$1,$A$6:$Q$26,9,FALSE)*(($B$2/100)*'Factor 3 Calculations'!$J$7)))*((1+$B$3)^(Z31-YEAR(TODAY())))*((1+$B$29)^(Z31-YEAR(TODAY())))),IF($C$2=$A$81,(((VLOOKUP($B$1,$A$6:$Q$26,14,FALSE)*($B$2/100)*'Factor 3 Calculations'!$O$7)+(VLOOKUP($B$1,$A$6:$Q$26,9,FALSE)*($B$2/100)*'Factor 3 Calculations'!$J$7)+(VLOOKUP($B$1,$A$6:$Q$26,4,FALSE)*($B$2/100)*$E$7))*((1+$B$3)^(Z31-YEAR(TODAY())))*((1+$B$29)^(Z31-YEAR(TODAY())))),0))</f>
        <v>0</v>
      </c>
      <c r="AA39" s="71">
        <f ca="1">IF($C$2=$A$80,(((VLOOKUP($B$1,$A$6:$Q$26,14,FALSE)*($B$2/100)*'Factor 3 Calculations'!$O$7)+(VLOOKUP($B$1,$A$6:$Q$26,9,FALSE)*(($B$2/100)*'Factor 3 Calculations'!$J$7)))*((1+$B$3)^(AA31-YEAR(TODAY())))*((1+$B$29)^(AA31-YEAR(TODAY())))),IF($C$2=$A$81,(((VLOOKUP($B$1,$A$6:$Q$26,14,FALSE)*($B$2/100)*'Factor 3 Calculations'!$O$7)+(VLOOKUP($B$1,$A$6:$Q$26,9,FALSE)*($B$2/100)*'Factor 3 Calculations'!$J$7)+(VLOOKUP($B$1,$A$6:$Q$26,4,FALSE)*($B$2/100)*$E$7))*((1+$B$3)^(AA31-YEAR(TODAY())))*((1+$B$29)^(AA31-YEAR(TODAY())))),0))</f>
        <v>0</v>
      </c>
      <c r="AB39" s="71">
        <f ca="1">IF($C$2=$A$80,(((VLOOKUP($B$1,$A$6:$Q$26,14,FALSE)*($B$2/100)*'Factor 3 Calculations'!$O$7)+(VLOOKUP($B$1,$A$6:$Q$26,9,FALSE)*(($B$2/100)*'Factor 3 Calculations'!$J$7)))*((1+$B$3)^(AB31-YEAR(TODAY())))*((1+$B$29)^(AB31-YEAR(TODAY())))),IF($C$2=$A$81,(((VLOOKUP($B$1,$A$6:$Q$26,14,FALSE)*($B$2/100)*'Factor 3 Calculations'!$O$7)+(VLOOKUP($B$1,$A$6:$Q$26,9,FALSE)*($B$2/100)*'Factor 3 Calculations'!$J$7)+(VLOOKUP($B$1,$A$6:$Q$26,4,FALSE)*($B$2/100)*$E$7))*((1+$B$3)^(AB31-YEAR(TODAY())))*((1+$B$29)^(AB31-YEAR(TODAY())))),0))</f>
        <v>0</v>
      </c>
      <c r="AC39" s="71">
        <f ca="1">IF($C$2=$A$80,(((VLOOKUP($B$1,$A$6:$Q$26,14,FALSE)*($B$2/100)*'Factor 3 Calculations'!$O$7)+(VLOOKUP($B$1,$A$6:$Q$26,9,FALSE)*(($B$2/100)*'Factor 3 Calculations'!$J$7)))*((1+$B$3)^(AC31-YEAR(TODAY())))*((1+$B$29)^(AC31-YEAR(TODAY())))),IF($C$2=$A$81,(((VLOOKUP($B$1,$A$6:$Q$26,14,FALSE)*($B$2/100)*'Factor 3 Calculations'!$O$7)+(VLOOKUP($B$1,$A$6:$Q$26,9,FALSE)*($B$2/100)*'Factor 3 Calculations'!$J$7)+(VLOOKUP($B$1,$A$6:$Q$26,4,FALSE)*($B$2/100)*$E$7))*((1+$B$3)^(AC31-YEAR(TODAY())))*((1+$B$29)^(AC31-YEAR(TODAY())))),0))</f>
        <v>0</v>
      </c>
      <c r="AD39" s="71">
        <f ca="1">IF($C$2=$A$80,(((VLOOKUP($B$1,$A$6:$Q$26,14,FALSE)*($B$2/100)*'Factor 3 Calculations'!$O$7)+(VLOOKUP($B$1,$A$6:$Q$26,9,FALSE)*(($B$2/100)*'Factor 3 Calculations'!$J$7)))*((1+$B$3)^(AD31-YEAR(TODAY())))*((1+$B$29)^(AD31-YEAR(TODAY())))),IF($C$2=$A$81,(((VLOOKUP($B$1,$A$6:$Q$26,14,FALSE)*($B$2/100)*'Factor 3 Calculations'!$O$7)+(VLOOKUP($B$1,$A$6:$Q$26,9,FALSE)*($B$2/100)*'Factor 3 Calculations'!$J$7)+(VLOOKUP($B$1,$A$6:$Q$26,4,FALSE)*($B$2/100)*$E$7))*((1+$B$3)^(AD31-YEAR(TODAY())))*((1+$B$29)^(AD31-YEAR(TODAY())))),0))</f>
        <v>0</v>
      </c>
      <c r="AE39" s="71">
        <f ca="1">IF($C$2=$A$80,(((VLOOKUP($B$1,$A$6:$Q$26,14,FALSE)*($B$2/100)*'Factor 3 Calculations'!$O$7)+(VLOOKUP($B$1,$A$6:$Q$26,9,FALSE)*(($B$2/100)*'Factor 3 Calculations'!$J$7)))*((1+$B$3)^(AE31-YEAR(TODAY())))*((1+$B$29)^(AE31-YEAR(TODAY())))),IF($C$2=$A$81,(((VLOOKUP($B$1,$A$6:$Q$26,14,FALSE)*($B$2/100)*'Factor 3 Calculations'!$O$7)+(VLOOKUP($B$1,$A$6:$Q$26,9,FALSE)*($B$2/100)*'Factor 3 Calculations'!$J$7)+(VLOOKUP($B$1,$A$6:$Q$26,4,FALSE)*($B$2/100)*$E$7))*((1+$B$3)^(AE31-YEAR(TODAY())))*((1+$B$29)^(AE31-YEAR(TODAY())))),0))</f>
        <v>0</v>
      </c>
      <c r="AF39" s="71">
        <f ca="1">IF($C$2=$A$80,(((VLOOKUP($B$1,$A$6:$Q$26,14,FALSE)*($B$2/100)*'Factor 3 Calculations'!$O$7)+(VLOOKUP($B$1,$A$6:$Q$26,9,FALSE)*(($B$2/100)*'Factor 3 Calculations'!$J$7)))*((1+$B$3)^(AF31-YEAR(TODAY())))*((1+$B$29)^(AF31-YEAR(TODAY())))),IF($C$2=$A$81,(((VLOOKUP($B$1,$A$6:$Q$26,14,FALSE)*($B$2/100)*'Factor 3 Calculations'!$O$7)+(VLOOKUP($B$1,$A$6:$Q$26,9,FALSE)*($B$2/100)*'Factor 3 Calculations'!$J$7)+(VLOOKUP($B$1,$A$6:$Q$26,4,FALSE)*($B$2/100)*$E$7))*((1+$B$3)^(AF31-YEAR(TODAY())))*((1+$B$29)^(AF31-YEAR(TODAY())))),0))</f>
        <v>0</v>
      </c>
      <c r="AG39" s="71">
        <f ca="1">IF($C$2=$A$80,(((VLOOKUP($B$1,$A$6:$Q$26,14,FALSE)*($B$2/100)*'Factor 3 Calculations'!$O$7)+(VLOOKUP($B$1,$A$6:$Q$26,9,FALSE)*(($B$2/100)*'Factor 3 Calculations'!$J$7)))*((1+$B$3)^(AG31-YEAR(TODAY())))*((1+$B$29)^(AG31-YEAR(TODAY())))),IF($C$2=$A$81,(((VLOOKUP($B$1,$A$6:$Q$26,14,FALSE)*($B$2/100)*'Factor 3 Calculations'!$O$7)+(VLOOKUP($B$1,$A$6:$Q$26,9,FALSE)*($B$2/100)*'Factor 3 Calculations'!$J$7)+(VLOOKUP($B$1,$A$6:$Q$26,4,FALSE)*($B$2/100)*$E$7))*((1+$B$3)^(AG31-YEAR(TODAY())))*((1+$B$29)^(AG31-YEAR(TODAY())))),0))</f>
        <v>0</v>
      </c>
      <c r="AH39" s="71">
        <f ca="1">IF($C$2=$A$80,(((VLOOKUP($B$1,$A$6:$Q$26,14,FALSE)*($B$2/100)*'Factor 3 Calculations'!$O$7)+(VLOOKUP($B$1,$A$6:$Q$26,9,FALSE)*(($B$2/100)*'Factor 3 Calculations'!$J$7)))*((1+$B$3)^(AH31-YEAR(TODAY())))*((1+$B$29)^(AH31-YEAR(TODAY())))),IF($C$2=$A$81,(((VLOOKUP($B$1,$A$6:$Q$26,14,FALSE)*($B$2/100)*'Factor 3 Calculations'!$O$7)+(VLOOKUP($B$1,$A$6:$Q$26,9,FALSE)*($B$2/100)*'Factor 3 Calculations'!$J$7)+(VLOOKUP($B$1,$A$6:$Q$26,4,FALSE)*($B$2/100)*$E$7))*((1+$B$3)^(AH31-YEAR(TODAY())))*((1+$B$29)^(AH31-YEAR(TODAY())))),0))</f>
        <v>0</v>
      </c>
      <c r="AI39" s="71">
        <f ca="1">IF($C$2=$A$80,(((VLOOKUP($B$1,$A$6:$Q$26,14,FALSE)*($B$2/100)*'Factor 3 Calculations'!$O$7)+(VLOOKUP($B$1,$A$6:$Q$26,9,FALSE)*(($B$2/100)*'Factor 3 Calculations'!$J$7)))*((1+$B$3)^(AI31-YEAR(TODAY())))*((1+$B$29)^(AI31-YEAR(TODAY())))),IF($C$2=$A$81,(((VLOOKUP($B$1,$A$6:$Q$26,14,FALSE)*($B$2/100)*'Factor 3 Calculations'!$O$7)+(VLOOKUP($B$1,$A$6:$Q$26,9,FALSE)*($B$2/100)*'Factor 3 Calculations'!$J$7)+(VLOOKUP($B$1,$A$6:$Q$26,4,FALSE)*($B$2/100)*$E$7))*((1+$B$3)^(AI31-YEAR(TODAY())))*((1+$B$29)^(AI31-YEAR(TODAY())))),0))</f>
        <v>0</v>
      </c>
      <c r="AJ39" s="71">
        <f ca="1">IF($C$2=$A$80,(((VLOOKUP($B$1,$A$6:$Q$26,14,FALSE)*($B$2/100)*'Factor 3 Calculations'!$O$7)+(VLOOKUP($B$1,$A$6:$Q$26,9,FALSE)*(($B$2/100)*'Factor 3 Calculations'!$J$7)))*((1+$B$3)^(AJ31-YEAR(TODAY())))*((1+$B$29)^(AJ31-YEAR(TODAY())))),IF($C$2=$A$81,(((VLOOKUP($B$1,$A$6:$Q$26,14,FALSE)*($B$2/100)*'Factor 3 Calculations'!$O$7)+(VLOOKUP($B$1,$A$6:$Q$26,9,FALSE)*($B$2/100)*'Factor 3 Calculations'!$J$7)+(VLOOKUP($B$1,$A$6:$Q$26,4,FALSE)*($B$2/100)*$E$7))*((1+$B$3)^(AJ31-YEAR(TODAY())))*((1+$B$29)^(AJ31-YEAR(TODAY())))),0))</f>
        <v>0</v>
      </c>
      <c r="AK39" s="74">
        <f ca="1">IF($C$2=$A$80,(((VLOOKUP($B$1,$A$6:$Q$26,14,FALSE)*($B$2/100)*'Factor 3 Calculations'!$O$7)+(VLOOKUP($B$1,$A$6:$Q$26,9,FALSE)*(($B$2/100)*'Factor 3 Calculations'!$J$7)))*((1+$B$3)^(AK31-YEAR(TODAY())))*((1+$B$29)^(AK31-YEAR(TODAY())))),IF($C$2=$A$81,(((VLOOKUP($B$1,$A$6:$Q$26,14,FALSE)*($B$2/100)*'Factor 3 Calculations'!$O$7)+(VLOOKUP($B$1,$A$6:$Q$26,9,FALSE)*($B$2/100)*'Factor 3 Calculations'!$J$7)+(VLOOKUP($B$1,$A$6:$Q$26,4,FALSE)*($B$2/100)*$E$7))*((1+$B$3)^(AK31-YEAR(TODAY())))*((1+$B$29)^(AK31-YEAR(TODAY())))),0))</f>
        <v>0</v>
      </c>
    </row>
    <row r="40" spans="1:38">
      <c r="A40" s="70" t="s">
        <v>253</v>
      </c>
      <c r="B40" s="52">
        <f ca="1">IFERROR(B39/((1+($B$29/1))^(1*(B31-$B$31))),0)</f>
        <v>0</v>
      </c>
      <c r="C40" s="52">
        <f t="shared" ref="C40:AK40" ca="1" si="5">IFERROR(C39/((1+($B$29/1))^(1*(C31-$B$31))),0)</f>
        <v>0</v>
      </c>
      <c r="D40" s="52">
        <f t="shared" ca="1" si="5"/>
        <v>0</v>
      </c>
      <c r="E40" s="52">
        <f t="shared" ca="1" si="5"/>
        <v>0</v>
      </c>
      <c r="F40" s="52">
        <f t="shared" ca="1" si="5"/>
        <v>0</v>
      </c>
      <c r="G40" s="52">
        <f t="shared" ca="1" si="5"/>
        <v>0</v>
      </c>
      <c r="H40" s="52">
        <f t="shared" ca="1" si="5"/>
        <v>0</v>
      </c>
      <c r="I40" s="52">
        <f t="shared" ca="1" si="5"/>
        <v>0</v>
      </c>
      <c r="J40" s="52">
        <f t="shared" ca="1" si="5"/>
        <v>0</v>
      </c>
      <c r="K40" s="52">
        <f t="shared" ca="1" si="5"/>
        <v>0</v>
      </c>
      <c r="L40" s="52">
        <f t="shared" ca="1" si="5"/>
        <v>0</v>
      </c>
      <c r="M40" s="52">
        <f t="shared" ca="1" si="5"/>
        <v>0</v>
      </c>
      <c r="N40" s="52">
        <f t="shared" ca="1" si="5"/>
        <v>0</v>
      </c>
      <c r="O40" s="52">
        <f t="shared" ca="1" si="5"/>
        <v>0</v>
      </c>
      <c r="P40" s="52">
        <f t="shared" ca="1" si="5"/>
        <v>0</v>
      </c>
      <c r="Q40" s="52">
        <f t="shared" ca="1" si="5"/>
        <v>0</v>
      </c>
      <c r="R40" s="52">
        <f t="shared" ca="1" si="5"/>
        <v>0</v>
      </c>
      <c r="S40" s="52">
        <f t="shared" ca="1" si="5"/>
        <v>0</v>
      </c>
      <c r="T40" s="52">
        <f t="shared" ca="1" si="5"/>
        <v>0</v>
      </c>
      <c r="U40" s="52">
        <f t="shared" ca="1" si="5"/>
        <v>0</v>
      </c>
      <c r="V40" s="52">
        <f t="shared" ca="1" si="5"/>
        <v>0</v>
      </c>
      <c r="W40" s="52">
        <f t="shared" ca="1" si="5"/>
        <v>0</v>
      </c>
      <c r="X40" s="52">
        <f t="shared" ca="1" si="5"/>
        <v>0</v>
      </c>
      <c r="Y40" s="52">
        <f t="shared" ca="1" si="5"/>
        <v>0</v>
      </c>
      <c r="Z40" s="52">
        <f t="shared" ca="1" si="5"/>
        <v>0</v>
      </c>
      <c r="AA40" s="52">
        <f t="shared" ca="1" si="5"/>
        <v>0</v>
      </c>
      <c r="AB40" s="52">
        <f t="shared" ca="1" si="5"/>
        <v>0</v>
      </c>
      <c r="AC40" s="52">
        <f t="shared" ca="1" si="5"/>
        <v>0</v>
      </c>
      <c r="AD40" s="52">
        <f t="shared" ca="1" si="5"/>
        <v>0</v>
      </c>
      <c r="AE40" s="52">
        <f t="shared" ca="1" si="5"/>
        <v>0</v>
      </c>
      <c r="AF40" s="52">
        <f t="shared" ca="1" si="5"/>
        <v>0</v>
      </c>
      <c r="AG40" s="52">
        <f t="shared" ca="1" si="5"/>
        <v>0</v>
      </c>
      <c r="AH40" s="52">
        <f t="shared" ca="1" si="5"/>
        <v>0</v>
      </c>
      <c r="AI40" s="52">
        <f t="shared" ca="1" si="5"/>
        <v>0</v>
      </c>
      <c r="AJ40" s="52">
        <f t="shared" ca="1" si="5"/>
        <v>0</v>
      </c>
      <c r="AK40" s="75">
        <f t="shared" ca="1" si="5"/>
        <v>0</v>
      </c>
    </row>
    <row r="41" spans="1:38" ht="15.75" thickBot="1">
      <c r="A41" s="35" t="s">
        <v>254</v>
      </c>
      <c r="B41" s="72">
        <f ca="1">SUM(B40:AK40)</f>
        <v>0</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91"/>
    </row>
    <row r="42" spans="1:38" ht="15.75" thickBot="1">
      <c r="A42" s="35" t="s">
        <v>255</v>
      </c>
      <c r="B42" s="69">
        <f ca="1">B41/B36</f>
        <v>0</v>
      </c>
    </row>
    <row r="45" spans="1:38">
      <c r="V45" s="52"/>
    </row>
    <row r="51" spans="1:9">
      <c r="A51" t="s">
        <v>256</v>
      </c>
    </row>
    <row r="52" spans="1:9">
      <c r="B52" t="s">
        <v>257</v>
      </c>
      <c r="C52" t="s">
        <v>258</v>
      </c>
      <c r="D52" t="s">
        <v>259</v>
      </c>
      <c r="E52" t="s">
        <v>181</v>
      </c>
      <c r="F52" t="s">
        <v>260</v>
      </c>
      <c r="G52" t="s">
        <v>261</v>
      </c>
      <c r="H52" t="s">
        <v>184</v>
      </c>
      <c r="I52" t="s">
        <v>262</v>
      </c>
    </row>
    <row r="53" spans="1:9">
      <c r="A53" t="s">
        <v>215</v>
      </c>
      <c r="B53" t="s">
        <v>263</v>
      </c>
      <c r="C53" t="s">
        <v>263</v>
      </c>
      <c r="D53" t="s">
        <v>263</v>
      </c>
      <c r="E53" t="s">
        <v>263</v>
      </c>
      <c r="F53" t="s">
        <v>263</v>
      </c>
      <c r="G53" t="s">
        <v>263</v>
      </c>
      <c r="H53" t="s">
        <v>263</v>
      </c>
      <c r="I53" t="s">
        <v>263</v>
      </c>
    </row>
    <row r="54" spans="1:9">
      <c r="A54" t="s">
        <v>216</v>
      </c>
      <c r="D54" t="s">
        <v>263</v>
      </c>
      <c r="E54" t="s">
        <v>263</v>
      </c>
      <c r="F54" t="s">
        <v>263</v>
      </c>
      <c r="G54" t="s">
        <v>263</v>
      </c>
      <c r="H54" s="60" t="s">
        <v>263</v>
      </c>
    </row>
    <row r="55" spans="1:9">
      <c r="A55" t="s">
        <v>218</v>
      </c>
      <c r="D55" t="s">
        <v>263</v>
      </c>
      <c r="E55" t="s">
        <v>263</v>
      </c>
      <c r="F55" t="s">
        <v>263</v>
      </c>
      <c r="G55" t="s">
        <v>263</v>
      </c>
      <c r="H55" t="s">
        <v>263</v>
      </c>
    </row>
    <row r="56" spans="1:9">
      <c r="A56" t="s">
        <v>220</v>
      </c>
      <c r="D56" t="s">
        <v>263</v>
      </c>
      <c r="E56" t="s">
        <v>263</v>
      </c>
      <c r="F56" t="s">
        <v>263</v>
      </c>
      <c r="G56" t="s">
        <v>263</v>
      </c>
      <c r="H56" t="s">
        <v>263</v>
      </c>
      <c r="I56" t="s">
        <v>263</v>
      </c>
    </row>
    <row r="57" spans="1:9">
      <c r="A57" t="s">
        <v>221</v>
      </c>
      <c r="D57" t="s">
        <v>263</v>
      </c>
      <c r="E57" t="s">
        <v>263</v>
      </c>
      <c r="F57" t="s">
        <v>263</v>
      </c>
      <c r="G57" t="s">
        <v>263</v>
      </c>
      <c r="H57" t="s">
        <v>263</v>
      </c>
    </row>
    <row r="58" spans="1:9">
      <c r="A58" t="s">
        <v>223</v>
      </c>
      <c r="D58" t="s">
        <v>263</v>
      </c>
      <c r="E58" t="s">
        <v>263</v>
      </c>
      <c r="F58" t="s">
        <v>263</v>
      </c>
      <c r="G58" t="s">
        <v>263</v>
      </c>
      <c r="H58" t="s">
        <v>263</v>
      </c>
    </row>
    <row r="59" spans="1:9">
      <c r="A59" t="s">
        <v>225</v>
      </c>
      <c r="D59" t="s">
        <v>263</v>
      </c>
      <c r="E59" t="s">
        <v>263</v>
      </c>
      <c r="F59" t="s">
        <v>263</v>
      </c>
      <c r="G59" t="s">
        <v>263</v>
      </c>
      <c r="H59" t="s">
        <v>263</v>
      </c>
      <c r="I59" t="s">
        <v>263</v>
      </c>
    </row>
    <row r="60" spans="1:9">
      <c r="A60" t="s">
        <v>226</v>
      </c>
      <c r="D60" t="s">
        <v>263</v>
      </c>
      <c r="F60" t="s">
        <v>263</v>
      </c>
      <c r="G60" t="s">
        <v>263</v>
      </c>
      <c r="H60" t="s">
        <v>263</v>
      </c>
      <c r="I60" t="s">
        <v>263</v>
      </c>
    </row>
    <row r="61" spans="1:9">
      <c r="A61" t="s">
        <v>228</v>
      </c>
      <c r="D61" t="s">
        <v>263</v>
      </c>
      <c r="F61" t="s">
        <v>263</v>
      </c>
      <c r="G61" t="s">
        <v>263</v>
      </c>
      <c r="H61" t="s">
        <v>263</v>
      </c>
      <c r="I61" t="s">
        <v>263</v>
      </c>
    </row>
    <row r="62" spans="1:9">
      <c r="A62" t="s">
        <v>230</v>
      </c>
      <c r="D62" t="s">
        <v>263</v>
      </c>
      <c r="F62" t="s">
        <v>263</v>
      </c>
      <c r="G62" t="s">
        <v>263</v>
      </c>
      <c r="H62" t="s">
        <v>263</v>
      </c>
      <c r="I62" t="s">
        <v>263</v>
      </c>
    </row>
    <row r="63" spans="1:9">
      <c r="A63" t="s">
        <v>231</v>
      </c>
      <c r="D63" t="s">
        <v>263</v>
      </c>
      <c r="F63" t="s">
        <v>263</v>
      </c>
      <c r="G63" t="s">
        <v>263</v>
      </c>
      <c r="H63" t="s">
        <v>263</v>
      </c>
      <c r="I63" t="s">
        <v>263</v>
      </c>
    </row>
    <row r="64" spans="1:9">
      <c r="A64" t="s">
        <v>232</v>
      </c>
      <c r="D64" t="s">
        <v>263</v>
      </c>
      <c r="E64" t="s">
        <v>263</v>
      </c>
      <c r="F64" t="s">
        <v>263</v>
      </c>
      <c r="G64" t="s">
        <v>263</v>
      </c>
      <c r="I64" t="s">
        <v>263</v>
      </c>
    </row>
    <row r="65" spans="1:9">
      <c r="A65" t="s">
        <v>233</v>
      </c>
      <c r="B65" t="s">
        <v>263</v>
      </c>
      <c r="E65" t="s">
        <v>263</v>
      </c>
      <c r="G65" t="s">
        <v>263</v>
      </c>
      <c r="H65" t="s">
        <v>263</v>
      </c>
      <c r="I65" t="s">
        <v>263</v>
      </c>
    </row>
    <row r="66" spans="1:9">
      <c r="A66" t="s">
        <v>234</v>
      </c>
      <c r="B66" t="s">
        <v>263</v>
      </c>
      <c r="D66" t="s">
        <v>263</v>
      </c>
      <c r="E66" t="s">
        <v>263</v>
      </c>
      <c r="H66" t="s">
        <v>263</v>
      </c>
      <c r="I66" t="s">
        <v>263</v>
      </c>
    </row>
    <row r="67" spans="1:9">
      <c r="A67" t="s">
        <v>235</v>
      </c>
      <c r="B67" t="s">
        <v>263</v>
      </c>
      <c r="E67" t="s">
        <v>263</v>
      </c>
      <c r="G67" t="s">
        <v>263</v>
      </c>
      <c r="H67" t="s">
        <v>263</v>
      </c>
      <c r="I67" t="s">
        <v>263</v>
      </c>
    </row>
    <row r="68" spans="1:9">
      <c r="A68" t="s">
        <v>236</v>
      </c>
      <c r="B68" t="s">
        <v>263</v>
      </c>
      <c r="D68" t="s">
        <v>263</v>
      </c>
      <c r="E68" t="s">
        <v>263</v>
      </c>
      <c r="H68" t="s">
        <v>263</v>
      </c>
      <c r="I68" t="s">
        <v>263</v>
      </c>
    </row>
    <row r="69" spans="1:9">
      <c r="A69" t="s">
        <v>237</v>
      </c>
      <c r="B69" t="s">
        <v>263</v>
      </c>
      <c r="E69" t="s">
        <v>263</v>
      </c>
      <c r="G69" t="s">
        <v>263</v>
      </c>
      <c r="H69" t="s">
        <v>263</v>
      </c>
      <c r="I69" t="s">
        <v>263</v>
      </c>
    </row>
    <row r="70" spans="1:9">
      <c r="A70" t="s">
        <v>238</v>
      </c>
      <c r="B70" t="s">
        <v>263</v>
      </c>
      <c r="D70" t="s">
        <v>263</v>
      </c>
      <c r="E70" t="s">
        <v>263</v>
      </c>
      <c r="H70" t="s">
        <v>263</v>
      </c>
      <c r="I70" t="s">
        <v>263</v>
      </c>
    </row>
    <row r="71" spans="1:9">
      <c r="A71" t="s">
        <v>239</v>
      </c>
      <c r="B71" t="s">
        <v>263</v>
      </c>
      <c r="E71" t="s">
        <v>263</v>
      </c>
      <c r="G71" t="s">
        <v>263</v>
      </c>
      <c r="H71" t="s">
        <v>263</v>
      </c>
      <c r="I71" t="s">
        <v>263</v>
      </c>
    </row>
    <row r="72" spans="1:9">
      <c r="A72" t="s">
        <v>240</v>
      </c>
      <c r="B72" t="s">
        <v>263</v>
      </c>
      <c r="D72" t="s">
        <v>263</v>
      </c>
      <c r="E72" t="s">
        <v>263</v>
      </c>
      <c r="H72" t="s">
        <v>263</v>
      </c>
      <c r="I72" t="s">
        <v>263</v>
      </c>
    </row>
    <row r="73" spans="1:9">
      <c r="A73" t="s">
        <v>241</v>
      </c>
      <c r="B73" t="s">
        <v>263</v>
      </c>
      <c r="E73" t="s">
        <v>263</v>
      </c>
      <c r="G73" t="s">
        <v>263</v>
      </c>
      <c r="H73" t="s">
        <v>263</v>
      </c>
      <c r="I73" t="s">
        <v>263</v>
      </c>
    </row>
    <row r="75" spans="1:9">
      <c r="A75" t="s">
        <v>264</v>
      </c>
    </row>
    <row r="77" spans="1:9">
      <c r="A77" t="s">
        <v>265</v>
      </c>
    </row>
    <row r="78" spans="1:9">
      <c r="A78" t="s">
        <v>188</v>
      </c>
    </row>
    <row r="80" spans="1:9">
      <c r="A80" t="s">
        <v>266</v>
      </c>
    </row>
    <row r="81" spans="1:2">
      <c r="A81" t="s">
        <v>267</v>
      </c>
    </row>
    <row r="83" spans="1:2">
      <c r="A83" t="s">
        <v>268</v>
      </c>
      <c r="B83" t="s">
        <v>269</v>
      </c>
    </row>
    <row r="84" spans="1:2">
      <c r="A84">
        <v>0</v>
      </c>
      <c r="B84">
        <f>IF(A84&lt;1,0,IF(A84&gt;6,35,((35*A84)/5)-7))</f>
        <v>0</v>
      </c>
    </row>
    <row r="85" spans="1:2">
      <c r="A85">
        <v>0.5</v>
      </c>
      <c r="B85">
        <f t="shared" ref="B85:B95" si="6">IF(A85&lt;1,0,IF(A85&gt;6,35,((35*A85)/5)-7))</f>
        <v>0</v>
      </c>
    </row>
    <row r="86" spans="1:2">
      <c r="A86">
        <v>1</v>
      </c>
      <c r="B86">
        <f t="shared" si="6"/>
        <v>0</v>
      </c>
    </row>
    <row r="87" spans="1:2">
      <c r="A87">
        <v>2</v>
      </c>
      <c r="B87">
        <f t="shared" si="6"/>
        <v>7</v>
      </c>
    </row>
    <row r="88" spans="1:2">
      <c r="A88">
        <v>3</v>
      </c>
      <c r="B88">
        <f t="shared" si="6"/>
        <v>14</v>
      </c>
    </row>
    <row r="89" spans="1:2">
      <c r="A89">
        <v>4</v>
      </c>
      <c r="B89">
        <f t="shared" si="6"/>
        <v>21</v>
      </c>
    </row>
    <row r="90" spans="1:2">
      <c r="A90">
        <v>5</v>
      </c>
      <c r="B90">
        <f t="shared" si="6"/>
        <v>28</v>
      </c>
    </row>
    <row r="91" spans="1:2">
      <c r="A91">
        <v>6</v>
      </c>
      <c r="B91">
        <f t="shared" si="6"/>
        <v>35</v>
      </c>
    </row>
    <row r="92" spans="1:2">
      <c r="A92">
        <v>7</v>
      </c>
      <c r="B92">
        <f t="shared" si="6"/>
        <v>35</v>
      </c>
    </row>
    <row r="93" spans="1:2">
      <c r="A93">
        <v>8</v>
      </c>
      <c r="B93">
        <f t="shared" si="6"/>
        <v>35</v>
      </c>
    </row>
    <row r="94" spans="1:2">
      <c r="A94">
        <v>9</v>
      </c>
      <c r="B94">
        <f t="shared" si="6"/>
        <v>35</v>
      </c>
    </row>
    <row r="95" spans="1:2">
      <c r="A95">
        <v>10</v>
      </c>
      <c r="B95">
        <f t="shared" si="6"/>
        <v>35</v>
      </c>
    </row>
    <row r="99" spans="1:1">
      <c r="A99" t="s">
        <v>270</v>
      </c>
    </row>
    <row r="100" spans="1:1">
      <c r="A100" t="s">
        <v>265</v>
      </c>
    </row>
    <row r="101" spans="1:1">
      <c r="A101" t="s">
        <v>188</v>
      </c>
    </row>
    <row r="103" spans="1:1">
      <c r="A103" t="s">
        <v>271</v>
      </c>
    </row>
    <row r="104" spans="1:1">
      <c r="A104" t="s">
        <v>272</v>
      </c>
    </row>
    <row r="105" spans="1:1">
      <c r="A105" t="s">
        <v>273</v>
      </c>
    </row>
    <row r="106" spans="1:1">
      <c r="A106" t="s">
        <v>274</v>
      </c>
    </row>
    <row r="107" spans="1:1">
      <c r="A107" t="s">
        <v>275</v>
      </c>
    </row>
    <row r="109" spans="1:1">
      <c r="A109" t="s">
        <v>276</v>
      </c>
    </row>
    <row r="110" spans="1:1">
      <c r="A110" t="s">
        <v>277</v>
      </c>
    </row>
    <row r="111" spans="1:1">
      <c r="A111" t="s">
        <v>215</v>
      </c>
    </row>
    <row r="113" spans="1:1">
      <c r="A113" t="s">
        <v>278</v>
      </c>
    </row>
    <row r="114" spans="1:1">
      <c r="A114" t="s">
        <v>279</v>
      </c>
    </row>
    <row r="115" spans="1:1">
      <c r="A115" t="s">
        <v>280</v>
      </c>
    </row>
    <row r="116" spans="1:1">
      <c r="A116" t="s">
        <v>281</v>
      </c>
    </row>
    <row r="117" spans="1:1">
      <c r="A117" t="s">
        <v>215</v>
      </c>
    </row>
    <row r="119" spans="1:1">
      <c r="A119" s="46" t="s">
        <v>215</v>
      </c>
    </row>
    <row r="120" spans="1:1">
      <c r="A120" s="46" t="s">
        <v>233</v>
      </c>
    </row>
    <row r="121" spans="1:1">
      <c r="A121" s="46" t="s">
        <v>234</v>
      </c>
    </row>
    <row r="122" spans="1:1">
      <c r="A122" s="46" t="s">
        <v>235</v>
      </c>
    </row>
    <row r="123" spans="1:1">
      <c r="A123" s="46" t="s">
        <v>236</v>
      </c>
    </row>
    <row r="124" spans="1:1">
      <c r="A124" s="46" t="s">
        <v>237</v>
      </c>
    </row>
    <row r="125" spans="1:1">
      <c r="A125" s="46" t="s">
        <v>238</v>
      </c>
    </row>
    <row r="126" spans="1:1">
      <c r="A126" s="46" t="s">
        <v>239</v>
      </c>
    </row>
    <row r="127" spans="1:1">
      <c r="A127" s="46" t="s">
        <v>240</v>
      </c>
    </row>
    <row r="128" spans="1:1">
      <c r="A128" s="46" t="s">
        <v>216</v>
      </c>
    </row>
    <row r="129" spans="1:1">
      <c r="A129" s="46" t="s">
        <v>218</v>
      </c>
    </row>
    <row r="130" spans="1:1">
      <c r="A130" s="46" t="s">
        <v>220</v>
      </c>
    </row>
    <row r="131" spans="1:1">
      <c r="A131" s="46" t="s">
        <v>221</v>
      </c>
    </row>
    <row r="132" spans="1:1">
      <c r="A132" s="46" t="s">
        <v>223</v>
      </c>
    </row>
    <row r="133" spans="1:1">
      <c r="A133" s="46" t="s">
        <v>225</v>
      </c>
    </row>
    <row r="134" spans="1:1">
      <c r="A134" s="46" t="s">
        <v>226</v>
      </c>
    </row>
    <row r="135" spans="1:1">
      <c r="A135" s="46" t="s">
        <v>228</v>
      </c>
    </row>
    <row r="136" spans="1:1">
      <c r="A136" s="46" t="s">
        <v>230</v>
      </c>
    </row>
    <row r="137" spans="1:1">
      <c r="A137" s="46" t="s">
        <v>231</v>
      </c>
    </row>
    <row r="138" spans="1:1">
      <c r="A138" s="46" t="s">
        <v>232</v>
      </c>
    </row>
    <row r="139" spans="1:1" ht="15.75" thickBot="1">
      <c r="A139" s="47" t="s">
        <v>241</v>
      </c>
    </row>
  </sheetData>
  <sheetProtection algorithmName="SHA-512" hashValue="pN8XU3mlC+Py7ODVcoPCA4uCf9JB3a5j8s6mdmzF9nf2c2ZEgYvEh5bS9t/jv49qXzJp0li7mh5N5rNib+x1xg==" saltValue="0n+B2FxDvnL93TptPYPBJA==" spinCount="100000" sheet="1" objects="1" scenarios="1"/>
  <mergeCells count="3">
    <mergeCell ref="B4:F4"/>
    <mergeCell ref="G4:K4"/>
    <mergeCell ref="L4:P4"/>
  </mergeCells>
  <conditionalFormatting sqref="A6:Q26 A119:A139">
    <cfRule type="expression" dxfId="6" priority="10">
      <formula>$A6=$B$1</formula>
    </cfRule>
  </conditionalFormatting>
  <conditionalFormatting sqref="E6:F6 J6:K6 O6:Q6 A7:Q26 A120:A139">
    <cfRule type="expression" dxfId="5" priority="9">
      <formula>$B$1=""</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5"/>
  <sheetViews>
    <sheetView zoomScaleNormal="100" workbookViewId="0">
      <selection sqref="A1:I105"/>
    </sheetView>
  </sheetViews>
  <sheetFormatPr defaultRowHeight="15"/>
  <cols>
    <col min="1" max="1" width="42.140625" customWidth="1"/>
    <col min="2" max="2" width="69.5703125" customWidth="1"/>
    <col min="3" max="3" width="48.140625" customWidth="1"/>
    <col min="4" max="4" width="54" customWidth="1"/>
    <col min="5" max="5" width="33.28515625" customWidth="1"/>
    <col min="6" max="6" width="23.28515625" customWidth="1"/>
    <col min="7" max="7" width="18.5703125" customWidth="1"/>
    <col min="8" max="8" width="39.42578125" customWidth="1"/>
    <col min="9" max="9" width="59" customWidth="1"/>
  </cols>
  <sheetData>
    <row r="1" spans="1:9">
      <c r="A1" s="221" t="s">
        <v>282</v>
      </c>
      <c r="B1" s="221" t="s">
        <v>283</v>
      </c>
      <c r="C1" s="222" t="s">
        <v>284</v>
      </c>
      <c r="D1" s="221" t="s">
        <v>285</v>
      </c>
      <c r="E1" s="222" t="s">
        <v>286</v>
      </c>
      <c r="F1" s="223" t="s">
        <v>287</v>
      </c>
      <c r="G1" s="222" t="s">
        <v>288</v>
      </c>
      <c r="H1" s="221" t="s">
        <v>289</v>
      </c>
      <c r="I1" s="222" t="s">
        <v>290</v>
      </c>
    </row>
    <row r="2" spans="1:9">
      <c r="A2" s="383" t="s">
        <v>291</v>
      </c>
      <c r="B2" s="383" t="s">
        <v>292</v>
      </c>
      <c r="C2" s="244" t="s">
        <v>293</v>
      </c>
      <c r="D2" s="243" t="s">
        <v>294</v>
      </c>
      <c r="E2" s="244" t="s">
        <v>295</v>
      </c>
      <c r="F2" s="246">
        <v>72.400000000000006</v>
      </c>
      <c r="G2" s="244">
        <f t="shared" ref="G2:G17" si="0">1-F2/100</f>
        <v>0.27599999999999991</v>
      </c>
      <c r="H2" s="224">
        <v>3131</v>
      </c>
      <c r="I2" s="377" t="s">
        <v>296</v>
      </c>
    </row>
    <row r="3" spans="1:9">
      <c r="A3" s="383"/>
      <c r="B3" s="383"/>
      <c r="C3" s="244" t="s">
        <v>293</v>
      </c>
      <c r="D3" s="243" t="s">
        <v>294</v>
      </c>
      <c r="E3" s="244" t="s">
        <v>297</v>
      </c>
      <c r="F3" s="246">
        <v>60.7</v>
      </c>
      <c r="G3" s="244">
        <f t="shared" si="0"/>
        <v>0.39300000000000002</v>
      </c>
      <c r="H3" s="224">
        <v>3130</v>
      </c>
      <c r="I3" s="378"/>
    </row>
    <row r="4" spans="1:9">
      <c r="A4" s="377" t="s">
        <v>298</v>
      </c>
      <c r="B4" s="377" t="s">
        <v>299</v>
      </c>
      <c r="C4" s="377" t="s">
        <v>300</v>
      </c>
      <c r="D4" s="243" t="s">
        <v>301</v>
      </c>
      <c r="E4" s="244" t="s">
        <v>297</v>
      </c>
      <c r="F4" s="246">
        <v>21.2</v>
      </c>
      <c r="G4" s="244">
        <f t="shared" si="0"/>
        <v>0.78800000000000003</v>
      </c>
      <c r="H4" s="380" t="s">
        <v>302</v>
      </c>
      <c r="I4" s="377" t="s">
        <v>303</v>
      </c>
    </row>
    <row r="5" spans="1:9">
      <c r="A5" s="379"/>
      <c r="B5" s="378"/>
      <c r="C5" s="378"/>
      <c r="D5" s="243" t="s">
        <v>304</v>
      </c>
      <c r="E5" s="244" t="s">
        <v>297</v>
      </c>
      <c r="F5" s="246">
        <v>37.5</v>
      </c>
      <c r="G5" s="244">
        <f t="shared" si="0"/>
        <v>0.625</v>
      </c>
      <c r="H5" s="381"/>
      <c r="I5" s="379"/>
    </row>
    <row r="6" spans="1:9">
      <c r="A6" s="379"/>
      <c r="B6" s="377" t="s">
        <v>305</v>
      </c>
      <c r="C6" s="377" t="s">
        <v>300</v>
      </c>
      <c r="D6" s="377" t="s">
        <v>306</v>
      </c>
      <c r="E6" s="244" t="s">
        <v>295</v>
      </c>
      <c r="F6" s="246">
        <v>46.5</v>
      </c>
      <c r="G6" s="244">
        <f t="shared" si="0"/>
        <v>0.53499999999999992</v>
      </c>
      <c r="H6" s="381"/>
      <c r="I6" s="379"/>
    </row>
    <row r="7" spans="1:9">
      <c r="A7" s="379"/>
      <c r="B7" s="379"/>
      <c r="C7" s="379"/>
      <c r="D7" s="378"/>
      <c r="E7" s="244" t="s">
        <v>297</v>
      </c>
      <c r="F7" s="246">
        <v>48.7</v>
      </c>
      <c r="G7" s="244">
        <f t="shared" si="0"/>
        <v>0.5129999999999999</v>
      </c>
      <c r="H7" s="381"/>
      <c r="I7" s="379"/>
    </row>
    <row r="8" spans="1:9">
      <c r="A8" s="379"/>
      <c r="B8" s="379"/>
      <c r="C8" s="379"/>
      <c r="D8" s="377" t="s">
        <v>307</v>
      </c>
      <c r="E8" s="244" t="s">
        <v>295</v>
      </c>
      <c r="F8" s="246">
        <v>33.5</v>
      </c>
      <c r="G8" s="244">
        <f t="shared" si="0"/>
        <v>0.66500000000000004</v>
      </c>
      <c r="H8" s="381"/>
      <c r="I8" s="379"/>
    </row>
    <row r="9" spans="1:9">
      <c r="A9" s="378"/>
      <c r="B9" s="378"/>
      <c r="C9" s="378"/>
      <c r="D9" s="378"/>
      <c r="E9" s="244" t="s">
        <v>297</v>
      </c>
      <c r="F9" s="246">
        <v>26.9</v>
      </c>
      <c r="G9" s="244">
        <f t="shared" si="0"/>
        <v>0.73100000000000009</v>
      </c>
      <c r="H9" s="381"/>
      <c r="I9" s="379"/>
    </row>
    <row r="10" spans="1:9">
      <c r="A10" s="377" t="s">
        <v>298</v>
      </c>
      <c r="B10" s="377" t="s">
        <v>308</v>
      </c>
      <c r="C10" s="377" t="s">
        <v>300</v>
      </c>
      <c r="D10" s="377" t="s">
        <v>309</v>
      </c>
      <c r="E10" s="244" t="s">
        <v>295</v>
      </c>
      <c r="F10" s="246">
        <v>62.9</v>
      </c>
      <c r="G10" s="244">
        <f t="shared" si="0"/>
        <v>0.371</v>
      </c>
      <c r="H10" s="381"/>
      <c r="I10" s="379"/>
    </row>
    <row r="11" spans="1:9">
      <c r="A11" s="379"/>
      <c r="B11" s="379"/>
      <c r="C11" s="379"/>
      <c r="D11" s="378"/>
      <c r="E11" s="244" t="s">
        <v>297</v>
      </c>
      <c r="F11" s="246">
        <v>54.7</v>
      </c>
      <c r="G11" s="244">
        <f t="shared" si="0"/>
        <v>0.45299999999999996</v>
      </c>
      <c r="H11" s="381"/>
      <c r="I11" s="379"/>
    </row>
    <row r="12" spans="1:9">
      <c r="A12" s="379"/>
      <c r="B12" s="379"/>
      <c r="C12" s="379"/>
      <c r="D12" s="377" t="s">
        <v>310</v>
      </c>
      <c r="E12" s="244" t="s">
        <v>295</v>
      </c>
      <c r="F12" s="246">
        <v>38.799999999999997</v>
      </c>
      <c r="G12" s="244">
        <f t="shared" si="0"/>
        <v>0.6120000000000001</v>
      </c>
      <c r="H12" s="381"/>
      <c r="I12" s="379"/>
    </row>
    <row r="13" spans="1:9">
      <c r="A13" s="378"/>
      <c r="B13" s="378"/>
      <c r="C13" s="378"/>
      <c r="D13" s="378"/>
      <c r="E13" s="244" t="s">
        <v>297</v>
      </c>
      <c r="F13" s="246">
        <v>32.799999999999997</v>
      </c>
      <c r="G13" s="244">
        <f t="shared" si="0"/>
        <v>0.67200000000000004</v>
      </c>
      <c r="H13" s="381"/>
      <c r="I13" s="379"/>
    </row>
    <row r="14" spans="1:9">
      <c r="A14" s="377" t="s">
        <v>298</v>
      </c>
      <c r="B14" s="377" t="s">
        <v>311</v>
      </c>
      <c r="C14" s="377" t="s">
        <v>300</v>
      </c>
      <c r="D14" s="377" t="s">
        <v>309</v>
      </c>
      <c r="E14" s="244" t="s">
        <v>295</v>
      </c>
      <c r="F14" s="246">
        <v>62</v>
      </c>
      <c r="G14" s="244">
        <f t="shared" si="0"/>
        <v>0.38</v>
      </c>
      <c r="H14" s="381"/>
      <c r="I14" s="379"/>
    </row>
    <row r="15" spans="1:9">
      <c r="A15" s="379"/>
      <c r="B15" s="379"/>
      <c r="C15" s="379"/>
      <c r="D15" s="378"/>
      <c r="E15" s="244" t="s">
        <v>297</v>
      </c>
      <c r="F15" s="246">
        <v>48.3</v>
      </c>
      <c r="G15" s="244">
        <f t="shared" si="0"/>
        <v>0.51700000000000002</v>
      </c>
      <c r="H15" s="381"/>
      <c r="I15" s="379"/>
    </row>
    <row r="16" spans="1:9">
      <c r="A16" s="379"/>
      <c r="B16" s="379"/>
      <c r="C16" s="379"/>
      <c r="D16" s="377" t="s">
        <v>310</v>
      </c>
      <c r="E16" s="244" t="s">
        <v>295</v>
      </c>
      <c r="F16" s="246">
        <v>47.3</v>
      </c>
      <c r="G16" s="244">
        <f t="shared" si="0"/>
        <v>0.52700000000000002</v>
      </c>
      <c r="H16" s="381"/>
      <c r="I16" s="379"/>
    </row>
    <row r="17" spans="1:9">
      <c r="A17" s="378"/>
      <c r="B17" s="378"/>
      <c r="C17" s="378"/>
      <c r="D17" s="378"/>
      <c r="E17" s="244" t="s">
        <v>297</v>
      </c>
      <c r="F17" s="246">
        <v>40.200000000000003</v>
      </c>
      <c r="G17" s="244">
        <f t="shared" si="0"/>
        <v>0.59799999999999998</v>
      </c>
      <c r="H17" s="382"/>
      <c r="I17" s="378"/>
    </row>
    <row r="18" spans="1:9">
      <c r="A18" s="383" t="s">
        <v>312</v>
      </c>
      <c r="B18" s="383" t="s">
        <v>313</v>
      </c>
      <c r="C18" s="386" t="s">
        <v>294</v>
      </c>
      <c r="D18" s="243" t="s">
        <v>309</v>
      </c>
      <c r="E18" s="244" t="s">
        <v>295</v>
      </c>
      <c r="F18" s="246">
        <v>35.299999999999997</v>
      </c>
      <c r="G18" s="244">
        <f>1-F18/100</f>
        <v>0.64700000000000002</v>
      </c>
      <c r="H18" s="225" t="s">
        <v>302</v>
      </c>
      <c r="I18" s="383" t="s">
        <v>303</v>
      </c>
    </row>
    <row r="19" spans="1:9">
      <c r="A19" s="383"/>
      <c r="B19" s="383"/>
      <c r="C19" s="386"/>
      <c r="D19" s="243" t="s">
        <v>310</v>
      </c>
      <c r="E19" s="244" t="s">
        <v>295</v>
      </c>
      <c r="F19" s="246">
        <v>22</v>
      </c>
      <c r="G19" s="244">
        <f>1-F19/100</f>
        <v>0.78</v>
      </c>
      <c r="H19" s="225" t="s">
        <v>302</v>
      </c>
      <c r="I19" s="383"/>
    </row>
    <row r="20" spans="1:9">
      <c r="A20" s="377" t="s">
        <v>312</v>
      </c>
      <c r="B20" s="377" t="s">
        <v>314</v>
      </c>
      <c r="C20" s="244" t="s">
        <v>315</v>
      </c>
      <c r="D20" s="243" t="s">
        <v>316</v>
      </c>
      <c r="E20" s="244" t="s">
        <v>297</v>
      </c>
      <c r="F20" s="246">
        <v>19</v>
      </c>
      <c r="G20" s="244">
        <f>1-F20/100</f>
        <v>0.81</v>
      </c>
      <c r="H20" s="226">
        <v>270</v>
      </c>
      <c r="I20" s="377" t="s">
        <v>317</v>
      </c>
    </row>
    <row r="21" spans="1:9">
      <c r="A21" s="379"/>
      <c r="B21" s="378"/>
      <c r="C21" s="244" t="s">
        <v>293</v>
      </c>
      <c r="D21" s="243" t="s">
        <v>316</v>
      </c>
      <c r="E21" s="244" t="s">
        <v>297</v>
      </c>
      <c r="F21" s="246">
        <v>33</v>
      </c>
      <c r="G21" s="244">
        <f>1-F21/100</f>
        <v>0.66999999999999993</v>
      </c>
      <c r="H21" s="226">
        <v>4648</v>
      </c>
      <c r="I21" s="379"/>
    </row>
    <row r="22" spans="1:9">
      <c r="A22" s="379"/>
      <c r="B22" s="377" t="s">
        <v>318</v>
      </c>
      <c r="C22" s="384" t="s">
        <v>315</v>
      </c>
      <c r="D22" s="243" t="s">
        <v>319</v>
      </c>
      <c r="E22" s="244" t="s">
        <v>297</v>
      </c>
      <c r="F22" s="246">
        <v>7</v>
      </c>
      <c r="G22" s="244">
        <f t="shared" ref="G22:G70" si="1">1-F22/100</f>
        <v>0.92999999999999994</v>
      </c>
      <c r="H22" s="227">
        <v>4644</v>
      </c>
      <c r="I22" s="379"/>
    </row>
    <row r="23" spans="1:9">
      <c r="A23" s="379"/>
      <c r="B23" s="379"/>
      <c r="C23" s="385"/>
      <c r="D23" s="243" t="s">
        <v>316</v>
      </c>
      <c r="E23" s="244" t="s">
        <v>297</v>
      </c>
      <c r="F23" s="246">
        <v>10</v>
      </c>
      <c r="G23" s="244">
        <f t="shared" si="1"/>
        <v>0.9</v>
      </c>
      <c r="H23" s="225">
        <v>262</v>
      </c>
      <c r="I23" s="379"/>
    </row>
    <row r="24" spans="1:9">
      <c r="A24" s="379"/>
      <c r="B24" s="379"/>
      <c r="C24" s="384" t="s">
        <v>293</v>
      </c>
      <c r="D24" s="243" t="s">
        <v>319</v>
      </c>
      <c r="E24" s="244" t="s">
        <v>297</v>
      </c>
      <c r="F24" s="246">
        <v>15</v>
      </c>
      <c r="G24" s="244">
        <f>1-F24/100</f>
        <v>0.85</v>
      </c>
      <c r="H24" s="225">
        <v>4643</v>
      </c>
      <c r="I24" s="379"/>
    </row>
    <row r="25" spans="1:9">
      <c r="A25" s="378"/>
      <c r="B25" s="378"/>
      <c r="C25" s="385"/>
      <c r="D25" s="243" t="s">
        <v>316</v>
      </c>
      <c r="E25" s="244" t="s">
        <v>297</v>
      </c>
      <c r="F25" s="246">
        <v>18</v>
      </c>
      <c r="G25" s="244">
        <f>1-F25/100</f>
        <v>0.82000000000000006</v>
      </c>
      <c r="H25" s="226">
        <v>4647</v>
      </c>
      <c r="I25" s="379"/>
    </row>
    <row r="26" spans="1:9">
      <c r="A26" s="377" t="s">
        <v>312</v>
      </c>
      <c r="B26" s="377" t="s">
        <v>320</v>
      </c>
      <c r="C26" s="244" t="s">
        <v>315</v>
      </c>
      <c r="D26" s="243" t="s">
        <v>316</v>
      </c>
      <c r="E26" s="244" t="s">
        <v>297</v>
      </c>
      <c r="F26" s="246">
        <v>47</v>
      </c>
      <c r="G26" s="244">
        <f>1-F26/100</f>
        <v>0.53</v>
      </c>
      <c r="H26" s="226">
        <v>269</v>
      </c>
      <c r="I26" s="379"/>
    </row>
    <row r="27" spans="1:9">
      <c r="A27" s="379"/>
      <c r="B27" s="378"/>
      <c r="C27" s="244" t="s">
        <v>293</v>
      </c>
      <c r="D27" s="243" t="s">
        <v>316</v>
      </c>
      <c r="E27" s="244" t="s">
        <v>297</v>
      </c>
      <c r="F27" s="246">
        <v>48</v>
      </c>
      <c r="G27" s="244">
        <f>1-F27/100</f>
        <v>0.52</v>
      </c>
      <c r="H27" s="225">
        <v>268</v>
      </c>
      <c r="I27" s="379"/>
    </row>
    <row r="28" spans="1:9">
      <c r="A28" s="379"/>
      <c r="B28" s="377" t="s">
        <v>321</v>
      </c>
      <c r="C28" s="384" t="s">
        <v>315</v>
      </c>
      <c r="D28" s="243" t="s">
        <v>319</v>
      </c>
      <c r="E28" s="244" t="s">
        <v>297</v>
      </c>
      <c r="F28" s="246">
        <v>33</v>
      </c>
      <c r="G28" s="244">
        <f t="shared" si="1"/>
        <v>0.66999999999999993</v>
      </c>
      <c r="H28" s="225">
        <v>254</v>
      </c>
      <c r="I28" s="379"/>
    </row>
    <row r="29" spans="1:9">
      <c r="A29" s="379"/>
      <c r="B29" s="379"/>
      <c r="C29" s="385"/>
      <c r="D29" s="243" t="s">
        <v>316</v>
      </c>
      <c r="E29" s="244" t="s">
        <v>297</v>
      </c>
      <c r="F29" s="246">
        <v>27</v>
      </c>
      <c r="G29" s="244">
        <f t="shared" si="1"/>
        <v>0.73</v>
      </c>
      <c r="H29" s="225">
        <v>261</v>
      </c>
      <c r="I29" s="379"/>
    </row>
    <row r="30" spans="1:9">
      <c r="A30" s="379"/>
      <c r="B30" s="379"/>
      <c r="C30" s="384" t="s">
        <v>293</v>
      </c>
      <c r="D30" s="243" t="s">
        <v>319</v>
      </c>
      <c r="E30" s="244" t="s">
        <v>297</v>
      </c>
      <c r="F30" s="246">
        <v>44</v>
      </c>
      <c r="G30" s="244">
        <f t="shared" si="1"/>
        <v>0.56000000000000005</v>
      </c>
      <c r="H30" s="226">
        <v>253</v>
      </c>
      <c r="I30" s="379"/>
    </row>
    <row r="31" spans="1:9">
      <c r="A31" s="378"/>
      <c r="B31" s="378"/>
      <c r="C31" s="385"/>
      <c r="D31" s="243" t="s">
        <v>316</v>
      </c>
      <c r="E31" s="244" t="s">
        <v>297</v>
      </c>
      <c r="F31" s="246">
        <v>28</v>
      </c>
      <c r="G31" s="244">
        <f t="shared" si="1"/>
        <v>0.72</v>
      </c>
      <c r="H31" s="226">
        <v>260</v>
      </c>
      <c r="I31" s="378"/>
    </row>
    <row r="32" spans="1:9">
      <c r="A32" s="377" t="s">
        <v>312</v>
      </c>
      <c r="B32" s="377" t="s">
        <v>322</v>
      </c>
      <c r="C32" s="377" t="s">
        <v>323</v>
      </c>
      <c r="D32" s="377" t="s">
        <v>316</v>
      </c>
      <c r="E32" s="244" t="s">
        <v>297</v>
      </c>
      <c r="F32" s="246">
        <v>33.799999999999997</v>
      </c>
      <c r="G32" s="244">
        <f>1-F32/100</f>
        <v>0.66200000000000003</v>
      </c>
      <c r="H32" s="377"/>
      <c r="I32" s="377" t="s">
        <v>324</v>
      </c>
    </row>
    <row r="33" spans="1:9">
      <c r="A33" s="379"/>
      <c r="B33" s="379"/>
      <c r="C33" s="379"/>
      <c r="D33" s="379"/>
      <c r="E33" s="244" t="s">
        <v>295</v>
      </c>
      <c r="F33" s="246">
        <v>35.6</v>
      </c>
      <c r="G33" s="244">
        <f>1-F33/100</f>
        <v>0.64399999999999991</v>
      </c>
      <c r="H33" s="379"/>
      <c r="I33" s="379"/>
    </row>
    <row r="34" spans="1:9" ht="30">
      <c r="A34" s="377" t="s">
        <v>325</v>
      </c>
      <c r="B34" s="228" t="s">
        <v>326</v>
      </c>
      <c r="C34" s="243" t="s">
        <v>327</v>
      </c>
      <c r="D34" s="243" t="s">
        <v>294</v>
      </c>
      <c r="E34" s="244" t="s">
        <v>297</v>
      </c>
      <c r="F34" s="246">
        <v>8</v>
      </c>
      <c r="G34" s="244">
        <f t="shared" si="1"/>
        <v>0.92</v>
      </c>
      <c r="H34" s="229">
        <v>290</v>
      </c>
      <c r="I34" s="377" t="s">
        <v>317</v>
      </c>
    </row>
    <row r="35" spans="1:9">
      <c r="A35" s="378"/>
      <c r="B35" s="230" t="s">
        <v>328</v>
      </c>
      <c r="C35" s="243" t="s">
        <v>327</v>
      </c>
      <c r="D35" s="243" t="s">
        <v>294</v>
      </c>
      <c r="E35" s="244" t="s">
        <v>297</v>
      </c>
      <c r="F35" s="246">
        <v>4</v>
      </c>
      <c r="G35" s="244">
        <f>1-F35/100</f>
        <v>0.96</v>
      </c>
      <c r="H35" s="229">
        <v>286</v>
      </c>
      <c r="I35" s="379"/>
    </row>
    <row r="36" spans="1:9" ht="30">
      <c r="A36" s="377" t="s">
        <v>325</v>
      </c>
      <c r="B36" s="228" t="s">
        <v>329</v>
      </c>
      <c r="C36" s="243" t="s">
        <v>327</v>
      </c>
      <c r="D36" s="243" t="s">
        <v>294</v>
      </c>
      <c r="E36" s="244" t="s">
        <v>297</v>
      </c>
      <c r="F36" s="246">
        <v>26</v>
      </c>
      <c r="G36" s="244">
        <f t="shared" si="1"/>
        <v>0.74</v>
      </c>
      <c r="H36" s="227">
        <v>289</v>
      </c>
      <c r="I36" s="379"/>
    </row>
    <row r="37" spans="1:9" ht="30">
      <c r="A37" s="378"/>
      <c r="B37" s="230" t="s">
        <v>330</v>
      </c>
      <c r="C37" s="243" t="s">
        <v>327</v>
      </c>
      <c r="D37" s="243" t="s">
        <v>294</v>
      </c>
      <c r="E37" s="244" t="s">
        <v>297</v>
      </c>
      <c r="F37" s="246">
        <v>14</v>
      </c>
      <c r="G37" s="244">
        <f t="shared" si="1"/>
        <v>0.86</v>
      </c>
      <c r="H37" s="227">
        <v>285</v>
      </c>
      <c r="I37" s="378"/>
    </row>
    <row r="38" spans="1:9">
      <c r="A38" s="383" t="s">
        <v>331</v>
      </c>
      <c r="B38" s="383" t="s">
        <v>332</v>
      </c>
      <c r="C38" s="386" t="s">
        <v>294</v>
      </c>
      <c r="D38" s="383" t="s">
        <v>294</v>
      </c>
      <c r="E38" s="244" t="s">
        <v>295</v>
      </c>
      <c r="F38" s="246">
        <v>36.4</v>
      </c>
      <c r="G38" s="244">
        <f t="shared" si="1"/>
        <v>0.63600000000000001</v>
      </c>
      <c r="H38" s="231">
        <v>4878</v>
      </c>
      <c r="I38" s="377" t="s">
        <v>333</v>
      </c>
    </row>
    <row r="39" spans="1:9">
      <c r="A39" s="383"/>
      <c r="B39" s="383"/>
      <c r="C39" s="386"/>
      <c r="D39" s="383"/>
      <c r="E39" s="244" t="s">
        <v>297</v>
      </c>
      <c r="F39" s="246">
        <v>-2.6</v>
      </c>
      <c r="G39" s="244">
        <f t="shared" si="1"/>
        <v>1.026</v>
      </c>
      <c r="H39" s="231">
        <v>4877</v>
      </c>
      <c r="I39" s="378"/>
    </row>
    <row r="40" spans="1:9">
      <c r="A40" s="383" t="s">
        <v>331</v>
      </c>
      <c r="B40" s="383" t="s">
        <v>334</v>
      </c>
      <c r="C40" s="386" t="s">
        <v>293</v>
      </c>
      <c r="D40" s="383" t="s">
        <v>294</v>
      </c>
      <c r="E40" s="244" t="s">
        <v>295</v>
      </c>
      <c r="F40" s="246">
        <v>87</v>
      </c>
      <c r="G40" s="244">
        <f t="shared" si="1"/>
        <v>0.13</v>
      </c>
      <c r="H40" s="231">
        <v>230</v>
      </c>
      <c r="I40" s="377" t="s">
        <v>335</v>
      </c>
    </row>
    <row r="41" spans="1:9">
      <c r="A41" s="383"/>
      <c r="B41" s="383"/>
      <c r="C41" s="386"/>
      <c r="D41" s="383"/>
      <c r="E41" s="244" t="s">
        <v>297</v>
      </c>
      <c r="F41" s="246">
        <v>71</v>
      </c>
      <c r="G41" s="244">
        <f t="shared" si="1"/>
        <v>0.29000000000000004</v>
      </c>
      <c r="H41" s="231">
        <v>229</v>
      </c>
      <c r="I41" s="379"/>
    </row>
    <row r="42" spans="1:9">
      <c r="A42" s="383"/>
      <c r="B42" s="383"/>
      <c r="C42" s="386" t="s">
        <v>336</v>
      </c>
      <c r="D42" s="383" t="s">
        <v>337</v>
      </c>
      <c r="E42" s="244" t="s">
        <v>295</v>
      </c>
      <c r="F42" s="246">
        <v>78</v>
      </c>
      <c r="G42" s="244">
        <f t="shared" si="1"/>
        <v>0.21999999999999997</v>
      </c>
      <c r="H42" s="224">
        <v>238</v>
      </c>
      <c r="I42" s="379"/>
    </row>
    <row r="43" spans="1:9">
      <c r="A43" s="383"/>
      <c r="B43" s="383"/>
      <c r="C43" s="386"/>
      <c r="D43" s="383"/>
      <c r="E43" s="244" t="s">
        <v>297</v>
      </c>
      <c r="F43" s="246">
        <v>78</v>
      </c>
      <c r="G43" s="244">
        <f t="shared" si="1"/>
        <v>0.21999999999999997</v>
      </c>
      <c r="H43" s="224">
        <v>239</v>
      </c>
      <c r="I43" s="379"/>
    </row>
    <row r="44" spans="1:9">
      <c r="A44" s="383"/>
      <c r="B44" s="383"/>
      <c r="C44" s="386" t="s">
        <v>336</v>
      </c>
      <c r="D44" s="383" t="s">
        <v>338</v>
      </c>
      <c r="E44" s="244" t="s">
        <v>295</v>
      </c>
      <c r="F44" s="246">
        <v>68</v>
      </c>
      <c r="G44" s="244">
        <f t="shared" si="1"/>
        <v>0.31999999999999995</v>
      </c>
      <c r="H44" s="224">
        <v>241</v>
      </c>
      <c r="I44" s="379"/>
    </row>
    <row r="45" spans="1:9">
      <c r="A45" s="383"/>
      <c r="B45" s="383"/>
      <c r="C45" s="386"/>
      <c r="D45" s="383"/>
      <c r="E45" s="244" t="s">
        <v>297</v>
      </c>
      <c r="F45" s="246">
        <v>19</v>
      </c>
      <c r="G45" s="244">
        <f t="shared" si="1"/>
        <v>0.81</v>
      </c>
      <c r="H45" s="224">
        <v>240</v>
      </c>
      <c r="I45" s="379"/>
    </row>
    <row r="46" spans="1:9">
      <c r="A46" s="383"/>
      <c r="B46" s="383"/>
      <c r="C46" s="386" t="s">
        <v>315</v>
      </c>
      <c r="D46" s="383" t="s">
        <v>337</v>
      </c>
      <c r="E46" s="244" t="s">
        <v>295</v>
      </c>
      <c r="F46" s="246">
        <v>78</v>
      </c>
      <c r="G46" s="244">
        <f t="shared" si="1"/>
        <v>0.21999999999999997</v>
      </c>
      <c r="H46" s="224">
        <v>234</v>
      </c>
      <c r="I46" s="379"/>
    </row>
    <row r="47" spans="1:9">
      <c r="A47" s="383"/>
      <c r="B47" s="383"/>
      <c r="C47" s="386"/>
      <c r="D47" s="383"/>
      <c r="E47" s="244" t="s">
        <v>297</v>
      </c>
      <c r="F47" s="246">
        <v>39</v>
      </c>
      <c r="G47" s="244">
        <f t="shared" si="1"/>
        <v>0.61</v>
      </c>
      <c r="H47" s="224">
        <v>233</v>
      </c>
      <c r="I47" s="378"/>
    </row>
    <row r="48" spans="1:9">
      <c r="A48" s="383" t="s">
        <v>331</v>
      </c>
      <c r="B48" s="383" t="s">
        <v>339</v>
      </c>
      <c r="C48" s="386" t="s">
        <v>294</v>
      </c>
      <c r="D48" s="383" t="s">
        <v>337</v>
      </c>
      <c r="E48" s="244" t="s">
        <v>295</v>
      </c>
      <c r="F48" s="246">
        <v>54.9</v>
      </c>
      <c r="G48" s="244">
        <f t="shared" si="1"/>
        <v>0.45100000000000007</v>
      </c>
      <c r="H48" s="224">
        <v>4257</v>
      </c>
      <c r="I48" s="377" t="s">
        <v>340</v>
      </c>
    </row>
    <row r="49" spans="1:9">
      <c r="A49" s="383"/>
      <c r="B49" s="383"/>
      <c r="C49" s="386"/>
      <c r="D49" s="383"/>
      <c r="E49" s="244" t="s">
        <v>297</v>
      </c>
      <c r="F49" s="246">
        <v>26.5</v>
      </c>
      <c r="G49" s="244">
        <f t="shared" si="1"/>
        <v>0.73499999999999999</v>
      </c>
      <c r="H49" s="224">
        <v>4256</v>
      </c>
      <c r="I49" s="379"/>
    </row>
    <row r="50" spans="1:9">
      <c r="A50" s="383"/>
      <c r="B50" s="383"/>
      <c r="C50" s="386" t="s">
        <v>294</v>
      </c>
      <c r="D50" s="383" t="s">
        <v>338</v>
      </c>
      <c r="E50" s="244" t="s">
        <v>295</v>
      </c>
      <c r="F50" s="246">
        <v>71.2</v>
      </c>
      <c r="G50" s="244">
        <f t="shared" si="1"/>
        <v>0.28799999999999992</v>
      </c>
      <c r="H50" s="224">
        <v>4255</v>
      </c>
      <c r="I50" s="379"/>
    </row>
    <row r="51" spans="1:9">
      <c r="A51" s="383"/>
      <c r="B51" s="383"/>
      <c r="C51" s="386"/>
      <c r="D51" s="383"/>
      <c r="E51" s="244" t="s">
        <v>297</v>
      </c>
      <c r="F51" s="246">
        <v>19.100000000000001</v>
      </c>
      <c r="G51" s="244">
        <f t="shared" si="1"/>
        <v>0.80899999999999994</v>
      </c>
      <c r="H51" s="224">
        <v>4254</v>
      </c>
      <c r="I51" s="379"/>
    </row>
    <row r="52" spans="1:9">
      <c r="A52" s="383" t="s">
        <v>331</v>
      </c>
      <c r="B52" s="383" t="s">
        <v>341</v>
      </c>
      <c r="C52" s="386" t="s">
        <v>294</v>
      </c>
      <c r="D52" s="383" t="s">
        <v>294</v>
      </c>
      <c r="E52" s="244" t="s">
        <v>295</v>
      </c>
      <c r="F52" s="246">
        <v>64.900000000000006</v>
      </c>
      <c r="G52" s="244">
        <f t="shared" si="1"/>
        <v>0.35099999999999998</v>
      </c>
      <c r="H52" s="224">
        <v>11130</v>
      </c>
      <c r="I52" s="377" t="s">
        <v>342</v>
      </c>
    </row>
    <row r="53" spans="1:9">
      <c r="A53" s="383"/>
      <c r="B53" s="383"/>
      <c r="C53" s="386"/>
      <c r="D53" s="383"/>
      <c r="E53" s="244" t="s">
        <v>297</v>
      </c>
      <c r="F53" s="246">
        <v>39.6</v>
      </c>
      <c r="G53" s="244">
        <f t="shared" si="1"/>
        <v>0.60399999999999998</v>
      </c>
      <c r="H53" s="224">
        <v>11132</v>
      </c>
      <c r="I53" s="379"/>
    </row>
    <row r="54" spans="1:9">
      <c r="A54" s="383" t="s">
        <v>331</v>
      </c>
      <c r="B54" s="383" t="s">
        <v>343</v>
      </c>
      <c r="C54" s="386" t="s">
        <v>294</v>
      </c>
      <c r="D54" s="383" t="s">
        <v>294</v>
      </c>
      <c r="E54" s="244" t="s">
        <v>295</v>
      </c>
      <c r="F54" s="246">
        <v>40.6</v>
      </c>
      <c r="G54" s="244">
        <f t="shared" si="1"/>
        <v>0.59399999999999997</v>
      </c>
      <c r="H54" s="224">
        <v>11146</v>
      </c>
      <c r="I54" s="379"/>
    </row>
    <row r="55" spans="1:9">
      <c r="A55" s="383"/>
      <c r="B55" s="383"/>
      <c r="C55" s="386"/>
      <c r="D55" s="383"/>
      <c r="E55" s="244" t="s">
        <v>297</v>
      </c>
      <c r="F55" s="246">
        <v>4.5999999999999996</v>
      </c>
      <c r="G55" s="244">
        <f t="shared" si="1"/>
        <v>0.95399999999999996</v>
      </c>
      <c r="H55" s="224">
        <v>11166</v>
      </c>
      <c r="I55" s="378"/>
    </row>
    <row r="56" spans="1:9">
      <c r="A56" s="383" t="s">
        <v>331</v>
      </c>
      <c r="B56" s="383" t="s">
        <v>344</v>
      </c>
      <c r="C56" s="386" t="s">
        <v>315</v>
      </c>
      <c r="D56" s="383" t="s">
        <v>345</v>
      </c>
      <c r="E56" s="244" t="s">
        <v>295</v>
      </c>
      <c r="F56" s="246">
        <v>84</v>
      </c>
      <c r="G56" s="244">
        <f t="shared" si="1"/>
        <v>0.16000000000000003</v>
      </c>
      <c r="H56" s="383"/>
      <c r="I56" s="377" t="s">
        <v>346</v>
      </c>
    </row>
    <row r="57" spans="1:9">
      <c r="A57" s="383"/>
      <c r="B57" s="383"/>
      <c r="C57" s="386"/>
      <c r="D57" s="383"/>
      <c r="E57" s="244" t="s">
        <v>297</v>
      </c>
      <c r="F57" s="246">
        <v>64</v>
      </c>
      <c r="G57" s="244">
        <f t="shared" si="1"/>
        <v>0.36</v>
      </c>
      <c r="H57" s="383"/>
      <c r="I57" s="378"/>
    </row>
    <row r="58" spans="1:9">
      <c r="A58" s="383" t="s">
        <v>347</v>
      </c>
      <c r="B58" s="377" t="s">
        <v>348</v>
      </c>
      <c r="C58" s="384" t="s">
        <v>293</v>
      </c>
      <c r="D58" s="377" t="s">
        <v>349</v>
      </c>
      <c r="E58" s="244" t="s">
        <v>297</v>
      </c>
      <c r="F58" s="246">
        <v>73.7</v>
      </c>
      <c r="G58" s="244">
        <f t="shared" si="1"/>
        <v>0.26300000000000001</v>
      </c>
      <c r="H58" s="243"/>
      <c r="I58" s="377" t="s">
        <v>350</v>
      </c>
    </row>
    <row r="59" spans="1:9">
      <c r="A59" s="383"/>
      <c r="B59" s="378"/>
      <c r="C59" s="385"/>
      <c r="D59" s="378"/>
      <c r="E59" s="244" t="s">
        <v>295</v>
      </c>
      <c r="F59" s="246">
        <v>85.2</v>
      </c>
      <c r="G59" s="244">
        <f t="shared" si="1"/>
        <v>0.14800000000000002</v>
      </c>
      <c r="H59" s="243"/>
      <c r="I59" s="378"/>
    </row>
    <row r="60" spans="1:9">
      <c r="A60" s="383" t="s">
        <v>351</v>
      </c>
      <c r="B60" s="383" t="s">
        <v>352</v>
      </c>
      <c r="C60" s="386" t="s">
        <v>294</v>
      </c>
      <c r="D60" s="383" t="s">
        <v>294</v>
      </c>
      <c r="E60" s="244" t="s">
        <v>295</v>
      </c>
      <c r="F60" s="246">
        <v>37</v>
      </c>
      <c r="G60" s="244">
        <f t="shared" si="1"/>
        <v>0.63</v>
      </c>
      <c r="H60" s="224"/>
      <c r="I60" s="377" t="s">
        <v>353</v>
      </c>
    </row>
    <row r="61" spans="1:9">
      <c r="A61" s="383"/>
      <c r="B61" s="383"/>
      <c r="C61" s="386"/>
      <c r="D61" s="383"/>
      <c r="E61" s="244" t="s">
        <v>297</v>
      </c>
      <c r="F61" s="246">
        <v>29</v>
      </c>
      <c r="G61" s="244">
        <f t="shared" si="1"/>
        <v>0.71</v>
      </c>
      <c r="H61" s="224"/>
      <c r="I61" s="378"/>
    </row>
    <row r="62" spans="1:9">
      <c r="A62" s="383" t="s">
        <v>354</v>
      </c>
      <c r="B62" s="383" t="s">
        <v>355</v>
      </c>
      <c r="C62" s="386" t="s">
        <v>294</v>
      </c>
      <c r="D62" s="383" t="s">
        <v>294</v>
      </c>
      <c r="E62" s="244" t="s">
        <v>295</v>
      </c>
      <c r="F62" s="246">
        <v>31</v>
      </c>
      <c r="G62" s="244">
        <f t="shared" si="1"/>
        <v>0.69</v>
      </c>
      <c r="H62" s="383"/>
      <c r="I62" s="377" t="s">
        <v>356</v>
      </c>
    </row>
    <row r="63" spans="1:9">
      <c r="A63" s="383"/>
      <c r="B63" s="383"/>
      <c r="C63" s="386"/>
      <c r="D63" s="383"/>
      <c r="E63" s="244" t="s">
        <v>297</v>
      </c>
      <c r="F63" s="246">
        <v>32</v>
      </c>
      <c r="G63" s="244">
        <f t="shared" si="1"/>
        <v>0.67999999999999994</v>
      </c>
      <c r="H63" s="383"/>
      <c r="I63" s="378"/>
    </row>
    <row r="64" spans="1:9">
      <c r="A64" s="377" t="s">
        <v>357</v>
      </c>
      <c r="B64" s="377" t="s">
        <v>358</v>
      </c>
      <c r="C64" s="244" t="s">
        <v>294</v>
      </c>
      <c r="D64" s="243" t="s">
        <v>294</v>
      </c>
      <c r="E64" s="244" t="s">
        <v>295</v>
      </c>
      <c r="F64" s="246">
        <v>44.2</v>
      </c>
      <c r="G64" s="244">
        <f t="shared" si="1"/>
        <v>0.55800000000000005</v>
      </c>
      <c r="H64" s="224">
        <v>10762</v>
      </c>
      <c r="I64" s="377" t="s">
        <v>359</v>
      </c>
    </row>
    <row r="65" spans="1:9">
      <c r="A65" s="378"/>
      <c r="B65" s="378"/>
      <c r="C65" s="244" t="s">
        <v>294</v>
      </c>
      <c r="D65" s="243" t="s">
        <v>294</v>
      </c>
      <c r="E65" s="244" t="s">
        <v>297</v>
      </c>
      <c r="F65" s="246">
        <v>14.2</v>
      </c>
      <c r="G65" s="244">
        <f t="shared" si="1"/>
        <v>0.85799999999999998</v>
      </c>
      <c r="H65" s="224">
        <v>10761</v>
      </c>
      <c r="I65" s="378"/>
    </row>
    <row r="66" spans="1:9">
      <c r="A66" s="377" t="s">
        <v>360</v>
      </c>
      <c r="B66" s="377" t="s">
        <v>361</v>
      </c>
      <c r="C66" s="244" t="s">
        <v>294</v>
      </c>
      <c r="D66" s="243" t="s">
        <v>362</v>
      </c>
      <c r="E66" s="244" t="s">
        <v>295</v>
      </c>
      <c r="F66" s="246">
        <v>20.3</v>
      </c>
      <c r="G66" s="244">
        <f t="shared" si="1"/>
        <v>0.79699999999999993</v>
      </c>
      <c r="H66" s="224">
        <v>11620</v>
      </c>
      <c r="I66" s="377" t="s">
        <v>363</v>
      </c>
    </row>
    <row r="67" spans="1:9">
      <c r="A67" s="379"/>
      <c r="B67" s="379"/>
      <c r="C67" s="244" t="s">
        <v>294</v>
      </c>
      <c r="D67" s="243" t="s">
        <v>362</v>
      </c>
      <c r="E67" s="244" t="s">
        <v>297</v>
      </c>
      <c r="F67" s="246">
        <v>14.1</v>
      </c>
      <c r="G67" s="244">
        <f t="shared" si="1"/>
        <v>0.85899999999999999</v>
      </c>
      <c r="H67" s="224">
        <v>11619</v>
      </c>
      <c r="I67" s="379"/>
    </row>
    <row r="68" spans="1:9">
      <c r="A68" s="379"/>
      <c r="B68" s="379"/>
      <c r="C68" s="244" t="s">
        <v>294</v>
      </c>
      <c r="D68" s="243" t="s">
        <v>364</v>
      </c>
      <c r="E68" s="244" t="s">
        <v>295</v>
      </c>
      <c r="F68" s="246">
        <v>28.3</v>
      </c>
      <c r="G68" s="244">
        <f t="shared" si="1"/>
        <v>0.71699999999999997</v>
      </c>
      <c r="H68" s="224">
        <v>11625</v>
      </c>
      <c r="I68" s="379"/>
    </row>
    <row r="69" spans="1:9">
      <c r="A69" s="379"/>
      <c r="B69" s="378"/>
      <c r="C69" s="244" t="s">
        <v>294</v>
      </c>
      <c r="D69" s="243" t="s">
        <v>364</v>
      </c>
      <c r="E69" s="244" t="s">
        <v>297</v>
      </c>
      <c r="F69" s="246">
        <v>32.6</v>
      </c>
      <c r="G69" s="244">
        <f t="shared" si="1"/>
        <v>0.67399999999999993</v>
      </c>
      <c r="H69" s="224">
        <v>11624</v>
      </c>
      <c r="I69" s="379"/>
    </row>
    <row r="70" spans="1:9">
      <c r="A70" s="379"/>
      <c r="B70" s="377" t="s">
        <v>365</v>
      </c>
      <c r="C70" s="244" t="s">
        <v>294</v>
      </c>
      <c r="D70" s="243" t="s">
        <v>366</v>
      </c>
      <c r="E70" s="244" t="s">
        <v>295</v>
      </c>
      <c r="F70" s="246">
        <v>-2.9</v>
      </c>
      <c r="G70" s="244">
        <f t="shared" si="1"/>
        <v>1.0289999999999999</v>
      </c>
      <c r="H70" s="224">
        <v>11595</v>
      </c>
      <c r="I70" s="379"/>
    </row>
    <row r="71" spans="1:9">
      <c r="A71" s="378"/>
      <c r="B71" s="378"/>
      <c r="C71" s="244" t="s">
        <v>294</v>
      </c>
      <c r="D71" s="243" t="s">
        <v>366</v>
      </c>
      <c r="E71" s="244" t="s">
        <v>297</v>
      </c>
      <c r="F71" s="246">
        <v>-15.6</v>
      </c>
      <c r="G71" s="244">
        <f>1-F71/100</f>
        <v>1.1559999999999999</v>
      </c>
      <c r="H71" s="224">
        <v>11594</v>
      </c>
      <c r="I71" s="378"/>
    </row>
    <row r="72" spans="1:9">
      <c r="A72" s="377" t="s">
        <v>367</v>
      </c>
      <c r="B72" s="377" t="s">
        <v>368</v>
      </c>
      <c r="C72" s="244" t="s">
        <v>293</v>
      </c>
      <c r="D72" s="243" t="s">
        <v>369</v>
      </c>
      <c r="E72" s="244" t="s">
        <v>297</v>
      </c>
      <c r="F72" s="387" t="e" vm="1">
        <v>#VALUE!</v>
      </c>
      <c r="G72" s="387"/>
      <c r="H72" s="231">
        <v>11273</v>
      </c>
      <c r="I72" s="380" t="s">
        <v>370</v>
      </c>
    </row>
    <row r="73" spans="1:9">
      <c r="A73" s="379"/>
      <c r="B73" s="378"/>
      <c r="C73" s="244" t="s">
        <v>293</v>
      </c>
      <c r="D73" s="243" t="s">
        <v>371</v>
      </c>
      <c r="E73" s="244" t="s">
        <v>297</v>
      </c>
      <c r="F73" s="387" t="e" vm="2">
        <v>#VALUE!</v>
      </c>
      <c r="G73" s="387"/>
      <c r="H73" s="231">
        <v>11275</v>
      </c>
      <c r="I73" s="381"/>
    </row>
    <row r="74" spans="1:9" ht="30">
      <c r="A74" s="379"/>
      <c r="B74" s="243" t="s">
        <v>372</v>
      </c>
      <c r="C74" s="244" t="s">
        <v>293</v>
      </c>
      <c r="D74" s="243" t="s">
        <v>369</v>
      </c>
      <c r="E74" s="244" t="s">
        <v>297</v>
      </c>
      <c r="F74" s="246">
        <v>18</v>
      </c>
      <c r="G74" s="244">
        <f t="shared" ref="G74:G75" si="2">1-F74/100</f>
        <v>0.82000000000000006</v>
      </c>
      <c r="H74" s="231">
        <v>11277</v>
      </c>
      <c r="I74" s="381"/>
    </row>
    <row r="75" spans="1:9" ht="30">
      <c r="A75" s="379"/>
      <c r="B75" s="243" t="s">
        <v>373</v>
      </c>
      <c r="C75" s="244" t="s">
        <v>293</v>
      </c>
      <c r="D75" s="243" t="s">
        <v>369</v>
      </c>
      <c r="E75" s="244" t="s">
        <v>297</v>
      </c>
      <c r="F75" s="246">
        <v>23</v>
      </c>
      <c r="G75" s="244">
        <f t="shared" si="2"/>
        <v>0.77</v>
      </c>
      <c r="H75" s="231">
        <v>11278</v>
      </c>
      <c r="I75" s="381"/>
    </row>
    <row r="76" spans="1:9" ht="30">
      <c r="A76" s="378"/>
      <c r="B76" s="243" t="s">
        <v>374</v>
      </c>
      <c r="C76" s="244" t="s">
        <v>293</v>
      </c>
      <c r="D76" s="243" t="s">
        <v>371</v>
      </c>
      <c r="E76" s="244" t="s">
        <v>297</v>
      </c>
      <c r="F76" s="246">
        <v>38.6</v>
      </c>
      <c r="G76" s="244">
        <f>1-F76/100</f>
        <v>0.61399999999999999</v>
      </c>
      <c r="H76" s="231">
        <v>11279</v>
      </c>
      <c r="I76" s="382"/>
    </row>
    <row r="77" spans="1:9" ht="45">
      <c r="A77" s="243" t="s">
        <v>375</v>
      </c>
      <c r="B77" s="243" t="s">
        <v>376</v>
      </c>
      <c r="C77" s="243" t="s">
        <v>377</v>
      </c>
      <c r="D77" s="243" t="s">
        <v>378</v>
      </c>
      <c r="E77" s="247" t="s">
        <v>297</v>
      </c>
      <c r="F77" s="232">
        <v>29.9</v>
      </c>
      <c r="G77" s="233">
        <v>0.70099999999999996</v>
      </c>
      <c r="H77" s="224">
        <v>10375</v>
      </c>
      <c r="I77" s="245" t="s">
        <v>379</v>
      </c>
    </row>
    <row r="78" spans="1:9">
      <c r="A78" s="377" t="s">
        <v>375</v>
      </c>
      <c r="B78" s="377" t="s">
        <v>380</v>
      </c>
      <c r="C78" s="377" t="s">
        <v>294</v>
      </c>
      <c r="D78" s="377" t="s">
        <v>381</v>
      </c>
      <c r="E78" s="247" t="s">
        <v>295</v>
      </c>
      <c r="F78" s="232">
        <v>26.1</v>
      </c>
      <c r="G78" s="233">
        <v>0.73899999999999999</v>
      </c>
      <c r="H78" s="224">
        <v>2341</v>
      </c>
      <c r="I78" s="380" t="s">
        <v>382</v>
      </c>
    </row>
    <row r="79" spans="1:9">
      <c r="A79" s="378"/>
      <c r="B79" s="378"/>
      <c r="C79" s="378"/>
      <c r="D79" s="378"/>
      <c r="E79" s="247" t="s">
        <v>297</v>
      </c>
      <c r="F79" s="232">
        <v>20.3</v>
      </c>
      <c r="G79" s="233">
        <v>0.79700000000000004</v>
      </c>
      <c r="H79" s="224">
        <v>2346</v>
      </c>
      <c r="I79" s="382"/>
    </row>
    <row r="80" spans="1:9">
      <c r="A80" s="377" t="s">
        <v>375</v>
      </c>
      <c r="B80" s="377" t="s">
        <v>383</v>
      </c>
      <c r="C80" s="377" t="s">
        <v>315</v>
      </c>
      <c r="D80" s="377" t="s">
        <v>378</v>
      </c>
      <c r="E80" s="247" t="s">
        <v>295</v>
      </c>
      <c r="F80" s="232">
        <v>37</v>
      </c>
      <c r="G80" s="233">
        <v>0.63</v>
      </c>
      <c r="H80" s="224">
        <v>7828</v>
      </c>
      <c r="I80" s="380" t="s">
        <v>384</v>
      </c>
    </row>
    <row r="81" spans="1:9">
      <c r="A81" s="378"/>
      <c r="B81" s="378"/>
      <c r="C81" s="378"/>
      <c r="D81" s="378"/>
      <c r="E81" s="247" t="s">
        <v>297</v>
      </c>
      <c r="F81" s="232">
        <v>44</v>
      </c>
      <c r="G81" s="233">
        <v>0.56000000000000005</v>
      </c>
      <c r="H81" s="224">
        <v>7829</v>
      </c>
      <c r="I81" s="382"/>
    </row>
    <row r="82" spans="1:9">
      <c r="A82" s="383" t="s">
        <v>375</v>
      </c>
      <c r="B82" s="383" t="s">
        <v>385</v>
      </c>
      <c r="C82" s="386" t="s">
        <v>315</v>
      </c>
      <c r="D82" s="383" t="s">
        <v>386</v>
      </c>
      <c r="E82" s="244" t="s">
        <v>297</v>
      </c>
      <c r="F82" s="246">
        <v>23</v>
      </c>
      <c r="G82" s="244">
        <f>1-F82/100</f>
        <v>0.77</v>
      </c>
      <c r="H82" s="224">
        <v>2514</v>
      </c>
      <c r="I82" s="377" t="s">
        <v>387</v>
      </c>
    </row>
    <row r="83" spans="1:9">
      <c r="A83" s="383"/>
      <c r="B83" s="383"/>
      <c r="C83" s="386"/>
      <c r="D83" s="383"/>
      <c r="E83" s="244" t="s">
        <v>295</v>
      </c>
      <c r="F83" s="246">
        <v>21</v>
      </c>
      <c r="G83" s="244">
        <f>1-F83/100</f>
        <v>0.79</v>
      </c>
      <c r="H83" s="224">
        <v>2519</v>
      </c>
      <c r="I83" s="378"/>
    </row>
    <row r="84" spans="1:9">
      <c r="A84" s="383" t="s">
        <v>375</v>
      </c>
      <c r="B84" s="383" t="s">
        <v>388</v>
      </c>
      <c r="C84" s="386" t="s">
        <v>293</v>
      </c>
      <c r="D84" s="243" t="s">
        <v>381</v>
      </c>
      <c r="E84" s="244" t="s">
        <v>297</v>
      </c>
      <c r="F84" s="246">
        <v>2.2999999999999998</v>
      </c>
      <c r="G84" s="244">
        <f t="shared" ref="G84:G93" si="3">1-F84/100</f>
        <v>0.97699999999999998</v>
      </c>
      <c r="H84" s="383"/>
      <c r="I84" s="383" t="s">
        <v>389</v>
      </c>
    </row>
    <row r="85" spans="1:9">
      <c r="A85" s="383"/>
      <c r="B85" s="383"/>
      <c r="C85" s="386"/>
      <c r="D85" s="243" t="s">
        <v>378</v>
      </c>
      <c r="E85" s="244" t="s">
        <v>297</v>
      </c>
      <c r="F85" s="246">
        <v>0.4</v>
      </c>
      <c r="G85" s="244">
        <f t="shared" si="3"/>
        <v>0.996</v>
      </c>
      <c r="H85" s="383"/>
      <c r="I85" s="383"/>
    </row>
    <row r="86" spans="1:9">
      <c r="A86" s="383"/>
      <c r="B86" s="383" t="s">
        <v>390</v>
      </c>
      <c r="C86" s="386" t="s">
        <v>293</v>
      </c>
      <c r="D86" s="243" t="s">
        <v>381</v>
      </c>
      <c r="E86" s="244" t="s">
        <v>297</v>
      </c>
      <c r="F86" s="246">
        <v>4.5</v>
      </c>
      <c r="G86" s="244">
        <f t="shared" si="3"/>
        <v>0.95499999999999996</v>
      </c>
      <c r="H86" s="383"/>
      <c r="I86" s="383"/>
    </row>
    <row r="87" spans="1:9">
      <c r="A87" s="383"/>
      <c r="B87" s="383"/>
      <c r="C87" s="386"/>
      <c r="D87" s="243" t="s">
        <v>378</v>
      </c>
      <c r="E87" s="244" t="s">
        <v>297</v>
      </c>
      <c r="F87" s="246">
        <v>0.7</v>
      </c>
      <c r="G87" s="244">
        <f t="shared" si="3"/>
        <v>0.99299999999999999</v>
      </c>
      <c r="H87" s="383"/>
      <c r="I87" s="383"/>
    </row>
    <row r="88" spans="1:9">
      <c r="A88" s="383"/>
      <c r="B88" s="383" t="s">
        <v>391</v>
      </c>
      <c r="C88" s="386" t="s">
        <v>293</v>
      </c>
      <c r="D88" s="243" t="s">
        <v>381</v>
      </c>
      <c r="E88" s="244" t="s">
        <v>297</v>
      </c>
      <c r="F88" s="246">
        <v>6.7</v>
      </c>
      <c r="G88" s="244">
        <f t="shared" si="3"/>
        <v>0.93300000000000005</v>
      </c>
      <c r="H88" s="383"/>
      <c r="I88" s="383"/>
    </row>
    <row r="89" spans="1:9">
      <c r="A89" s="383"/>
      <c r="B89" s="383"/>
      <c r="C89" s="386"/>
      <c r="D89" s="243" t="s">
        <v>378</v>
      </c>
      <c r="E89" s="244" t="s">
        <v>297</v>
      </c>
      <c r="F89" s="246">
        <v>1.1000000000000001</v>
      </c>
      <c r="G89" s="244">
        <f t="shared" si="3"/>
        <v>0.98899999999999999</v>
      </c>
      <c r="H89" s="383"/>
      <c r="I89" s="383"/>
    </row>
    <row r="90" spans="1:9">
      <c r="A90" s="383" t="s">
        <v>375</v>
      </c>
      <c r="B90" s="383" t="s">
        <v>392</v>
      </c>
      <c r="C90" s="386" t="s">
        <v>315</v>
      </c>
      <c r="D90" s="383" t="s">
        <v>393</v>
      </c>
      <c r="E90" s="244" t="s">
        <v>295</v>
      </c>
      <c r="F90" s="246">
        <v>2.9</v>
      </c>
      <c r="G90" s="244">
        <f>1-F90/100</f>
        <v>0.97099999999999997</v>
      </c>
      <c r="H90" s="383"/>
      <c r="I90" s="377" t="s">
        <v>394</v>
      </c>
    </row>
    <row r="91" spans="1:9">
      <c r="A91" s="383"/>
      <c r="B91" s="383"/>
      <c r="C91" s="386"/>
      <c r="D91" s="383"/>
      <c r="E91" s="244" t="s">
        <v>297</v>
      </c>
      <c r="F91" s="246">
        <v>4.7</v>
      </c>
      <c r="G91" s="244">
        <f t="shared" si="3"/>
        <v>0.95299999999999996</v>
      </c>
      <c r="H91" s="383"/>
      <c r="I91" s="379"/>
    </row>
    <row r="92" spans="1:9">
      <c r="A92" s="383"/>
      <c r="B92" s="383"/>
      <c r="C92" s="386"/>
      <c r="D92" s="383" t="s">
        <v>395</v>
      </c>
      <c r="E92" s="244" t="s">
        <v>295</v>
      </c>
      <c r="F92" s="246">
        <v>1.3</v>
      </c>
      <c r="G92" s="244">
        <f>1-F92/100</f>
        <v>0.98699999999999999</v>
      </c>
      <c r="H92" s="383"/>
      <c r="I92" s="379"/>
    </row>
    <row r="93" spans="1:9">
      <c r="A93" s="383"/>
      <c r="B93" s="383"/>
      <c r="C93" s="386"/>
      <c r="D93" s="383"/>
      <c r="E93" s="244" t="s">
        <v>297</v>
      </c>
      <c r="F93" s="246">
        <v>4.4000000000000004</v>
      </c>
      <c r="G93" s="244">
        <f t="shared" si="3"/>
        <v>0.95599999999999996</v>
      </c>
      <c r="H93" s="383"/>
      <c r="I93" s="379"/>
    </row>
    <row r="94" spans="1:9">
      <c r="A94" s="383" t="s">
        <v>375</v>
      </c>
      <c r="B94" s="383" t="s">
        <v>396</v>
      </c>
      <c r="C94" s="386" t="s">
        <v>315</v>
      </c>
      <c r="D94" s="383" t="s">
        <v>393</v>
      </c>
      <c r="E94" s="244" t="s">
        <v>295</v>
      </c>
      <c r="F94" s="246">
        <v>5.7</v>
      </c>
      <c r="G94" s="244">
        <f>1-F94/100</f>
        <v>0.94299999999999995</v>
      </c>
      <c r="H94" s="383"/>
      <c r="I94" s="379"/>
    </row>
    <row r="95" spans="1:9">
      <c r="A95" s="383"/>
      <c r="B95" s="383"/>
      <c r="C95" s="386"/>
      <c r="D95" s="383"/>
      <c r="E95" s="244" t="s">
        <v>297</v>
      </c>
      <c r="F95" s="246">
        <v>9.1999999999999993</v>
      </c>
      <c r="G95" s="244">
        <f t="shared" ref="G95:G101" si="4">1-F95/100</f>
        <v>0.90800000000000003</v>
      </c>
      <c r="H95" s="383"/>
      <c r="I95" s="379"/>
    </row>
    <row r="96" spans="1:9">
      <c r="A96" s="383"/>
      <c r="B96" s="383"/>
      <c r="C96" s="386"/>
      <c r="D96" s="383" t="s">
        <v>395</v>
      </c>
      <c r="E96" s="244" t="s">
        <v>295</v>
      </c>
      <c r="F96" s="246">
        <v>2.6</v>
      </c>
      <c r="G96" s="244">
        <f>1-F96/100</f>
        <v>0.97399999999999998</v>
      </c>
      <c r="H96" s="383"/>
      <c r="I96" s="379"/>
    </row>
    <row r="97" spans="1:9">
      <c r="A97" s="383"/>
      <c r="B97" s="383"/>
      <c r="C97" s="386"/>
      <c r="D97" s="383"/>
      <c r="E97" s="244" t="s">
        <v>297</v>
      </c>
      <c r="F97" s="246">
        <v>8.6</v>
      </c>
      <c r="G97" s="244">
        <f t="shared" si="4"/>
        <v>0.91400000000000003</v>
      </c>
      <c r="H97" s="383"/>
      <c r="I97" s="379"/>
    </row>
    <row r="98" spans="1:9">
      <c r="A98" s="383" t="s">
        <v>375</v>
      </c>
      <c r="B98" s="383" t="s">
        <v>397</v>
      </c>
      <c r="C98" s="386" t="s">
        <v>315</v>
      </c>
      <c r="D98" s="383" t="s">
        <v>393</v>
      </c>
      <c r="E98" s="244" t="s">
        <v>295</v>
      </c>
      <c r="F98" s="246">
        <v>8.5</v>
      </c>
      <c r="G98" s="244">
        <f>1-F98/100</f>
        <v>0.91500000000000004</v>
      </c>
      <c r="H98" s="383"/>
      <c r="I98" s="379"/>
    </row>
    <row r="99" spans="1:9">
      <c r="A99" s="383"/>
      <c r="B99" s="383"/>
      <c r="C99" s="386"/>
      <c r="D99" s="383"/>
      <c r="E99" s="244" t="s">
        <v>297</v>
      </c>
      <c r="F99" s="246">
        <v>13.4</v>
      </c>
      <c r="G99" s="244">
        <f t="shared" si="4"/>
        <v>0.86599999999999999</v>
      </c>
      <c r="H99" s="383"/>
      <c r="I99" s="379"/>
    </row>
    <row r="100" spans="1:9">
      <c r="A100" s="383"/>
      <c r="B100" s="383"/>
      <c r="C100" s="386"/>
      <c r="D100" s="383" t="s">
        <v>395</v>
      </c>
      <c r="E100" s="244" t="s">
        <v>295</v>
      </c>
      <c r="F100" s="246">
        <v>3.8</v>
      </c>
      <c r="G100" s="244">
        <f>1-F100/100</f>
        <v>0.96199999999999997</v>
      </c>
      <c r="H100" s="383"/>
      <c r="I100" s="379"/>
    </row>
    <row r="101" spans="1:9">
      <c r="A101" s="383"/>
      <c r="B101" s="383"/>
      <c r="C101" s="386"/>
      <c r="D101" s="383"/>
      <c r="E101" s="244" t="s">
        <v>297</v>
      </c>
      <c r="F101" s="246">
        <v>12.6</v>
      </c>
      <c r="G101" s="244">
        <f t="shared" si="4"/>
        <v>0.874</v>
      </c>
      <c r="H101" s="383"/>
      <c r="I101" s="379"/>
    </row>
    <row r="102" spans="1:9">
      <c r="A102" s="383" t="s">
        <v>375</v>
      </c>
      <c r="B102" s="383" t="s">
        <v>398</v>
      </c>
      <c r="C102" s="386" t="s">
        <v>315</v>
      </c>
      <c r="D102" s="383" t="s">
        <v>393</v>
      </c>
      <c r="E102" s="244" t="s">
        <v>295</v>
      </c>
      <c r="F102" s="246">
        <v>11.1</v>
      </c>
      <c r="G102" s="244">
        <f>1-F102/100</f>
        <v>0.88900000000000001</v>
      </c>
      <c r="H102" s="383"/>
      <c r="I102" s="379"/>
    </row>
    <row r="103" spans="1:9">
      <c r="A103" s="383"/>
      <c r="B103" s="383"/>
      <c r="C103" s="386"/>
      <c r="D103" s="383"/>
      <c r="E103" s="244" t="s">
        <v>297</v>
      </c>
      <c r="F103" s="246">
        <v>17.5</v>
      </c>
      <c r="G103" s="244">
        <f t="shared" ref="G103:G105" si="5">1-F103/100</f>
        <v>0.82499999999999996</v>
      </c>
      <c r="H103" s="383"/>
      <c r="I103" s="379"/>
    </row>
    <row r="104" spans="1:9">
      <c r="A104" s="383"/>
      <c r="B104" s="383"/>
      <c r="C104" s="386"/>
      <c r="D104" s="383" t="s">
        <v>395</v>
      </c>
      <c r="E104" s="244" t="s">
        <v>295</v>
      </c>
      <c r="F104" s="246">
        <v>5.0999999999999996</v>
      </c>
      <c r="G104" s="244">
        <f>1-F104/100</f>
        <v>0.94899999999999995</v>
      </c>
      <c r="H104" s="383"/>
      <c r="I104" s="379"/>
    </row>
    <row r="105" spans="1:9">
      <c r="A105" s="383"/>
      <c r="B105" s="383"/>
      <c r="C105" s="386"/>
      <c r="D105" s="383"/>
      <c r="E105" s="244" t="s">
        <v>297</v>
      </c>
      <c r="F105" s="246">
        <v>16.5</v>
      </c>
      <c r="G105" s="244">
        <f t="shared" si="5"/>
        <v>0.83499999999999996</v>
      </c>
      <c r="H105" s="383"/>
      <c r="I105" s="378"/>
    </row>
  </sheetData>
  <sheetProtection sheet="1" objects="1" scenarios="1"/>
  <mergeCells count="161">
    <mergeCell ref="H90:H93"/>
    <mergeCell ref="I90:I105"/>
    <mergeCell ref="D92:D93"/>
    <mergeCell ref="A94:A97"/>
    <mergeCell ref="B94:B97"/>
    <mergeCell ref="C94:C97"/>
    <mergeCell ref="A102:A105"/>
    <mergeCell ref="B102:B105"/>
    <mergeCell ref="C102:C105"/>
    <mergeCell ref="D102:D103"/>
    <mergeCell ref="H102:H105"/>
    <mergeCell ref="D104:D105"/>
    <mergeCell ref="D94:D95"/>
    <mergeCell ref="H94:H97"/>
    <mergeCell ref="D96:D97"/>
    <mergeCell ref="A98:A101"/>
    <mergeCell ref="B98:B101"/>
    <mergeCell ref="C98:C101"/>
    <mergeCell ref="D98:D99"/>
    <mergeCell ref="H98:H101"/>
    <mergeCell ref="D100:D101"/>
    <mergeCell ref="A80:A81"/>
    <mergeCell ref="B80:B81"/>
    <mergeCell ref="C80:C81"/>
    <mergeCell ref="D80:D81"/>
    <mergeCell ref="I80:I81"/>
    <mergeCell ref="A82:A83"/>
    <mergeCell ref="B82:B83"/>
    <mergeCell ref="C82:C83"/>
    <mergeCell ref="D82:D83"/>
    <mergeCell ref="I82:I83"/>
    <mergeCell ref="A84:A89"/>
    <mergeCell ref="B84:B85"/>
    <mergeCell ref="C84:C85"/>
    <mergeCell ref="H84:H89"/>
    <mergeCell ref="I84:I89"/>
    <mergeCell ref="B86:B87"/>
    <mergeCell ref="C86:C87"/>
    <mergeCell ref="B88:B89"/>
    <mergeCell ref="C88:C89"/>
    <mergeCell ref="A90:A93"/>
    <mergeCell ref="B90:B93"/>
    <mergeCell ref="C90:C93"/>
    <mergeCell ref="D90:D91"/>
    <mergeCell ref="A72:A76"/>
    <mergeCell ref="B72:B73"/>
    <mergeCell ref="F72:G72"/>
    <mergeCell ref="I72:I76"/>
    <mergeCell ref="F73:G73"/>
    <mergeCell ref="A78:A79"/>
    <mergeCell ref="B78:B79"/>
    <mergeCell ref="C78:C79"/>
    <mergeCell ref="D78:D79"/>
    <mergeCell ref="I78:I79"/>
    <mergeCell ref="A64:A65"/>
    <mergeCell ref="B64:B65"/>
    <mergeCell ref="I64:I65"/>
    <mergeCell ref="A66:A71"/>
    <mergeCell ref="B66:B69"/>
    <mergeCell ref="I66:I71"/>
    <mergeCell ref="B70:B71"/>
    <mergeCell ref="A62:A63"/>
    <mergeCell ref="B62:B63"/>
    <mergeCell ref="C62:C63"/>
    <mergeCell ref="D62:D63"/>
    <mergeCell ref="H62:H63"/>
    <mergeCell ref="I62:I63"/>
    <mergeCell ref="A58:A59"/>
    <mergeCell ref="B58:B59"/>
    <mergeCell ref="C58:C59"/>
    <mergeCell ref="D58:D59"/>
    <mergeCell ref="I58:I59"/>
    <mergeCell ref="A60:A61"/>
    <mergeCell ref="B60:B61"/>
    <mergeCell ref="C60:C61"/>
    <mergeCell ref="D60:D61"/>
    <mergeCell ref="I60:I61"/>
    <mergeCell ref="A56:A57"/>
    <mergeCell ref="B56:B57"/>
    <mergeCell ref="C56:C57"/>
    <mergeCell ref="D56:D57"/>
    <mergeCell ref="H56:H57"/>
    <mergeCell ref="I56:I57"/>
    <mergeCell ref="A52:A53"/>
    <mergeCell ref="B52:B53"/>
    <mergeCell ref="C52:C53"/>
    <mergeCell ref="D52:D53"/>
    <mergeCell ref="I52:I55"/>
    <mergeCell ref="A54:A55"/>
    <mergeCell ref="B54:B55"/>
    <mergeCell ref="C54:C55"/>
    <mergeCell ref="D54:D55"/>
    <mergeCell ref="A48:A51"/>
    <mergeCell ref="B48:B51"/>
    <mergeCell ref="C48:C49"/>
    <mergeCell ref="D48:D49"/>
    <mergeCell ref="I48:I51"/>
    <mergeCell ref="C50:C51"/>
    <mergeCell ref="D50:D51"/>
    <mergeCell ref="A40:A47"/>
    <mergeCell ref="B40:B47"/>
    <mergeCell ref="C40:C41"/>
    <mergeCell ref="D40:D41"/>
    <mergeCell ref="I40:I47"/>
    <mergeCell ref="C42:C43"/>
    <mergeCell ref="D42:D43"/>
    <mergeCell ref="C44:C45"/>
    <mergeCell ref="D44:D45"/>
    <mergeCell ref="C46:C47"/>
    <mergeCell ref="A34:A35"/>
    <mergeCell ref="I34:I37"/>
    <mergeCell ref="A36:A37"/>
    <mergeCell ref="A38:A39"/>
    <mergeCell ref="B38:B39"/>
    <mergeCell ref="C38:C39"/>
    <mergeCell ref="D38:D39"/>
    <mergeCell ref="I38:I39"/>
    <mergeCell ref="D46:D47"/>
    <mergeCell ref="C28:C29"/>
    <mergeCell ref="C30:C31"/>
    <mergeCell ref="A32:A33"/>
    <mergeCell ref="B32:B33"/>
    <mergeCell ref="C32:C33"/>
    <mergeCell ref="D32:D33"/>
    <mergeCell ref="I18:I19"/>
    <mergeCell ref="A20:A25"/>
    <mergeCell ref="B20:B21"/>
    <mergeCell ref="I20:I31"/>
    <mergeCell ref="B22:B25"/>
    <mergeCell ref="C22:C23"/>
    <mergeCell ref="C24:C25"/>
    <mergeCell ref="A26:A31"/>
    <mergeCell ref="B26:B27"/>
    <mergeCell ref="B28:B31"/>
    <mergeCell ref="H32:H33"/>
    <mergeCell ref="I32:I33"/>
    <mergeCell ref="A18:A19"/>
    <mergeCell ref="B18:B19"/>
    <mergeCell ref="C18:C19"/>
    <mergeCell ref="I2:I3"/>
    <mergeCell ref="A4:A9"/>
    <mergeCell ref="B4:B5"/>
    <mergeCell ref="C4:C5"/>
    <mergeCell ref="H4:H17"/>
    <mergeCell ref="I4:I17"/>
    <mergeCell ref="B6:B9"/>
    <mergeCell ref="C6:C9"/>
    <mergeCell ref="A14:A17"/>
    <mergeCell ref="B14:B17"/>
    <mergeCell ref="C14:C17"/>
    <mergeCell ref="D14:D15"/>
    <mergeCell ref="D16:D17"/>
    <mergeCell ref="D6:D7"/>
    <mergeCell ref="D8:D9"/>
    <mergeCell ref="A10:A13"/>
    <mergeCell ref="B10:B13"/>
    <mergeCell ref="C10:C13"/>
    <mergeCell ref="D10:D11"/>
    <mergeCell ref="D12:D13"/>
    <mergeCell ref="A2:A3"/>
    <mergeCell ref="B2:B3"/>
  </mergeCells>
  <hyperlinks>
    <hyperlink ref="H39" r:id="rId1" display="https://cmfclearinghouse.fhwa.dot.gov/detail.php?facid=4877" xr:uid="{3C8E829E-4072-4D03-8D3E-B7CD18A982D3}"/>
    <hyperlink ref="H38" r:id="rId2" display="https://cmfclearinghouse.fhwa.dot.gov/detail.php?facid=4878" xr:uid="{37BDD998-E3B0-45E6-BBA0-3F3D2D584408}"/>
    <hyperlink ref="H40" r:id="rId3" display="https://cmfclearinghouse.fhwa.dot.gov/detail.php?facid=230" xr:uid="{7CE159C0-BD6A-4604-AF48-43EFF3ADE8D4}"/>
    <hyperlink ref="H41" r:id="rId4" display="https://cmfclearinghouse.fhwa.dot.gov/detail.php?facid=229" xr:uid="{FBFCD422-44A1-46C3-8BA9-E033B384A2AE}"/>
    <hyperlink ref="H42" r:id="rId5" display="https://cmfclearinghouse.fhwa.dot.gov/detail.php?facid=238" xr:uid="{96C151A1-95A2-48CD-A62A-4E66DDA2F0C7}"/>
    <hyperlink ref="H43" r:id="rId6" display="https://cmfclearinghouse.fhwa.dot.gov/detail.php?facid=239" xr:uid="{5A9A0FFF-78CC-4105-8716-5C0CDAFF4C29}"/>
    <hyperlink ref="H44" r:id="rId7" display="https://cmfclearinghouse.fhwa.dot.gov/detail.php?facid=241" xr:uid="{A4046C82-6889-444A-9E15-46070426EEF4}"/>
    <hyperlink ref="H45" r:id="rId8" display="https://cmfclearinghouse.fhwa.dot.gov/detail.php?facid=240" xr:uid="{6646F8BF-F5D1-4195-A36A-A733B6E49900}"/>
    <hyperlink ref="H46" r:id="rId9" display="https://cmfclearinghouse.fhwa.dot.gov/detail.php?facid=234" xr:uid="{9AA52377-C32B-403B-BB84-24FBFEA40478}"/>
    <hyperlink ref="H47" r:id="rId10" display="https://cmfclearinghouse.fhwa.dot.gov/detail.php?facid=233" xr:uid="{EA992D3D-C46C-4658-8D45-32F56D631F46}"/>
    <hyperlink ref="H48" r:id="rId11" display="https://cmfclearinghouse.fhwa.dot.gov/detail.php?facid=4257" xr:uid="{B1BAD7D3-7A8A-4879-8BD8-9F8B10A518EA}"/>
    <hyperlink ref="H49" r:id="rId12" display="https://cmfclearinghouse.fhwa.dot.gov/detail.php?facid=4256" xr:uid="{365511E2-D432-4079-8BE0-364532CBF60C}"/>
    <hyperlink ref="H50" r:id="rId13" display="https://cmfclearinghouse.fhwa.dot.gov/detail.php?facid=4255" xr:uid="{400564F7-D580-41A8-8E93-510FDABE9DB6}"/>
    <hyperlink ref="H51" r:id="rId14" display="https://cmfclearinghouse.fhwa.dot.gov/detail.php?facid=4254" xr:uid="{02BEF595-5020-4C30-A88E-0A26ADE925FE}"/>
    <hyperlink ref="H52" r:id="rId15" display="https://cmfclearinghouse.fhwa.dot.gov/detail.php?facid=11130" xr:uid="{CB269F3E-2881-4080-ACBC-08D1959956D4}"/>
    <hyperlink ref="H53" r:id="rId16" display="https://cmfclearinghouse.fhwa.dot.gov/detail.php?facid=11132" xr:uid="{3F2D3F6C-9FC1-4F96-A700-8D1B55C2DA1D}"/>
    <hyperlink ref="H54" r:id="rId17" display="https://cmfclearinghouse.fhwa.dot.gov/detail.php?facid=11146" xr:uid="{FEDC2405-B884-4376-AEB8-72F397035B04}"/>
    <hyperlink ref="H55" r:id="rId18" display="https://cmfclearinghouse.fhwa.dot.gov/detail.php?facid=11166" xr:uid="{EDA40E7B-8A7D-46E3-AE15-B88C8F54DF0B}"/>
    <hyperlink ref="H18" r:id="rId19" xr:uid="{15F7FFAC-7708-4A24-A6F6-1CA58265BF61}"/>
    <hyperlink ref="H19" r:id="rId20" xr:uid="{2A5320D5-A05A-4220-AD20-87E18A07AF51}"/>
    <hyperlink ref="H4" r:id="rId21" xr:uid="{AE78FF66-9597-4122-B837-1C0B704128AB}"/>
    <hyperlink ref="H65" r:id="rId22" display="https://cmfclearinghouse.fhwa.dot.gov/detail.php?facid=10761" xr:uid="{5B3A24F0-1299-4D27-A087-4FC72FA28B5A}"/>
    <hyperlink ref="H64" r:id="rId23" display="https://cmfclearinghouse.fhwa.dot.gov/detail.php?facid=10762" xr:uid="{93911193-55BA-4813-9546-40681DC4FDF0}"/>
    <hyperlink ref="H67" r:id="rId24" display="https://cmfclearinghouse.fhwa.dot.gov/detail.php?facid=11619" xr:uid="{FEEF675E-6D89-4A15-9B60-AB1669C40660}"/>
    <hyperlink ref="H66" r:id="rId25" display="https://cmfclearinghouse.fhwa.dot.gov/detail.php?facid=11620" xr:uid="{625D2C97-BE40-423B-979D-7716DC860573}"/>
    <hyperlink ref="H68" r:id="rId26" display="https://cmfclearinghouse.fhwa.dot.gov/detail.php?facid=11625" xr:uid="{707C1DE2-4235-4EEC-9A48-D456442D078F}"/>
    <hyperlink ref="H69" r:id="rId27" display="https://cmfclearinghouse.fhwa.dot.gov/detail.php?facid=11624" xr:uid="{B212A1E4-93EB-4F80-BC5A-46A5E7F27888}"/>
    <hyperlink ref="H71" r:id="rId28" display="https://cmfclearinghouse.fhwa.dot.gov/detail.php?facid=11594" xr:uid="{482D52E3-3A91-44D0-B0EE-7A28A3DABCA4}"/>
    <hyperlink ref="H70" r:id="rId29" display="https://cmfclearinghouse.fhwa.dot.gov/detail.php?facid=11595" xr:uid="{F529D0FE-B9E8-4717-9292-940CDF8B6F01}"/>
    <hyperlink ref="H72" r:id="rId30" display="https://cmfclearinghouse.fhwa.dot.gov/detail.php?facid=11273" xr:uid="{D0F08057-37EF-4818-8376-7E8E5049FF97}"/>
    <hyperlink ref="H73" r:id="rId31" display="https://cmfclearinghouse.fhwa.dot.gov/detail.php?facid=11275" xr:uid="{958A34AC-E696-4CA6-9A4F-C603DAD55B6D}"/>
    <hyperlink ref="H74" r:id="rId32" display="https://cmfclearinghouse.fhwa.dot.gov/detail.php?facid=11277" xr:uid="{049908C0-1A15-4C8C-BC4B-BB9F2342CCB1}"/>
    <hyperlink ref="H75" r:id="rId33" display="https://cmfclearinghouse.fhwa.dot.gov/detail.php?facid=11278" xr:uid="{29B5545E-B4B2-49AD-A56C-7AD4201AF052}"/>
    <hyperlink ref="H76" r:id="rId34" display="https://cmfclearinghouse.fhwa.dot.gov/detail.php?facid=11279" xr:uid="{F509E745-D0DC-4A4C-BFD4-FA8D0E48B6D4}"/>
    <hyperlink ref="H83" r:id="rId35" display="https://cmfclearinghouse.fhwa.dot.gov/detail.php?facid=2519" xr:uid="{3F4080B6-166D-4F36-A89A-3196B5ECACCC}"/>
    <hyperlink ref="H82" r:id="rId36" display="https://cmfclearinghouse.fhwa.dot.gov/detail.php?facid=2514" xr:uid="{B3287DA5-F2C5-4694-B35E-5E05B83C0220}"/>
    <hyperlink ref="H77" r:id="rId37" display="https://cmfclearinghouse.fhwa.dot.gov/detail.php?facid=10375" xr:uid="{AA488C9D-9ACD-470F-92E5-C635EA6558D1}"/>
    <hyperlink ref="H78" r:id="rId38" display="https://cmfclearinghouse.fhwa.dot.gov/detail.php?facid=2341" xr:uid="{3B933900-6780-495C-9C39-3C410CFF0052}"/>
    <hyperlink ref="H79" r:id="rId39" display="https://cmfclearinghouse.fhwa.dot.gov/detail.php?facid=2346" xr:uid="{C70F4A99-D5A8-44CA-AE12-E0F8C79460CF}"/>
    <hyperlink ref="H80" r:id="rId40" display="https://cmfclearinghouse.fhwa.dot.gov/detail.php?facid=7828" xr:uid="{B08C3548-6BEC-46E0-96FF-255EE1A22483}"/>
    <hyperlink ref="H81" r:id="rId41" display="https://cmfclearinghouse.fhwa.dot.gov/detail.php?facid=7829" xr:uid="{18D9733A-56C2-4153-AD6D-A99E78DF6559}"/>
    <hyperlink ref="I80:I81" r:id="rId42" display="Abdel-Aty et al. (2014). VALIDATION AND APPLICATION OF HIGHWAY SAFETY MANUAL (PART D) IN FLORIDA " xr:uid="{061B068F-A460-4AB1-98CA-6D072B6BEDF8}"/>
    <hyperlink ref="I78:I79" r:id="rId43" display="Persaud, B., Lyon, C., Eccles, K., Lefler, N., Carter, D., &amp; Amjadi, R. (2008b). Safety Evaluation of Installing Center Two-Way Left-Turn Lanes on Two-Lane Roads. Washington, D.C.: Federal Highway Administration." xr:uid="{25784E44-883D-47C1-85C2-233DDF9639A7}"/>
    <hyperlink ref="I78" r:id="rId44" display="www.ltrc.lsu.edu/pdf/2019/FR_597.pdf" xr:uid="{2B3C8136-0489-49D8-AD25-57390E2F182C}"/>
    <hyperlink ref="I77" r:id="rId45" display="www.ltrc.lsu.edu/pdf/2019/FR_597.pdf" xr:uid="{D1C7F738-CD3B-406B-BAAD-0B7B65F7BD0A}"/>
    <hyperlink ref="I72:I76" r:id="rId46" display="Ingle, A., and T.J. Gates. &quot;Crash Modification Functions for Rural Skewed Intersections&quot;. Transportation Research Record, Transportation Research Board of the National Academies of Science, Washington, D.C., (2022)." xr:uid="{F4E9483A-2A53-4578-B13C-04449D924908}"/>
    <hyperlink ref="H20" r:id="rId47" display="https://cmfclearinghouse.fhwa.dot.gov/detail.php?facid=270" xr:uid="{DD9C0150-BBB6-46FF-BDB0-FEF149739E1B}"/>
    <hyperlink ref="H26" r:id="rId48" display="https://cmfclearinghouse.fhwa.dot.gov/detail.php?facid=269" xr:uid="{D47B7377-5ABE-4737-BBD2-C19CD62E42EB}"/>
    <hyperlink ref="H22" r:id="rId49" display="https://cmfclearinghouse.fhwa.dot.gov/detail.php?facid=4644" xr:uid="{C2F96A86-2FC2-4641-A91F-AEE242F7CCB6}"/>
    <hyperlink ref="H23" r:id="rId50" display="https://cmfclearinghouse.fhwa.dot.gov/detail.php?facid=262" xr:uid="{C69DC271-C5EF-4A92-8DFF-24D11337053F}"/>
    <hyperlink ref="H28" r:id="rId51" display="https://cmfclearinghouse.fhwa.dot.gov/detail.php?facid=254" xr:uid="{19D2AF31-E57F-46DE-A50B-181D321DB497}"/>
    <hyperlink ref="H29" r:id="rId52" display="https://cmfclearinghouse.fhwa.dot.gov/detail.php?facid=261" xr:uid="{CCF58415-C3D0-4A4E-A4E6-B23E6593E510}"/>
    <hyperlink ref="H21" r:id="rId53" display="https://cmfclearinghouse.fhwa.dot.gov/detail.php?facid=4648" xr:uid="{6DB75CAF-09CA-46E9-B0A8-ECACBD46611D}"/>
    <hyperlink ref="H24" r:id="rId54" display="https://cmfclearinghouse.fhwa.dot.gov/detail.php?facid=4643" xr:uid="{63ABF952-C6AC-4C35-B533-25C896461444}"/>
    <hyperlink ref="H25" r:id="rId55" display="https://cmfclearinghouse.fhwa.dot.gov/detail.php?facid=4647" xr:uid="{99F06191-9F09-4887-A1EF-3D7DC8171228}"/>
    <hyperlink ref="H27" r:id="rId56" display="https://cmfclearinghouse.fhwa.dot.gov/detail.php?facid=268" xr:uid="{B133D074-0BBA-4020-B7AE-545BCABE5F49}"/>
    <hyperlink ref="H30" r:id="rId57" display="https://cmfclearinghouse.fhwa.dot.gov/detail.php?facid=253" xr:uid="{FC732523-C333-46BC-8AC8-EFED7DE71278}"/>
    <hyperlink ref="H31" r:id="rId58" display="https://cmfclearinghouse.fhwa.dot.gov/detail.php?facid=260" xr:uid="{5AD82B32-1EB1-4C54-96C4-CA1A34C91988}"/>
    <hyperlink ref="H34" r:id="rId59" display="https://cmfclearinghouse.fhwa.dot.gov/detail.php?facid=290" xr:uid="{94015C2F-46A3-45D8-BD61-001623744DA1}"/>
    <hyperlink ref="H35" r:id="rId60" display="https://cmfclearinghouse.fhwa.dot.gov/detail.php?facid=286" xr:uid="{881BB9F1-B97F-4A20-9BF3-76AF38E85404}"/>
    <hyperlink ref="H36" r:id="rId61" display="https://cmfclearinghouse.fhwa.dot.gov/detail.php?facid=289" xr:uid="{3531804A-1D18-4B1E-9954-E7EE27F82568}"/>
    <hyperlink ref="H37" r:id="rId62" display="https://cmfclearinghouse.fhwa.dot.gov/detail.php?facid=285" xr:uid="{41A2362C-D2AF-4419-81C2-4B74DCBDC5A7}"/>
    <hyperlink ref="H2" r:id="rId63" display="https://cmfclearinghouse.fhwa.dot.gov/detail.php?facid=3131" xr:uid="{DC557C47-4CB5-4E9F-8FAD-7268439154FC}"/>
    <hyperlink ref="H3" r:id="rId64" display="https://cmfclearinghouse.fhwa.dot.gov/detail.php?facid=3130" xr:uid="{AAD8F29B-9427-4E0C-AC27-EA70FC0925DF}"/>
  </hyperlinks>
  <pageMargins left="0.7" right="0.7" top="0.75" bottom="0.75" header="0.3" footer="0.3"/>
  <pageSetup orientation="portrait" r:id="rId6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5244A41AE7C4E8015CCD3BFEBC1F8" ma:contentTypeVersion="17" ma:contentTypeDescription="Create a new document." ma:contentTypeScope="" ma:versionID="1086d630b706611421a957a4f4308b55">
  <xsd:schema xmlns:xsd="http://www.w3.org/2001/XMLSchema" xmlns:xs="http://www.w3.org/2001/XMLSchema" xmlns:p="http://schemas.microsoft.com/office/2006/metadata/properties" xmlns:ns2="c019a270-eafa-443b-9c31-d8cf9064eaac" xmlns:ns3="d821f4cf-5579-41e7-9454-08e552172e2e" xmlns:ns4="ddb5066c-6899-482b-9ea0-5145f9da9989" targetNamespace="http://schemas.microsoft.com/office/2006/metadata/properties" ma:root="true" ma:fieldsID="9bef028bd3c9aeef07ff2d9d7826d452" ns2:_="" ns3:_="" ns4:_="">
    <xsd:import namespace="c019a270-eafa-443b-9c31-d8cf9064eaac"/>
    <xsd:import namespace="d821f4cf-5579-41e7-9454-08e552172e2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9a270-eafa-443b-9c31-d8cf9064ea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21f4cf-5579-41e7-9454-08e552172e2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fef185e-0e8e-4cf7-b1a5-255b7f17a539}" ma:internalName="TaxCatchAll" ma:showField="CatchAllData" ma:web="d821f4cf-5579-41e7-9454-08e552172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c019a270-eafa-443b-9c31-d8cf9064ea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0CEF3B-F4EF-4899-8AF0-26945CF9D4C9}"/>
</file>

<file path=customXml/itemProps2.xml><?xml version="1.0" encoding="utf-8"?>
<ds:datastoreItem xmlns:ds="http://schemas.openxmlformats.org/officeDocument/2006/customXml" ds:itemID="{B4494CA7-A39B-4849-AC26-940610082804}"/>
</file>

<file path=customXml/itemProps3.xml><?xml version="1.0" encoding="utf-8"?>
<ds:datastoreItem xmlns:ds="http://schemas.openxmlformats.org/officeDocument/2006/customXml" ds:itemID="{B70DC8C3-FD15-47E3-8EEE-7BFFE863193D}"/>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2026-04-09T20:34:38Z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0x0101006D35244A41AE7C4E8015CCD3BFEBC1F8</vt:lpwstr>
  </property>
  <property fmtid="{D5CDD505-2E9C-101B-9397-08002B2CF9AE}" pid="3" name="MediaServiceImageTags">
    <vt:lpwstr/>
  </property>
  <property fmtid="{D5CDD505-2E9C-101B-9397-08002B2CF9AE}" pid="4" name="ESRI_WORKBOOK_ID">
    <vt:lpwstr>4d5265224a3140af9293a5c3ab94ee69</vt:lpwstr>
  </property>
  <property fmtid="{D5CDD505-2E9C-101B-9397-08002B2CF9AE}" pid="5" name="Folder_Number">
    <vt:lpwstr/>
  </property>
  <property fmtid="{D5CDD505-2E9C-101B-9397-08002B2CF9AE}" pid="6" name="Folder_Code">
    <vt:lpwstr/>
  </property>
  <property fmtid="{D5CDD505-2E9C-101B-9397-08002B2CF9AE}" pid="7" name="Folder_Name">
    <vt:lpwstr/>
  </property>
  <property fmtid="{D5CDD505-2E9C-101B-9397-08002B2CF9AE}" pid="8" name="Folder_Description">
    <vt:lpwstr/>
  </property>
  <property fmtid="{D5CDD505-2E9C-101B-9397-08002B2CF9AE}" pid="9" name="/Folder_Name/">
    <vt:lpwstr/>
  </property>
  <property fmtid="{D5CDD505-2E9C-101B-9397-08002B2CF9AE}" pid="10" name="/Folder_Description/">
    <vt:lpwstr/>
  </property>
  <property fmtid="{D5CDD505-2E9C-101B-9397-08002B2CF9AE}" pid="11" name="Folder_Version">
    <vt:lpwstr/>
  </property>
  <property fmtid="{D5CDD505-2E9C-101B-9397-08002B2CF9AE}" pid="12" name="Folder_VersionSeq">
    <vt:lpwstr/>
  </property>
  <property fmtid="{D5CDD505-2E9C-101B-9397-08002B2CF9AE}" pid="13" name="Folder_Manager">
    <vt:lpwstr/>
  </property>
  <property fmtid="{D5CDD505-2E9C-101B-9397-08002B2CF9AE}" pid="14" name="Folder_ManagerDesc">
    <vt:lpwstr/>
  </property>
  <property fmtid="{D5CDD505-2E9C-101B-9397-08002B2CF9AE}" pid="15" name="Folder_Storage">
    <vt:lpwstr/>
  </property>
  <property fmtid="{D5CDD505-2E9C-101B-9397-08002B2CF9AE}" pid="16" name="Folder_StorageDesc">
    <vt:lpwstr/>
  </property>
  <property fmtid="{D5CDD505-2E9C-101B-9397-08002B2CF9AE}" pid="17" name="Folder_Creator">
    <vt:lpwstr/>
  </property>
  <property fmtid="{D5CDD505-2E9C-101B-9397-08002B2CF9AE}" pid="18" name="Folder_CreatorDesc">
    <vt:lpwstr/>
  </property>
  <property fmtid="{D5CDD505-2E9C-101B-9397-08002B2CF9AE}" pid="19" name="Folder_CreateDate">
    <vt:lpwstr/>
  </property>
  <property fmtid="{D5CDD505-2E9C-101B-9397-08002B2CF9AE}" pid="20" name="Folder_Updater">
    <vt:lpwstr/>
  </property>
  <property fmtid="{D5CDD505-2E9C-101B-9397-08002B2CF9AE}" pid="21" name="Folder_UpdaterDesc">
    <vt:lpwstr/>
  </property>
  <property fmtid="{D5CDD505-2E9C-101B-9397-08002B2CF9AE}" pid="22" name="Folder_UpdateDate">
    <vt:lpwstr/>
  </property>
  <property fmtid="{D5CDD505-2E9C-101B-9397-08002B2CF9AE}" pid="23" name="Document_Number">
    <vt:lpwstr/>
  </property>
  <property fmtid="{D5CDD505-2E9C-101B-9397-08002B2CF9AE}" pid="24" name="Document_Name">
    <vt:lpwstr/>
  </property>
  <property fmtid="{D5CDD505-2E9C-101B-9397-08002B2CF9AE}" pid="25" name="Document_FileName">
    <vt:lpwstr/>
  </property>
  <property fmtid="{D5CDD505-2E9C-101B-9397-08002B2CF9AE}" pid="26" name="Document_Version">
    <vt:lpwstr/>
  </property>
  <property fmtid="{D5CDD505-2E9C-101B-9397-08002B2CF9AE}" pid="27" name="Document_VersionSeq">
    <vt:lpwstr/>
  </property>
  <property fmtid="{D5CDD505-2E9C-101B-9397-08002B2CF9AE}" pid="28" name="Document_Creator">
    <vt:lpwstr/>
  </property>
  <property fmtid="{D5CDD505-2E9C-101B-9397-08002B2CF9AE}" pid="29" name="Document_CreatorDesc">
    <vt:lpwstr/>
  </property>
  <property fmtid="{D5CDD505-2E9C-101B-9397-08002B2CF9AE}" pid="30" name="Document_CreateDate">
    <vt:lpwstr/>
  </property>
  <property fmtid="{D5CDD505-2E9C-101B-9397-08002B2CF9AE}" pid="31" name="Document_Updater">
    <vt:lpwstr/>
  </property>
  <property fmtid="{D5CDD505-2E9C-101B-9397-08002B2CF9AE}" pid="32" name="Document_UpdaterDesc">
    <vt:lpwstr/>
  </property>
  <property fmtid="{D5CDD505-2E9C-101B-9397-08002B2CF9AE}" pid="33" name="Document_UpdateDate">
    <vt:lpwstr/>
  </property>
  <property fmtid="{D5CDD505-2E9C-101B-9397-08002B2CF9AE}" pid="34" name="Document_Size">
    <vt:lpwstr/>
  </property>
  <property fmtid="{D5CDD505-2E9C-101B-9397-08002B2CF9AE}" pid="35" name="Document_Storage">
    <vt:lpwstr/>
  </property>
  <property fmtid="{D5CDD505-2E9C-101B-9397-08002B2CF9AE}" pid="36" name="Document_StorageDesc">
    <vt:lpwstr/>
  </property>
  <property fmtid="{D5CDD505-2E9C-101B-9397-08002B2CF9AE}" pid="37" name="Document_Department">
    <vt:lpwstr/>
  </property>
  <property fmtid="{D5CDD505-2E9C-101B-9397-08002B2CF9AE}" pid="38" name="Document_DepartmentDesc">
    <vt:lpwstr/>
  </property>
</Properties>
</file>