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5.xml" ContentType="application/vnd.openxmlformats-officedocument.drawing+xml"/>
  <Override PartName="/xl/tables/table1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ate.in.us\file1\INDOT\Home\BRood\IPD\Projects\P3\Financial Plans\"/>
    </mc:Choice>
  </mc:AlternateContent>
  <bookViews>
    <workbookView xWindow="0" yWindow="0" windowWidth="20025" windowHeight="8295" tabRatio="855" activeTab="24"/>
  </bookViews>
  <sheets>
    <sheet name="Figure 1-1" sheetId="25" r:id="rId1"/>
    <sheet name="Table 2-1" sheetId="4" r:id="rId2"/>
    <sheet name="Fig 2-2" sheetId="5" r:id="rId3"/>
    <sheet name="Table 3-1 P3" sheetId="6" r:id="rId4"/>
    <sheet name="Table 3-1 Trad" sheetId="29" r:id="rId5"/>
    <sheet name=" Table 3-2" sheetId="7" r:id="rId6"/>
    <sheet name="Table 3-3" sheetId="8" r:id="rId7"/>
    <sheet name="Table 3-4" sheetId="26" r:id="rId8"/>
    <sheet name="Table 4-1" sheetId="9" r:id="rId9"/>
    <sheet name="Table 4-2" sheetId="27" r:id="rId10"/>
    <sheet name="Table 4-3" sheetId="28" r:id="rId11"/>
    <sheet name="Table 4-4" sheetId="11" r:id="rId12"/>
    <sheet name="Table 5-1" sheetId="12" r:id="rId13"/>
    <sheet name="Table 5-2" sheetId="13" r:id="rId14"/>
    <sheet name="Table 6-1" sheetId="14" r:id="rId15"/>
    <sheet name="Table 6-2" sheetId="15" r:id="rId16"/>
    <sheet name="Table 6-3" sheetId="16" r:id="rId17"/>
    <sheet name="Table 7-1" sheetId="17" r:id="rId18"/>
    <sheet name="Table 7-2" sheetId="18" r:id="rId19"/>
    <sheet name="Table7-3" sheetId="24" r:id="rId20"/>
    <sheet name="Table 8-1" sheetId="19" r:id="rId21"/>
    <sheet name="Table 8-2" sheetId="20" r:id="rId22"/>
    <sheet name="Table 8-3" sheetId="21" r:id="rId23"/>
    <sheet name="Table 8-4" sheetId="22" r:id="rId24"/>
    <sheet name="Table 11-1" sheetId="23" r:id="rId25"/>
  </sheets>
  <externalReferences>
    <externalReference r:id="rId26"/>
    <externalReference r:id="rId27"/>
  </externalReferences>
  <definedNames>
    <definedName name="_Toc485293190" localSheetId="2">'Fig 2-2'!$B$18</definedName>
    <definedName name="_Toc485293198" localSheetId="10">'Table 4-3'!$B$2</definedName>
    <definedName name="_xlnm.Print_Titles" localSheetId="15">'Table 6-2'!$3:$3</definedName>
    <definedName name="Recover">[1]Macro1!$A$211</definedName>
    <definedName name="TableName">"Dummy"</definedName>
  </definedNames>
  <calcPr calcId="152511"/>
</workbook>
</file>

<file path=xl/calcChain.xml><?xml version="1.0" encoding="utf-8"?>
<calcChain xmlns="http://schemas.openxmlformats.org/spreadsheetml/2006/main">
  <c r="F16" i="11" l="1"/>
  <c r="E16" i="11"/>
  <c r="G16" i="11" s="1"/>
  <c r="D16" i="11"/>
  <c r="G15" i="11"/>
  <c r="G14" i="11"/>
  <c r="F47" i="29"/>
  <c r="F45" i="29"/>
  <c r="D48" i="29"/>
  <c r="F48" i="29" s="1"/>
  <c r="F20" i="29"/>
  <c r="G20" i="29"/>
  <c r="F21" i="29"/>
  <c r="G21" i="29"/>
  <c r="F22" i="29"/>
  <c r="G22" i="29"/>
  <c r="F23" i="29"/>
  <c r="G23" i="29"/>
  <c r="F25" i="29"/>
  <c r="G25" i="29"/>
  <c r="F26" i="29"/>
  <c r="G26" i="29"/>
  <c r="F27" i="29"/>
  <c r="G27" i="29"/>
  <c r="F28" i="29"/>
  <c r="G28" i="29"/>
  <c r="F29" i="29"/>
  <c r="G29" i="29"/>
  <c r="F31" i="29"/>
  <c r="G31" i="29"/>
  <c r="F32" i="29"/>
  <c r="G32" i="29"/>
  <c r="F33" i="29"/>
  <c r="G33" i="29"/>
  <c r="F34" i="29"/>
  <c r="G34" i="29"/>
  <c r="F35" i="29"/>
  <c r="G35" i="29"/>
  <c r="F38" i="29"/>
  <c r="G38" i="29"/>
  <c r="F39" i="29"/>
  <c r="G39" i="29"/>
  <c r="F40" i="29"/>
  <c r="G40" i="29"/>
  <c r="F41" i="29"/>
  <c r="G41" i="29"/>
  <c r="F44" i="29"/>
  <c r="G44" i="29"/>
  <c r="F46" i="29"/>
  <c r="G46" i="29"/>
  <c r="G19" i="29"/>
  <c r="F19" i="29"/>
  <c r="E48" i="29"/>
  <c r="G48" i="29" s="1"/>
  <c r="D42" i="29"/>
  <c r="E42" i="29"/>
  <c r="G42" i="29" s="1"/>
  <c r="D30" i="29"/>
  <c r="E30" i="29"/>
  <c r="G30" i="29" s="1"/>
  <c r="D36" i="29"/>
  <c r="E36" i="29"/>
  <c r="G36" i="29" s="1"/>
  <c r="D24" i="29"/>
  <c r="E24" i="29"/>
  <c r="C49" i="29"/>
  <c r="C48" i="29"/>
  <c r="C42" i="29"/>
  <c r="C36" i="29"/>
  <c r="C30" i="29"/>
  <c r="C24" i="29"/>
  <c r="C47" i="29"/>
  <c r="C46" i="29"/>
  <c r="C45" i="29"/>
  <c r="C44" i="29"/>
  <c r="C43" i="29"/>
  <c r="C41" i="29"/>
  <c r="C40" i="29"/>
  <c r="C39" i="29"/>
  <c r="C38" i="29"/>
  <c r="C35" i="29"/>
  <c r="C34" i="29"/>
  <c r="C33" i="29"/>
  <c r="C32" i="29"/>
  <c r="C31" i="29"/>
  <c r="C29" i="29"/>
  <c r="C28" i="29"/>
  <c r="C27" i="29"/>
  <c r="C26" i="29"/>
  <c r="C25" i="29"/>
  <c r="C23" i="29"/>
  <c r="C22" i="29"/>
  <c r="C21" i="29"/>
  <c r="C20" i="29"/>
  <c r="C19" i="29"/>
  <c r="F42" i="29" l="1"/>
  <c r="E49" i="29"/>
  <c r="G49" i="29" s="1"/>
  <c r="G47" i="29"/>
  <c r="G45" i="29"/>
  <c r="F30" i="29"/>
  <c r="G24" i="29"/>
  <c r="D49" i="29"/>
  <c r="F24" i="29"/>
  <c r="F36" i="29"/>
  <c r="F49" i="29" l="1"/>
  <c r="C12" i="13" l="1"/>
  <c r="Q35" i="9"/>
  <c r="P35" i="9"/>
  <c r="O35" i="9"/>
  <c r="N35" i="9"/>
  <c r="M35" i="9"/>
  <c r="L35" i="9"/>
  <c r="J23" i="8"/>
  <c r="I23" i="8"/>
  <c r="H23" i="8"/>
  <c r="H27" i="8" s="1"/>
  <c r="G23" i="8"/>
  <c r="G27" i="8" s="1"/>
  <c r="F23" i="8"/>
  <c r="E23" i="8"/>
  <c r="D23" i="8"/>
  <c r="D27" i="8" s="1"/>
  <c r="C23" i="8"/>
  <c r="I19" i="8"/>
  <c r="H19" i="8"/>
  <c r="G19" i="8"/>
  <c r="F19" i="8"/>
  <c r="E19" i="8"/>
  <c r="D19" i="8"/>
  <c r="C19" i="8"/>
  <c r="C27" i="8" s="1"/>
  <c r="I15" i="8"/>
  <c r="H15" i="8"/>
  <c r="G15" i="8"/>
  <c r="F15" i="8"/>
  <c r="E15" i="8"/>
  <c r="D15" i="8"/>
  <c r="C15" i="8"/>
  <c r="I27" i="8"/>
  <c r="E27" i="8"/>
  <c r="J18" i="8"/>
  <c r="J26" i="8"/>
  <c r="J25" i="8"/>
  <c r="J24" i="8"/>
  <c r="J22" i="8"/>
  <c r="J21" i="8"/>
  <c r="J20" i="8"/>
  <c r="J16" i="8"/>
  <c r="J17" i="8"/>
  <c r="F27" i="8" l="1"/>
  <c r="K23" i="8"/>
  <c r="J27" i="8"/>
  <c r="K19" i="8"/>
  <c r="K15" i="8"/>
  <c r="C5" i="8"/>
  <c r="D5" i="8"/>
  <c r="C6" i="8"/>
  <c r="D6" i="8"/>
  <c r="C8" i="8"/>
  <c r="D8" i="8"/>
  <c r="E8" i="8" s="1"/>
  <c r="D9" i="8"/>
  <c r="E9" i="8" s="1"/>
  <c r="E7" i="8"/>
  <c r="K27" i="8" l="1"/>
  <c r="C10" i="8"/>
  <c r="E5" i="8"/>
  <c r="D10" i="8"/>
  <c r="E6" i="8"/>
  <c r="F16" i="23"/>
  <c r="I27" i="16"/>
  <c r="H27" i="16"/>
  <c r="M26" i="16"/>
  <c r="M25" i="16"/>
  <c r="M24" i="16"/>
  <c r="L23" i="16"/>
  <c r="K23" i="16"/>
  <c r="M23" i="16" s="1"/>
  <c r="L22" i="16"/>
  <c r="L27" i="16" s="1"/>
  <c r="K22" i="16"/>
  <c r="J22" i="16"/>
  <c r="M20" i="16"/>
  <c r="K20" i="16"/>
  <c r="M19" i="16"/>
  <c r="K18" i="16"/>
  <c r="M18" i="16" s="1"/>
  <c r="J18" i="16"/>
  <c r="K17" i="16"/>
  <c r="M17" i="16" s="1"/>
  <c r="K16" i="16"/>
  <c r="M16" i="16" s="1"/>
  <c r="K15" i="16"/>
  <c r="M11" i="16"/>
  <c r="M10" i="16"/>
  <c r="M9" i="16"/>
  <c r="L8" i="16"/>
  <c r="K8" i="16"/>
  <c r="J8" i="16"/>
  <c r="H8" i="16"/>
  <c r="H12" i="16" s="1"/>
  <c r="H28" i="16" s="1"/>
  <c r="I5" i="16" s="1"/>
  <c r="M7" i="16"/>
  <c r="M6" i="16"/>
  <c r="D42" i="15"/>
  <c r="C42" i="15"/>
  <c r="K20" i="14"/>
  <c r="K19" i="14"/>
  <c r="K18" i="14"/>
  <c r="K17" i="14"/>
  <c r="K21" i="14" s="1"/>
  <c r="K16" i="14"/>
  <c r="K15" i="14"/>
  <c r="K13" i="14"/>
  <c r="K10" i="14"/>
  <c r="K9" i="14"/>
  <c r="K8" i="14"/>
  <c r="K7" i="14"/>
  <c r="K5" i="14"/>
  <c r="K4" i="14"/>
  <c r="I21" i="14"/>
  <c r="J21" i="14" s="1"/>
  <c r="H21" i="14"/>
  <c r="G21" i="14"/>
  <c r="I11" i="14"/>
  <c r="J11" i="14" s="1"/>
  <c r="H11" i="14"/>
  <c r="G11" i="14"/>
  <c r="G4" i="11"/>
  <c r="G17" i="28"/>
  <c r="F17" i="28"/>
  <c r="E17" i="28"/>
  <c r="D17" i="28"/>
  <c r="C17" i="28"/>
  <c r="H16" i="28"/>
  <c r="H15" i="28"/>
  <c r="H14" i="28"/>
  <c r="H13" i="28"/>
  <c r="H12" i="28"/>
  <c r="G10" i="28"/>
  <c r="G18" i="28" s="1"/>
  <c r="F10" i="28"/>
  <c r="F18" i="28" s="1"/>
  <c r="E10" i="28"/>
  <c r="D10" i="28"/>
  <c r="D18" i="28" s="1"/>
  <c r="C10" i="28"/>
  <c r="C18" i="28" s="1"/>
  <c r="H9" i="28"/>
  <c r="H8" i="28"/>
  <c r="H7" i="28"/>
  <c r="H6" i="28"/>
  <c r="H5" i="28"/>
  <c r="F9" i="27"/>
  <c r="D9" i="27"/>
  <c r="E8" i="27"/>
  <c r="G8" i="27" s="1"/>
  <c r="H8" i="27" s="1"/>
  <c r="E7" i="27"/>
  <c r="G7" i="27" s="1"/>
  <c r="H7" i="27" s="1"/>
  <c r="C6" i="27"/>
  <c r="E6" i="27" s="1"/>
  <c r="G6" i="27" s="1"/>
  <c r="H6" i="27" s="1"/>
  <c r="G5" i="27"/>
  <c r="H5" i="27" s="1"/>
  <c r="E5" i="27"/>
  <c r="E4" i="27"/>
  <c r="P33" i="9"/>
  <c r="O33" i="9"/>
  <c r="N33" i="9"/>
  <c r="L33" i="9"/>
  <c r="M32" i="9"/>
  <c r="L32" i="9"/>
  <c r="Q31" i="9"/>
  <c r="Q30" i="9"/>
  <c r="L29" i="9"/>
  <c r="M28" i="9"/>
  <c r="Q28" i="9" s="1"/>
  <c r="M27" i="9"/>
  <c r="M33" i="9" s="1"/>
  <c r="P23" i="9"/>
  <c r="O23" i="9"/>
  <c r="O25" i="9" s="1"/>
  <c r="N23" i="9"/>
  <c r="N25" i="9" s="1"/>
  <c r="M23" i="9"/>
  <c r="M25" i="9" s="1"/>
  <c r="L23" i="9"/>
  <c r="P22" i="9"/>
  <c r="O22" i="9"/>
  <c r="N22" i="9"/>
  <c r="M22" i="9"/>
  <c r="L22" i="9"/>
  <c r="Q21" i="9"/>
  <c r="Q20" i="9"/>
  <c r="P19" i="9"/>
  <c r="O19" i="9"/>
  <c r="N19" i="9"/>
  <c r="M19" i="9"/>
  <c r="L19" i="9"/>
  <c r="Q18" i="9"/>
  <c r="Q17" i="9"/>
  <c r="Q19" i="9" s="1"/>
  <c r="P16" i="9"/>
  <c r="N16" i="9"/>
  <c r="M16" i="9"/>
  <c r="L16" i="9"/>
  <c r="O15" i="9"/>
  <c r="O16" i="9" s="1"/>
  <c r="Q14" i="9"/>
  <c r="P13" i="9"/>
  <c r="O13" i="9"/>
  <c r="N13" i="9"/>
  <c r="M13" i="9"/>
  <c r="L13" i="9"/>
  <c r="Q12" i="9"/>
  <c r="Q11" i="9"/>
  <c r="P10" i="9"/>
  <c r="O10" i="9"/>
  <c r="N10" i="9"/>
  <c r="M10" i="9"/>
  <c r="L10" i="9"/>
  <c r="Q9" i="9"/>
  <c r="Q8" i="9"/>
  <c r="Q10" i="9" s="1"/>
  <c r="P7" i="9"/>
  <c r="O7" i="9"/>
  <c r="N7" i="9"/>
  <c r="M7" i="9"/>
  <c r="L7" i="9"/>
  <c r="Q6" i="9"/>
  <c r="Q5" i="9"/>
  <c r="C15" i="9"/>
  <c r="H14" i="9"/>
  <c r="D13" i="9"/>
  <c r="H13" i="9" s="1"/>
  <c r="F11" i="9"/>
  <c r="F16" i="9" s="1"/>
  <c r="E11" i="9"/>
  <c r="E16" i="9" s="1"/>
  <c r="D11" i="9"/>
  <c r="C11" i="9"/>
  <c r="H10" i="9"/>
  <c r="H9" i="9"/>
  <c r="H8" i="9"/>
  <c r="H7" i="9"/>
  <c r="H6" i="9"/>
  <c r="G5" i="9"/>
  <c r="H5" i="9" s="1"/>
  <c r="F10" i="26"/>
  <c r="E10" i="26"/>
  <c r="D10" i="26"/>
  <c r="C10" i="26"/>
  <c r="H9" i="26"/>
  <c r="G9" i="26"/>
  <c r="H8" i="26"/>
  <c r="G8" i="26"/>
  <c r="H7" i="26"/>
  <c r="G7" i="26"/>
  <c r="H6" i="26"/>
  <c r="G6" i="26"/>
  <c r="H5" i="26"/>
  <c r="G5" i="26"/>
  <c r="G10" i="26" s="1"/>
  <c r="L36" i="9" l="1"/>
  <c r="L25" i="9"/>
  <c r="P36" i="9"/>
  <c r="P25" i="9"/>
  <c r="C16" i="9"/>
  <c r="G11" i="9"/>
  <c r="G16" i="9" s="1"/>
  <c r="Q23" i="9"/>
  <c r="Q25" i="9" s="1"/>
  <c r="Q13" i="9"/>
  <c r="Q22" i="9"/>
  <c r="E10" i="8"/>
  <c r="J27" i="16"/>
  <c r="H10" i="26"/>
  <c r="D15" i="9"/>
  <c r="D16" i="9" s="1"/>
  <c r="Q15" i="9"/>
  <c r="Q16" i="9" s="1"/>
  <c r="N36" i="9"/>
  <c r="E18" i="28"/>
  <c r="M36" i="9"/>
  <c r="H11" i="9"/>
  <c r="Q7" i="9"/>
  <c r="H17" i="28"/>
  <c r="Q32" i="9"/>
  <c r="C9" i="27"/>
  <c r="H10" i="28"/>
  <c r="K27" i="16"/>
  <c r="M22" i="16"/>
  <c r="I12" i="16"/>
  <c r="I28" i="16" s="1"/>
  <c r="J5" i="16" s="1"/>
  <c r="J12" i="16" s="1"/>
  <c r="J28" i="16" s="1"/>
  <c r="K5" i="16" s="1"/>
  <c r="K12" i="16" s="1"/>
  <c r="M15" i="16"/>
  <c r="M27" i="16" s="1"/>
  <c r="M8" i="16"/>
  <c r="K11" i="14"/>
  <c r="H18" i="28"/>
  <c r="E9" i="27"/>
  <c r="G9" i="27" s="1"/>
  <c r="H9" i="27" s="1"/>
  <c r="G4" i="27"/>
  <c r="H4" i="27" s="1"/>
  <c r="O36" i="9"/>
  <c r="M29" i="9"/>
  <c r="Q27" i="9"/>
  <c r="H15" i="9"/>
  <c r="H16" i="9" s="1"/>
  <c r="K28" i="16" l="1"/>
  <c r="L5" i="16" s="1"/>
  <c r="Q33" i="9"/>
  <c r="Q36" i="9" s="1"/>
  <c r="Q29" i="9"/>
  <c r="L12" i="16" l="1"/>
  <c r="L28" i="16" s="1"/>
  <c r="M5" i="16"/>
  <c r="M12" i="16" s="1"/>
  <c r="M28" i="16" s="1"/>
  <c r="D8" i="16"/>
  <c r="C8" i="16"/>
  <c r="C18" i="22" l="1"/>
  <c r="D5" i="16" l="1"/>
  <c r="D11" i="16" l="1"/>
  <c r="D9" i="16"/>
  <c r="D13" i="16" s="1"/>
  <c r="C5" i="16"/>
  <c r="C6" i="16" s="1"/>
  <c r="C9" i="16"/>
  <c r="E9" i="16" s="1"/>
  <c r="C11" i="16"/>
  <c r="E11" i="16" s="1"/>
  <c r="E8" i="16"/>
  <c r="E10" i="16"/>
  <c r="E12" i="16"/>
  <c r="C9" i="14"/>
  <c r="C8" i="14"/>
  <c r="C10" i="14" s="1"/>
  <c r="D9" i="14" s="1"/>
  <c r="C5" i="14"/>
  <c r="C4" i="14"/>
  <c r="C4" i="6"/>
  <c r="C6" i="6"/>
  <c r="C6" i="14" l="1"/>
  <c r="D5" i="14" s="1"/>
  <c r="C13" i="16"/>
  <c r="E13" i="16" s="1"/>
  <c r="E5" i="16"/>
  <c r="D8" i="14"/>
  <c r="D10" i="14" s="1"/>
  <c r="D4" i="14"/>
  <c r="D6" i="14" s="1"/>
  <c r="C14" i="16" l="1"/>
  <c r="D4" i="16" s="1"/>
  <c r="D6" i="16" s="1"/>
  <c r="E4" i="16" l="1"/>
  <c r="E6" i="16" s="1"/>
  <c r="N6" i="6"/>
  <c r="E14" i="16" l="1"/>
  <c r="D14" i="16"/>
  <c r="C8" i="6" l="1"/>
  <c r="C7" i="6"/>
  <c r="C5" i="6"/>
  <c r="C9" i="6"/>
  <c r="O7" i="6"/>
  <c r="O8" i="6"/>
  <c r="M9" i="6"/>
  <c r="O6" i="6"/>
  <c r="N5" i="6"/>
  <c r="O5" i="6" s="1"/>
  <c r="N4" i="6"/>
  <c r="N9" i="6" l="1"/>
  <c r="O9" i="6" s="1"/>
  <c r="O4" i="6"/>
</calcChain>
</file>

<file path=xl/sharedStrings.xml><?xml version="1.0" encoding="utf-8"?>
<sst xmlns="http://schemas.openxmlformats.org/spreadsheetml/2006/main" count="666" uniqueCount="441">
  <si>
    <t>Construction</t>
  </si>
  <si>
    <t>IFP</t>
  </si>
  <si>
    <t>Scheduled Item</t>
  </si>
  <si>
    <t>Issue Request for Qualifications</t>
  </si>
  <si>
    <t>SOQ Due Date</t>
  </si>
  <si>
    <t>Anticipated Announcement of Short-listed Proposers</t>
  </si>
  <si>
    <t>Circulate Draft of RFP to Short-listed Proposals</t>
  </si>
  <si>
    <t>Issue final RFP</t>
  </si>
  <si>
    <t>Proposal Due Date</t>
  </si>
  <si>
    <t>Award and execution of PPA (Commercial Close)</t>
  </si>
  <si>
    <t>Substantial Completion</t>
  </si>
  <si>
    <t>Cost Elements</t>
  </si>
  <si>
    <t>Engineering and Design</t>
  </si>
  <si>
    <t>Preliminary and final engineering design services.</t>
  </si>
  <si>
    <t>Design Program Management</t>
  </si>
  <si>
    <t>Cost to state for services of the GEC during the design phase and miscellaneous departmental program management costs.</t>
  </si>
  <si>
    <t>Program Management estimates are based on currently negotiated contracts and estimates that cover the currently planned Project schedule.</t>
  </si>
  <si>
    <t>Construction Administration and Inspection</t>
  </si>
  <si>
    <t>All construction and program management, administration, and inspection activities during the construction phase of the Project.</t>
  </si>
  <si>
    <t>Estimated cost of construction.</t>
  </si>
  <si>
    <t>Construction estimates reflect current prices inflated for year of expenditure utilizing a large alternative delivery contract.</t>
  </si>
  <si>
    <t>Construction Contingency</t>
  </si>
  <si>
    <t>Contingency to cover additional construction services in the event unforeseen circumstances arise that result in additional cost.</t>
  </si>
  <si>
    <t>Right of Way Acquisition</t>
  </si>
  <si>
    <t>Appraisals, administration, management, and acquisition of required right of way.</t>
  </si>
  <si>
    <t>Costs include completed and anticipated right of way acquisition and are based on the most up-to-date market information available.</t>
  </si>
  <si>
    <t>Enhancements</t>
  </si>
  <si>
    <t>Mitigation</t>
  </si>
  <si>
    <t>Implementation of mitigation of sensitive impacts.</t>
  </si>
  <si>
    <t>This includes costs for such items education for the historic landscape districts associated with the limestone industry, wetland, stream and forest creation and preservation.</t>
  </si>
  <si>
    <t>Total Federal Funding Amounts</t>
  </si>
  <si>
    <t>Amount AC'd to Date</t>
  </si>
  <si>
    <t>Amount Converted to Date</t>
  </si>
  <si>
    <t>Amount Remaining in AC</t>
  </si>
  <si>
    <t>High Level Project Screening Criteria</t>
  </si>
  <si>
    <t>Project Complexity</t>
  </si>
  <si>
    <t>Is the project sufficiently complex in terms of technical and/or financial requirements to effectively leverage private sector innovation and expertise?</t>
  </si>
  <si>
    <t>Accelerating Project Development</t>
  </si>
  <si>
    <t>If the required public funding is not currently available for the project, could using a P3 delivery method accelerate the delivery of the project?</t>
  </si>
  <si>
    <t>Transportation Priorities</t>
  </si>
  <si>
    <t>Is the project consistent with overall transportation objectives of the State?</t>
  </si>
  <si>
    <t>Does the project adequately address transportation needs?</t>
  </si>
  <si>
    <t>Project Efficiencies</t>
  </si>
  <si>
    <t>Would the P3 delivery method help foster efficiencies through the most appropriate transfer of risk over the project life-cycle?</t>
  </si>
  <si>
    <t>Is there an opportunity to bundle projects or create economies of scale?</t>
  </si>
  <si>
    <t>Ability to Transfer Risk</t>
  </si>
  <si>
    <t>Would the P3 delivery method help transfer project risks and potential future responsibilities to the private sector on a long-term basis?</t>
  </si>
  <si>
    <t>Funding Requirement</t>
  </si>
  <si>
    <t>Does the project have revenue generation potential to partially offset the public funding requirement if necessary?</t>
  </si>
  <si>
    <t>Could a public agency pay for the project over time, such as through an availability payment, as opposed to paying for its entire costs up front?</t>
  </si>
  <si>
    <t>Ability to Raise Capital</t>
  </si>
  <si>
    <t>Would doing the project as a P3 help free up funds or leverage existing sources of funds for other transportation priorities with the State?</t>
  </si>
  <si>
    <t>Detail Project Screening Criteria</t>
  </si>
  <si>
    <t>Public Need</t>
  </si>
  <si>
    <t>Does the project address the needs of the local, regional and state transportation plans, such as congestion relief, safety, new capacity, preservation of existing assets?</t>
  </si>
  <si>
    <t>Does the project support improving safety, reducing congestion, increasing capacity, providing accessibility, improving air quality, improving pedestrian biking facilities, and/or enhancing economic efficiency?</t>
  </si>
  <si>
    <t>Public Benefits</t>
  </si>
  <si>
    <t>Will this project bring a transportation benefit to the community, the region, and/or the state?</t>
  </si>
  <si>
    <t>Does the project help achieve performance, safety, mobility, or transportation demand management goals?</t>
  </si>
  <si>
    <t>Does this project enhance adjacent transportation facilities or other modes?</t>
  </si>
  <si>
    <t>Economic Development</t>
  </si>
  <si>
    <t>Will the project enhance the State's economic development efforts?</t>
  </si>
  <si>
    <t>Is the project critical to attracting or maintaining competitive industries and businesses to the region, consistent with stated objectives?</t>
  </si>
  <si>
    <t>Market Demand</t>
  </si>
  <si>
    <t>Does sufficient market appetite exist for the project? Are there ways to address industry concerns?</t>
  </si>
  <si>
    <t>Stakeholder Support</t>
  </si>
  <si>
    <t>What is the extent of support or opposition for the project? Does the proposed project demonstrate an understanding of the national and regional transportation issues and needs, as well as the impacts this project may have on those needs?</t>
  </si>
  <si>
    <t>What strategies are proposed to involve local, state and/or federal officials in developing this project?</t>
  </si>
  <si>
    <t>Has the project received approval in applicable local and/or regional plans and programs?</t>
  </si>
  <si>
    <t>Is the project consistent with federal agency programs or grants on transportation (FHWA, FTA, MARAD, FAA, FRA, etc.)?</t>
  </si>
  <si>
    <t>Legislative Considerations</t>
  </si>
  <si>
    <t>Are there any legislative considerations that need to be taken into account such as tolling, user charges, or use of public funds?</t>
  </si>
  <si>
    <t>Technical Feasibility</t>
  </si>
  <si>
    <t>Is the project described in sufficient detail to determine the type and size of the project, the location of the project, proposed interconnections with other transportation facilities, the communities that may be affected and alternatives that may need evaluation?</t>
  </si>
  <si>
    <t>Is the proposed schedule for project completion clearly outlined and feasible?</t>
  </si>
  <si>
    <t>Does the proposed design appear to be technically sound and consistent with the appropriate state and federal standards?</t>
  </si>
  <si>
    <t>Is the project consistent with applicable state and federal environmental statutes and regulations?</t>
  </si>
  <si>
    <t>Does the project identify the required permits and regulatory approvals and a reasonable plan and schedule for obtaining them?</t>
  </si>
  <si>
    <t>Does the project set forth the method by which utility relocations required for the transportation facility will be secured and by whom?</t>
  </si>
  <si>
    <t>Financial Feasibility</t>
  </si>
  <si>
    <t>Are there public funds required and, if so, are the State's financial responsibilities clearly stated?</t>
  </si>
  <si>
    <t>Is the preliminary financial plan feasible in that the sources of funding and financing can reasonably be expected to be obtained?</t>
  </si>
  <si>
    <t>Legal/Legislative Feasibility</t>
  </si>
  <si>
    <t>Is legislation needed to complete the project?</t>
  </si>
  <si>
    <t>Project Risks</t>
  </si>
  <si>
    <t>Are there any particular risks unique to the projects that have not been outlined above that could impair project viability?</t>
  </si>
  <si>
    <t>Are there any project risks proposed to be transferred to INDOT that are likely to be unacceptable?</t>
  </si>
  <si>
    <t>Term</t>
  </si>
  <si>
    <t>Does the project include a reasonable term of concession for proposed operation and maintenance?</t>
  </si>
  <si>
    <t>Is the proposed term consistent with market demand, providing a best value solution for the State?</t>
  </si>
  <si>
    <t>Is the proposed term optimal for a whole-of-life approach?</t>
  </si>
  <si>
    <t>Cost overruns after start of construction could result in insufficient upfront funds to complete the project.</t>
  </si>
  <si>
    <t>Cost Overruns During Construction</t>
  </si>
  <si>
    <t>The amount of contingency factored into Project cost estimates may be insufficient to cover unexpected costs or cost increases.</t>
  </si>
  <si>
    <t>Contingency</t>
  </si>
  <si>
    <t xml:space="preserve">Reasonable inflationary assumptions based on recent and historical trends in construction inflation have been included in current cost estimates. These estimates take into account current low commodity prices and relatively high unemployment rates which are expected to result in favorable contract pricing.  </t>
  </si>
  <si>
    <t>Highway construction inflation has been very volatile over the past several years and could significantly increase the cost of the Project.</t>
  </si>
  <si>
    <t>Inflation</t>
  </si>
  <si>
    <t xml:space="preserve">The risk that original cost estimates are lower than bids received. </t>
  </si>
  <si>
    <t>Original Cost Estimates</t>
  </si>
  <si>
    <t>Risk</t>
  </si>
  <si>
    <t>Litigation</t>
  </si>
  <si>
    <t>Lawsuits filed within the statutory protest period may result in significant delays to the start of construction and expose the Project to additional inflationary costs.</t>
  </si>
  <si>
    <t>Permits and Approvals</t>
  </si>
  <si>
    <t>Delays in the receipt of permits and approvals may delay the start of construction.</t>
  </si>
  <si>
    <t>Unanticipated Site Conditions</t>
  </si>
  <si>
    <t>Unanticipated geotechnical conditions could be encountered, potentially delaying the schedule or increasing costs. Much of the Project includes Karst geology, with caves, sinkholes, and underground streams that are especially sensitive to groundwater pollution.</t>
  </si>
  <si>
    <t>Extensive analysis was undertaken as part of the FEIS process.  Additionally, geotechnical investigations have been conducted on the Project, and preliminary results do not indicate any significant problems.</t>
  </si>
  <si>
    <t>Endangered Species</t>
  </si>
  <si>
    <t>If endangered species (e.g., Indiana bat, mussels, etc.) are encountered, construction work may be disrupted, leading to schedule delays and/or additional costs.</t>
  </si>
  <si>
    <t>Mitigation is an established process that minimizes delay with dedicated staffing to address surprise findings. Similar mitigation has been used on four previous corridor projects successfully to avoid construction delays.</t>
  </si>
  <si>
    <t>Hazardous Materials</t>
  </si>
  <si>
    <t>Both known and unknown hazardous materials could delay the Project and/or lead to additional costs.</t>
  </si>
  <si>
    <t>Extensive analysis was undertaken as part of the FEIS process. Additionally, investigations have been conducted on identified sites and preliminary results do not indicate any significant problems.</t>
  </si>
  <si>
    <t>Schedule Coordination</t>
  </si>
  <si>
    <t>Due to the size and complexity of the Project, poor project scheduling and coordination could delay the Project schedule.</t>
  </si>
  <si>
    <t>Maintenance of Traffic</t>
  </si>
  <si>
    <t>Traffic impacts and loss of access could adversely affect communities / businesses, negatively impacting support for project.</t>
  </si>
  <si>
    <t>Project Start-up/Execution</t>
  </si>
  <si>
    <t>Availability of State and Federal Funding</t>
  </si>
  <si>
    <t>The state has identified and committed various levels of conventional funding for the Project within the timeframe of its budget planning cycle. Funding beyond this period is subject to appropriation risk.</t>
  </si>
  <si>
    <t>Availability of Federal Financing Tools</t>
  </si>
  <si>
    <t>Uncertainty surrounding the availability of federal financing via the TIFIA program will have an impact on the risk level of the finance plan for the Project.</t>
  </si>
  <si>
    <t>TIFIA assistance is not anticipated in this project. In the event that the Project Sponsor pursues and is unsuccessful in securing federal TIFIA assistance, the Project Sponsor must ensure the viability of the finance plan without such assistance. The current finance plan is not dependent on a TIFIA allocation, although such an allocation would lessen dependence on certain state and federal funds described herein.</t>
  </si>
  <si>
    <t>Delay in Procurement</t>
  </si>
  <si>
    <t>Agency</t>
  </si>
  <si>
    <t>U.S. Army Corps of Engineers</t>
  </si>
  <si>
    <t>Section 404 Permit for Discharge of Dredged or Fill Material into Waters of the United States</t>
  </si>
  <si>
    <t>Federal Aviation Administration</t>
  </si>
  <si>
    <t>Tall  Structure  Permit  FAA  Form  7460-1  Notice  of  Proposed Construction or Alteration for a crane</t>
  </si>
  <si>
    <t>Indiana Department of Environmental Management</t>
  </si>
  <si>
    <t>Isolated wetland permit</t>
  </si>
  <si>
    <t>Section 401 Water Quality Certification</t>
  </si>
  <si>
    <t>Rule 5 National Pollution Discharge Elimination System</t>
  </si>
  <si>
    <t>Indiana Department of Natural Resources</t>
  </si>
  <si>
    <t>Construction in a Floodway Permit</t>
  </si>
  <si>
    <t>CN</t>
  </si>
  <si>
    <t>PE</t>
  </si>
  <si>
    <t>RW</t>
  </si>
  <si>
    <t>CE</t>
  </si>
  <si>
    <t>as of 4-30-17</t>
  </si>
  <si>
    <t>RR</t>
  </si>
  <si>
    <t>actual</t>
  </si>
  <si>
    <t>remaining</t>
  </si>
  <si>
    <t>Contract Completion</t>
  </si>
  <si>
    <t>Year</t>
  </si>
  <si>
    <t>2016 and Prior</t>
  </si>
  <si>
    <t>Environmental</t>
  </si>
  <si>
    <t>Preliminary Design</t>
  </si>
  <si>
    <t>Final Design</t>
  </si>
  <si>
    <t>Right-of-Way</t>
  </si>
  <si>
    <t>Utilities Relocation</t>
  </si>
  <si>
    <t>PE &amp; Final Design</t>
  </si>
  <si>
    <t>Right of Way</t>
  </si>
  <si>
    <t>CEI &amp; Administrative</t>
  </si>
  <si>
    <t>Initial Total Cost</t>
  </si>
  <si>
    <t>Project Total</t>
  </si>
  <si>
    <t>Railroad PE</t>
  </si>
  <si>
    <t>Rate</t>
  </si>
  <si>
    <t>2019 &amp; After</t>
  </si>
  <si>
    <t>Final engineering will be part of the alternative delivery contracts for the I-65 Southeast. Engineering and design cost estimates are currently estimated at 6.3% of the construction cost estimate.</t>
  </si>
  <si>
    <t>Construction Administration and Inspection costs are estimated at 3% of the construction cost estimate.</t>
  </si>
  <si>
    <t>Component / Fiscal Year</t>
  </si>
  <si>
    <t>2017 &amp; Prior</t>
  </si>
  <si>
    <t>Total</t>
  </si>
  <si>
    <t>PE, Environmental &amp; Final Design</t>
  </si>
  <si>
    <t>Utility &amp; Railroad Relocations</t>
  </si>
  <si>
    <t>CEI, Admin &amp; Program Costs</t>
  </si>
  <si>
    <t>Total Costs</t>
  </si>
  <si>
    <t>2018</t>
  </si>
  <si>
    <t>Federal</t>
  </si>
  <si>
    <t>State</t>
  </si>
  <si>
    <t>Construction contingency estimates are based on the level of engineering undertaken to date for the Project. Contingency factors have been developed based on the cost estimates that assessed the likelihood and potential cost of various major project risk items using a monte-carlo simulation to evaluate the overall potential cost impact. Contingencies have been adjusted to match the recommended 70th percentile cost estimate.</t>
  </si>
  <si>
    <t>Utilities &amp; Railroads</t>
  </si>
  <si>
    <t>All public and private project-related utility and railroad relocation and new construction.</t>
  </si>
  <si>
    <t>Costs include those related to telephone, electric, gas, fiber optics, water, sewer, TV cable, storm drainage, and railroads and are based on the most up-to-date cost information available.</t>
  </si>
  <si>
    <t>Various Project-related commitments as identified in the ROD.</t>
  </si>
  <si>
    <t>This includes fixed dollar commitments made for various National Environmental Protection Act (NEPA) commitments.</t>
  </si>
  <si>
    <t>Source of Funds</t>
  </si>
  <si>
    <t>% of Total</t>
  </si>
  <si>
    <t>IN State &amp; Federal Funding - Formulary</t>
  </si>
  <si>
    <t>IN State &amp; Federal Funding - Discretionary</t>
  </si>
  <si>
    <t>Uses of Funds</t>
  </si>
  <si>
    <t xml:space="preserve">   Source of Funds Subtotal</t>
  </si>
  <si>
    <t>Construction Costs</t>
  </si>
  <si>
    <t>Construction Oversight</t>
  </si>
  <si>
    <t>Revenue</t>
  </si>
  <si>
    <t>Thru 2017</t>
  </si>
  <si>
    <t>INDOT Funding</t>
  </si>
  <si>
    <t>Expenditures</t>
  </si>
  <si>
    <t>Design</t>
  </si>
  <si>
    <t>ROW</t>
  </si>
  <si>
    <t>Utilities/Railroads</t>
  </si>
  <si>
    <t>CEI, Admin, Prgm</t>
  </si>
  <si>
    <t>Carry Forward</t>
  </si>
  <si>
    <t xml:space="preserve">   Revenue Subtotal</t>
  </si>
  <si>
    <t xml:space="preserve">   Expenditures Subtotal</t>
  </si>
  <si>
    <t>Net Cash Flow</t>
  </si>
  <si>
    <t>Responsibility</t>
  </si>
  <si>
    <t>INDOT</t>
  </si>
  <si>
    <t>DB</t>
  </si>
  <si>
    <t>Recent US DB and P3 experience indicates that competition may result in aggressive bids below the state sponsor’s estimates. Should that prove not to be the case;  however, the state will revise its financial plans accordingly, including the possible inclusion of additional state and federal funding. It is the expectation of the Project Sponsor that the planned procurement approach will help to accelerate project delivery and, in turn, reduce costs.</t>
  </si>
  <si>
    <t>A DB or progress payment concession structure helps transfer much of this risk from the public to the private sector DB or concessionaire.</t>
  </si>
  <si>
    <t>While petroleum prices have an inflationary risk, both a DB and an progress payment concession structure, as contemplated by the state, helps transfer much of this risk from the public to the private sector DB or concessionaire.</t>
  </si>
  <si>
    <t>To mitigate the potential impacts of future litigation that could cause schedule delays and cost escalation, risk and mitigation delays and measures were addressed in the EIS. INDOT intends to adhere to the recommendations outlined in the EIS and conditions of each federal approval received to construct the project.</t>
  </si>
  <si>
    <t>The state has initiated activities necessary to secure major permits.  The DB will assume responsibility to obtain all other permit approvals.  Compliance will be the DB’s responsibility and will be addressed directly in the relevant contract documents.  The state has a track record of success in acquiring similar permits.</t>
  </si>
  <si>
    <t>A detailed maintenance of traffic (MOT) plan will be required of the DB. Commitments to the community will be included in the project requirements, such as no two streets cross the project shall be closed at the same time. Additional coordination with local projects and ongoing stakeholders is required as well.</t>
  </si>
  <si>
    <t>Delays in mobilizing required resources at project kick-off could delay the project at inception, requiring the DB to perpetually play catch-up with their schedule.</t>
  </si>
  <si>
    <t>Detailed requirements in the Technical Provisions and PPA define the DB’s responsibilities and keep schedule risk predominantly with the DB. Vigilant oversight by the project team will protect INDOT from unexpected delay claims.</t>
  </si>
  <si>
    <t>Within procedural limitations, the state has demonstrated a strong commitment to ensuring that the Project is delivered given the investment of funds to date. INDOT has included the Project in its internal budgeting and financial control systems at the requisite funding levels.  In addition, all anticipated funding amounts will be reflected in Indiana’s fiscally-constrained STIP and the TIP for the metropolitan region.</t>
  </si>
  <si>
    <t>The state does not receive affordable bids or are not able to reach commercial close in the procurement.</t>
  </si>
  <si>
    <t>An agreement is being developed to address the risks associated with not receiving affordable bids or not achieving commercial close.</t>
  </si>
  <si>
    <t>State FY</t>
  </si>
  <si>
    <t>2014</t>
  </si>
  <si>
    <t>2015</t>
  </si>
  <si>
    <t>2016</t>
  </si>
  <si>
    <t>Change from 2015</t>
  </si>
  <si>
    <t>Change from IFP</t>
  </si>
  <si>
    <t>2013 &amp; Prior</t>
  </si>
  <si>
    <t xml:space="preserve">  Total</t>
  </si>
  <si>
    <t>FUND TYPE / FISCAL YEAR</t>
  </si>
  <si>
    <t>2017</t>
  </si>
  <si>
    <t>National Highway System (NHS)</t>
  </si>
  <si>
    <t>Earmark/Demostration/High Priority Funds</t>
  </si>
  <si>
    <t>Surface Transportation Block Grant Program (STBGP) Formerly Surfact Transportation Program (STP)</t>
  </si>
  <si>
    <t>National Highway Performance Program</t>
  </si>
  <si>
    <t>TIFIA Redistribution</t>
  </si>
  <si>
    <t>Equity Bonus</t>
  </si>
  <si>
    <t xml:space="preserve"> Subtotal, Federal Funds</t>
  </si>
  <si>
    <r>
      <t xml:space="preserve">State Highway Fund </t>
    </r>
    <r>
      <rPr>
        <vertAlign val="superscript"/>
        <sz val="10"/>
        <color theme="1"/>
        <rFont val="Arial"/>
        <family val="2"/>
      </rPr>
      <t>1</t>
    </r>
  </si>
  <si>
    <t>Indiana Toll Road Lease Proceeds</t>
  </si>
  <si>
    <t xml:space="preserve"> Subtotal, State Funds</t>
  </si>
  <si>
    <t>1.  The 'State Highway Fund' category includes the Developer's bid price of $232.9M and is included in 2015</t>
  </si>
  <si>
    <t xml:space="preserve">       through 2017 columns.</t>
  </si>
  <si>
    <t>Financial Plan</t>
  </si>
  <si>
    <t>Difference</t>
  </si>
  <si>
    <r>
      <t xml:space="preserve">State Highway Fund </t>
    </r>
    <r>
      <rPr>
        <vertAlign val="superscript"/>
        <sz val="10"/>
        <color theme="1"/>
        <rFont val="Times New Roman"/>
        <family val="1"/>
      </rPr>
      <t>1</t>
    </r>
  </si>
  <si>
    <t>Developer</t>
  </si>
  <si>
    <t>Difference $</t>
  </si>
  <si>
    <t>% Change</t>
  </si>
  <si>
    <t>PE,  Env., and Design</t>
  </si>
  <si>
    <t>Milestone Payments</t>
  </si>
  <si>
    <t>Utilities and Railroad</t>
  </si>
  <si>
    <t xml:space="preserve">   Total</t>
  </si>
  <si>
    <t>FUND TYPE - PHASE / FISCAL YEAR</t>
  </si>
  <si>
    <t>Public</t>
  </si>
  <si>
    <t>PE,  Environmental, and Final Design</t>
  </si>
  <si>
    <t>Utility and Railroad Relocations</t>
  </si>
  <si>
    <t>CEI, Administration, and Program Costs</t>
  </si>
  <si>
    <t xml:space="preserve">   Subtotal, Public Funds</t>
  </si>
  <si>
    <t>Private</t>
  </si>
  <si>
    <t xml:space="preserve">   Subtotal, Private Funds</t>
  </si>
  <si>
    <t>State Fiscal Year</t>
  </si>
  <si>
    <t>MATURITY</t>
  </si>
  <si>
    <t>PRINCIPAL</t>
  </si>
  <si>
    <t>COUPON</t>
  </si>
  <si>
    <t>YIELDS</t>
  </si>
  <si>
    <t>TOTAL</t>
  </si>
  <si>
    <t>Availability Payments</t>
  </si>
  <si>
    <t>Sources of Funds</t>
  </si>
  <si>
    <r>
      <t>IFP</t>
    </r>
    <r>
      <rPr>
        <b/>
        <vertAlign val="superscript"/>
        <sz val="9"/>
        <color theme="1"/>
        <rFont val="Times New Roman"/>
        <family val="1"/>
      </rPr>
      <t>1</t>
    </r>
  </si>
  <si>
    <t>2015 FPAU</t>
  </si>
  <si>
    <t>2016 FPAU</t>
  </si>
  <si>
    <t>Change</t>
  </si>
  <si>
    <t>2016 % of Total</t>
  </si>
  <si>
    <t>Milestone Payment (Federal &amp; State)</t>
  </si>
  <si>
    <t>Utilities Milestone Payment (Federal &amp; State)</t>
  </si>
  <si>
    <t>Bond Proceeds</t>
  </si>
  <si>
    <t>Equity</t>
  </si>
  <si>
    <t>Interest Income</t>
  </si>
  <si>
    <t>Transaction Cost</t>
  </si>
  <si>
    <t>Operations during Construction</t>
  </si>
  <si>
    <t>Lead Underwriter Fee</t>
  </si>
  <si>
    <t>Bond Interest</t>
  </si>
  <si>
    <t>DSRA Funding</t>
  </si>
  <si>
    <t>Bond Repayment</t>
  </si>
  <si>
    <t>1)  The IFP Sorces and Uses of Funds does not include INDOT costs and is reflective of the indicative Developer bid on the Project.</t>
  </si>
  <si>
    <t>prior FY FPAU</t>
  </si>
  <si>
    <t>Fiscal Year End</t>
  </si>
  <si>
    <t>O&amp;M Costs</t>
  </si>
  <si>
    <t>Lifecycle Costs</t>
  </si>
  <si>
    <t>Thru 2013</t>
  </si>
  <si>
    <t>INDOT Funding – Milestones</t>
  </si>
  <si>
    <t>INDOT Funding – Utility Milestones</t>
  </si>
  <si>
    <t>INDOT Funding Other</t>
  </si>
  <si>
    <t>Private Activity Bonds</t>
  </si>
  <si>
    <t>Developer Equity</t>
  </si>
  <si>
    <t>Interest Earned</t>
  </si>
  <si>
    <t>Non-Developer Expenditures</t>
  </si>
  <si>
    <t>Utilities</t>
  </si>
  <si>
    <t>CN Chg Order/Ctgy</t>
  </si>
  <si>
    <t>Developer Expenditures</t>
  </si>
  <si>
    <t>Other Costs</t>
  </si>
  <si>
    <t>Interest during Construction</t>
  </si>
  <si>
    <t>Finance/Bond Repayment &amp; Reserve Costs</t>
  </si>
  <si>
    <t>O&amp;M During Construction</t>
  </si>
  <si>
    <t>Item</t>
  </si>
  <si>
    <t>Description</t>
  </si>
  <si>
    <t>Status</t>
  </si>
  <si>
    <t>Schedule Impact</t>
  </si>
  <si>
    <t>Amount</t>
  </si>
  <si>
    <t>CO-01</t>
  </si>
  <si>
    <t>CO-02</t>
  </si>
  <si>
    <t>CO-03</t>
  </si>
  <si>
    <t>CO-04</t>
  </si>
  <si>
    <t>CO-05</t>
  </si>
  <si>
    <t>CO-06</t>
  </si>
  <si>
    <t>CO-07</t>
  </si>
  <si>
    <t>CO-08</t>
  </si>
  <si>
    <t>CO-09</t>
  </si>
  <si>
    <t>Access Rd realignment at Duke substation</t>
  </si>
  <si>
    <t>Executed</t>
  </si>
  <si>
    <t>None</t>
  </si>
  <si>
    <t>RFCP No. 1.1 - Avoiding relocation of utilities</t>
  </si>
  <si>
    <t>RFCP No. 1.2 - Avoiding relocation of utilities</t>
  </si>
  <si>
    <t>RFCP No. 1.3 - Avoiding relocation of utilities</t>
  </si>
  <si>
    <t>RFCP No. 1.4 - Avoiding relocation of utilities</t>
  </si>
  <si>
    <t>RFCP No. 1.5 - Avoiding relocation of utilities</t>
  </si>
  <si>
    <t>RFCP No. 1.6 - Avoiding relocation of utilities</t>
  </si>
  <si>
    <t>RFCP No. 1.7 - Avoiding relocation of utilities</t>
  </si>
  <si>
    <t>RFCP No. 2 - Main Street pavement section</t>
  </si>
  <si>
    <t>use this table/section to illustrate cost changes/change orders that occurred over the reporting period</t>
  </si>
  <si>
    <t>use  this table/section to discuss risks either identified or resolved during the reporting period related to procurement</t>
  </si>
  <si>
    <t>use  this table/section to discuss risks either identified or resolved during the reporting period related to financing/revenue</t>
  </si>
  <si>
    <t>use  this table/section to discuss risks either identified or resolved during the reporting period related to the schedule</t>
  </si>
  <si>
    <t>use  this table/section to discuss risks either identified or resolved during the reporting period related to costs</t>
  </si>
  <si>
    <t>use this table to list permits identified or obtained for the project</t>
  </si>
  <si>
    <t>use this table/section to discuss the step two P3 screening process/results</t>
  </si>
  <si>
    <t>use this table/section to show funds used under AC during the reporting period - this will be populated by Project Finance section</t>
  </si>
  <si>
    <t>use this table format for the IFP to show funding types and years of expected or actual use</t>
  </si>
  <si>
    <t>use this table format to discuss the methodology used to estimate costs; examples below not inclusive</t>
  </si>
  <si>
    <t>use this table/graph to show project cost elements by phase.  FPAU table will look like that on row 31 below</t>
  </si>
  <si>
    <t>use this table to show major project milestones in schedule.  FPAU will add another column with dates especially if they change from the IFP</t>
  </si>
  <si>
    <t>FY16 FPAU</t>
  </si>
  <si>
    <t>Financial Close</t>
  </si>
  <si>
    <t>Open to Traffic</t>
  </si>
  <si>
    <t>N/A</t>
  </si>
  <si>
    <t>FPAU table</t>
  </si>
  <si>
    <t>this is what it will look like with FPAU</t>
  </si>
  <si>
    <t>use this section/figure to provide a map of the project area</t>
  </si>
  <si>
    <t>P3</t>
  </si>
  <si>
    <t>Traditional D/B or DBB Project:</t>
  </si>
  <si>
    <t>Schedule Item</t>
  </si>
  <si>
    <t>Preliminary Design Consultant Notice to Proceed</t>
  </si>
  <si>
    <t>Contract A Letting</t>
  </si>
  <si>
    <t>Contract B Letting</t>
  </si>
  <si>
    <t>Contract C Letting</t>
  </si>
  <si>
    <t>2019 FPAU</t>
  </si>
  <si>
    <t>Contract</t>
  </si>
  <si>
    <t>Contract A</t>
  </si>
  <si>
    <t>Contract B</t>
  </si>
  <si>
    <t>Contract C</t>
  </si>
  <si>
    <t>Activity</t>
  </si>
  <si>
    <t>2019</t>
  </si>
  <si>
    <t>2020</t>
  </si>
  <si>
    <t>2021</t>
  </si>
  <si>
    <t>2022</t>
  </si>
  <si>
    <t>Environmental &amp; Engineering</t>
  </si>
  <si>
    <t>Construction, Utilities, CEI</t>
  </si>
  <si>
    <t>Contract Total</t>
  </si>
  <si>
    <t>Single Contract:</t>
  </si>
  <si>
    <t>Multiple Contracts:</t>
  </si>
  <si>
    <t>Table 3-2: Cost Estimating Methodology</t>
  </si>
  <si>
    <t>FPAU Table-</t>
  </si>
  <si>
    <t>FPAU</t>
  </si>
  <si>
    <t>Table 3-1  Initial Total Project Cost by Contract and Activity in YOE ($ Millions)</t>
  </si>
  <si>
    <t>Table 3-1b Annual Update Total Project Cost by Contract and Activity in YOE ($ Millions)</t>
  </si>
  <si>
    <t>IFP: use this table/graph to show project cost elements by activity for each contract.  FPAU's: Include Table 3-1 &amp; 3-1b; Update pie chart figures 3-1a &amp; 3-1b to current Cost</t>
  </si>
  <si>
    <t>use this table to illustrate the project budget by activity and year actual and/or estimated. Update numbers in FPAU's.</t>
  </si>
  <si>
    <t>Table 3-3: Project Cost Estimate by State Fiscal Year (YOE $ Millions)</t>
  </si>
  <si>
    <t>Table 3-1 : Project Cost Estimate by Activity(YOE $Millions)</t>
  </si>
  <si>
    <t>Table 3-1 : Project Cost Estimate by Activity (YOE $Millions)</t>
  </si>
  <si>
    <t>Table 3-4: Project Expenditures &amp; Cost Estimate Summary Comparison by State Fiscal Year (YOE $ Millions)</t>
  </si>
  <si>
    <t>2014 FPAU</t>
  </si>
  <si>
    <t>use this table to show the project budget.  IFP will not have the last two comparative columns. The same table is used for single and multiple contract projects.</t>
  </si>
  <si>
    <t>Table 4-1: Federal and State Funding (in $ millions)</t>
  </si>
  <si>
    <t>use this table format for FPAU to show funding types/years and prior year comparison; Comparison to initial financial plan (IFP) is in subtotal</t>
  </si>
  <si>
    <t>2016 FPAU Total</t>
  </si>
  <si>
    <t>2015 FPAU Total</t>
  </si>
  <si>
    <t>Table 4-2.  Public and Private Funding Summary (in $ millions)</t>
  </si>
  <si>
    <t>Table 4-3.  Public and Private Funding (in $ millions)</t>
  </si>
  <si>
    <t>Table 4-4.  Advanced Construction Funding Status (in $ millions)</t>
  </si>
  <si>
    <t>Year 
(end June)</t>
  </si>
  <si>
    <t>Finance Cost</t>
  </si>
  <si>
    <r>
      <t xml:space="preserve">use this table/section to illustrate any bond/note/debt instrument utilized to build the project.  Update numbers in Annual Updates and add Table 5-1b
</t>
    </r>
    <r>
      <rPr>
        <b/>
        <sz val="11"/>
        <color rgb="FFFF0000"/>
        <rFont val="Calibri"/>
        <family val="2"/>
        <scheme val="minor"/>
      </rPr>
      <t>Only applies to P3 project types</t>
    </r>
  </si>
  <si>
    <r>
      <t xml:space="preserve">ues this table/section to illustrate ongoing payments on P3 projects = private funds involved and ongoing O&amp;M.
</t>
    </r>
    <r>
      <rPr>
        <b/>
        <sz val="11"/>
        <color rgb="FFFF0000"/>
        <rFont val="Calibri"/>
        <family val="2"/>
        <scheme val="minor"/>
      </rPr>
      <t>Only applicable to P3 projects</t>
    </r>
  </si>
  <si>
    <t>use this table format for all project types except P3 projects = private sector funding</t>
  </si>
  <si>
    <t>use this table format for P3 project types = involves private sector funding</t>
  </si>
  <si>
    <t>Table 6-1.  Estimated Project Sources and Uses of Funds (in $ millions)</t>
  </si>
  <si>
    <t>use this table format for all projects exceptP3 = private sector funding</t>
  </si>
  <si>
    <t>use this table format for P3 projects = has private funding involved, PABs, BANs, etc.</t>
  </si>
  <si>
    <t>use this table/section to illustrate ongoing costs post substantial completion.  Applies only to P3 projects that involve ongoing O&amp;M</t>
  </si>
  <si>
    <t>Table 6-3.  Project Cash Flows (in $ millions)</t>
  </si>
  <si>
    <t>Expenses</t>
  </si>
  <si>
    <t>IFP Expenses</t>
  </si>
  <si>
    <t>2010 &amp; Prior</t>
  </si>
  <si>
    <t>IFP Revenue</t>
  </si>
  <si>
    <t>Table 6-3b: Cumulative Cash Flow Comparison</t>
  </si>
  <si>
    <t>Table 6-2.  Projected Operations and Maintenance Costs (in $ millions)</t>
  </si>
  <si>
    <t>Add Table 6-3b and Figure 6-3 in Financial Plan Annual Updates (FPAUs); explain in narrative form significant deviations from the IFP</t>
  </si>
  <si>
    <t>Table 7-1.  INDOT P3 Screening Criteria – Step One</t>
  </si>
  <si>
    <t>Rating</t>
  </si>
  <si>
    <t>use this table/section to discuss the step one P3 screening process/results.Rating = High/Medium/Low. Only go to step two and add tables 7-2 &amp; 7-3 if multiple Ratings are Medium or High</t>
  </si>
  <si>
    <t>Table 7-2.  INDOT P3 Screening Criteria – Step Two</t>
  </si>
  <si>
    <t>Response Strategy</t>
  </si>
  <si>
    <t>Likelihood of Occurrence</t>
  </si>
  <si>
    <t>Impact of Occurrence</t>
  </si>
  <si>
    <t>Table 8-1: Project Cost Risk and Response Strategies</t>
  </si>
  <si>
    <t>Table 8-4: Procurement Risk and Response Strategies</t>
  </si>
  <si>
    <t>Table 8-3: Project Finance &amp; Revenue Risk and Response Strategies</t>
  </si>
  <si>
    <t>Table 8-2: Project Schedule Risk and Response Strategies</t>
  </si>
  <si>
    <t>Table 11-1.  Summary of Cost Changes</t>
  </si>
  <si>
    <t>Executed Construction Cost Changes</t>
  </si>
  <si>
    <t>Pre-Construction Changes</t>
  </si>
  <si>
    <t>Design Scope Changes</t>
  </si>
  <si>
    <t>Activity / Funding Source</t>
  </si>
  <si>
    <t>Figure 1-1: [Project Name] Map</t>
  </si>
  <si>
    <t>Table 2-1.  Project Schedule Overview</t>
  </si>
  <si>
    <t>use this table/section to build a diagram of the schedule, gantt chart like</t>
  </si>
  <si>
    <t>Table 2-2.  Procurement Schedule</t>
  </si>
  <si>
    <t>Table 5-1: PABs Structure</t>
  </si>
  <si>
    <t>Table 5-2: Availability Payment Growth Summary Schedule</t>
  </si>
  <si>
    <t>Detailed Budget</t>
  </si>
  <si>
    <t>Total Project Costs by Subproject and Phase</t>
  </si>
  <si>
    <t>Environmental - NEPA</t>
  </si>
  <si>
    <t>Subproject 1</t>
  </si>
  <si>
    <t>Subproject 2</t>
  </si>
  <si>
    <t>Subproject 3</t>
  </si>
  <si>
    <t>Subproject 4</t>
  </si>
  <si>
    <t>Preliminary Engineering</t>
  </si>
  <si>
    <t>Environmental Mitigation</t>
  </si>
  <si>
    <t xml:space="preserve"> $               -   </t>
  </si>
  <si>
    <t>Phase/Subproject</t>
  </si>
  <si>
    <t>FY19 FPAU</t>
  </si>
  <si>
    <t>FY18 FPAU</t>
  </si>
  <si>
    <t>Change from FY18 FPAU</t>
  </si>
  <si>
    <t>Subtotal</t>
  </si>
  <si>
    <t>use this table for P3 type projects only to illustrate the project budget by activity and year actual and/or estimated. Update numbers in FPAU's.</t>
  </si>
  <si>
    <t>use this table/section to show funding contributions by their source and phase use.  Only for P3 type projects = private funding involved</t>
  </si>
  <si>
    <t>INDOT AC Auth</t>
  </si>
  <si>
    <t>Permit/Notification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</si>
</sst>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0_);_(&quot;$&quot;* \(#,##0.0\);_(&quot;$&quot;* &quot;-&quot;??_);_(@_)"/>
    <numFmt numFmtId="165" formatCode="0.0%"/>
    <numFmt numFmtId="166" formatCode="_(&quot;$&quot;* #,##0_);_(&quot;$&quot;* \(#,##0\);_(&quot;$&quot;* &quot;-&quot;??_);_(@_)"/>
  </numFmts>
  <fonts count="47" x14ac:knownFonts="1">
    <font>
      <sz val="11"/>
      <color theme="1"/>
      <name val="Calibri"/>
      <family val="2"/>
      <scheme val="minor"/>
    </font>
    <font>
      <sz val="10"/>
      <name val="Arial Unicode MS"/>
      <family val="2"/>
    </font>
    <font>
      <sz val="10"/>
      <name val="Arial"/>
      <family val="2"/>
    </font>
    <font>
      <sz val="11"/>
      <color theme="1"/>
      <name val="Calibri"/>
      <family val="2"/>
      <scheme val="minor"/>
    </font>
    <font>
      <sz val="10"/>
      <color theme="1"/>
      <name val="Arial"/>
      <family val="2"/>
    </font>
    <font>
      <sz val="10"/>
      <color theme="1"/>
      <name val="Calibri"/>
      <family val="2"/>
      <scheme val="minor"/>
    </font>
    <font>
      <b/>
      <sz val="12"/>
      <color theme="1"/>
      <name val="Calibri"/>
      <family val="2"/>
    </font>
    <font>
      <sz val="11"/>
      <color theme="1"/>
      <name val="Calibri"/>
      <family val="2"/>
    </font>
    <font>
      <b/>
      <sz val="10"/>
      <color rgb="FFFFFFFF"/>
      <name val="Times New Roman"/>
      <family val="1"/>
    </font>
    <font>
      <b/>
      <sz val="10"/>
      <color theme="1"/>
      <name val="Times New Roman"/>
      <family val="1"/>
    </font>
    <font>
      <sz val="10"/>
      <color theme="1"/>
      <name val="Times New Roman"/>
      <family val="1"/>
    </font>
    <font>
      <b/>
      <sz val="11"/>
      <color theme="0"/>
      <name val="Calibri"/>
      <family val="2"/>
      <scheme val="minor"/>
    </font>
    <font>
      <b/>
      <sz val="11"/>
      <color theme="1"/>
      <name val="Calibri"/>
      <family val="2"/>
      <scheme val="minor"/>
    </font>
    <font>
      <b/>
      <u/>
      <sz val="10"/>
      <color theme="1"/>
      <name val="Arial"/>
      <family val="2"/>
    </font>
    <font>
      <b/>
      <sz val="10"/>
      <color rgb="FF000000"/>
      <name val="Times New Roman"/>
      <family val="1"/>
    </font>
    <font>
      <i/>
      <sz val="10"/>
      <color rgb="FF000000"/>
      <name val="Times New Roman"/>
      <family val="1"/>
    </font>
    <font>
      <sz val="10"/>
      <color rgb="FF000000"/>
      <name val="Times New Roman"/>
      <family val="1"/>
    </font>
    <font>
      <sz val="11"/>
      <color theme="0"/>
      <name val="Calibri"/>
      <family val="2"/>
      <scheme val="minor"/>
    </font>
    <font>
      <b/>
      <sz val="10"/>
      <color theme="1"/>
      <name val="Arial"/>
      <family val="2"/>
    </font>
    <font>
      <vertAlign val="superscript"/>
      <sz val="10"/>
      <color theme="1"/>
      <name val="Arial"/>
      <family val="2"/>
    </font>
    <font>
      <sz val="10"/>
      <name val="Times New Roman"/>
      <family val="1"/>
    </font>
    <font>
      <b/>
      <sz val="10"/>
      <name val="Times New Roman"/>
      <family val="1"/>
    </font>
    <font>
      <vertAlign val="superscript"/>
      <sz val="10"/>
      <color theme="1"/>
      <name val="Times New Roman"/>
      <family val="1"/>
    </font>
    <font>
      <b/>
      <i/>
      <sz val="11"/>
      <color theme="1"/>
      <name val="Calibri"/>
      <family val="2"/>
      <scheme val="minor"/>
    </font>
    <font>
      <sz val="11"/>
      <color theme="1"/>
      <name val="Times New Roman"/>
      <family val="1"/>
    </font>
    <font>
      <b/>
      <sz val="11"/>
      <color theme="1"/>
      <name val="Times New Roman"/>
      <family val="1"/>
    </font>
    <font>
      <sz val="11"/>
      <name val="Calibri"/>
      <family val="2"/>
      <scheme val="minor"/>
    </font>
    <font>
      <b/>
      <sz val="9"/>
      <color theme="1"/>
      <name val="Times New Roman"/>
      <family val="1"/>
    </font>
    <font>
      <b/>
      <vertAlign val="superscript"/>
      <sz val="9"/>
      <color theme="1"/>
      <name val="Times New Roman"/>
      <family val="1"/>
    </font>
    <font>
      <sz val="9"/>
      <color theme="1"/>
      <name val="Times New Roman"/>
      <family val="1"/>
    </font>
    <font>
      <sz val="9"/>
      <name val="Times New Roman"/>
      <family val="1"/>
    </font>
    <font>
      <b/>
      <sz val="8"/>
      <color rgb="FFFFFFFF"/>
      <name val="Calibri"/>
      <family val="2"/>
    </font>
    <font>
      <b/>
      <sz val="8"/>
      <color rgb="FF000000"/>
      <name val="Calibri"/>
      <family val="2"/>
    </font>
    <font>
      <sz val="8"/>
      <color rgb="FF000000"/>
      <name val="Calibri"/>
      <family val="2"/>
    </font>
    <font>
      <sz val="8"/>
      <name val="Calibri"/>
      <family val="2"/>
    </font>
    <font>
      <b/>
      <sz val="12"/>
      <color rgb="FF000000"/>
      <name val="Calibri"/>
      <family val="2"/>
    </font>
    <font>
      <sz val="11"/>
      <color rgb="FF000000"/>
      <name val="Calibri"/>
      <family val="2"/>
    </font>
    <font>
      <b/>
      <sz val="11"/>
      <color rgb="FF000000"/>
      <name val="Calibri"/>
      <family val="2"/>
    </font>
    <font>
      <sz val="11"/>
      <color rgb="FFFF0000"/>
      <name val="Calibri"/>
      <family val="2"/>
      <scheme val="minor"/>
    </font>
    <font>
      <b/>
      <sz val="11"/>
      <name val="Calibri"/>
      <family val="2"/>
      <scheme val="minor"/>
    </font>
    <font>
      <i/>
      <sz val="11"/>
      <color rgb="FFFF0000"/>
      <name val="Calibri"/>
      <family val="2"/>
      <scheme val="minor"/>
    </font>
    <font>
      <b/>
      <sz val="11"/>
      <name val="Arial"/>
      <family val="2"/>
    </font>
    <font>
      <b/>
      <sz val="11"/>
      <color rgb="FFFF0000"/>
      <name val="Calibri"/>
      <family val="2"/>
      <scheme val="minor"/>
    </font>
    <font>
      <sz val="12"/>
      <color theme="1"/>
      <name val="Arial"/>
      <family val="2"/>
    </font>
    <font>
      <b/>
      <sz val="10"/>
      <color rgb="FFFFFFFF"/>
      <name val="Arial"/>
      <family val="2"/>
    </font>
    <font>
      <sz val="10"/>
      <color rgb="FF000000"/>
      <name val="Arial"/>
      <family val="2"/>
    </font>
    <font>
      <b/>
      <sz val="10"/>
      <color rgb="FF000000"/>
      <name val="Arial"/>
      <family val="2"/>
    </font>
  </fonts>
  <fills count="23">
    <fill>
      <patternFill patternType="none"/>
    </fill>
    <fill>
      <patternFill patternType="gray125"/>
    </fill>
    <fill>
      <patternFill patternType="solid">
        <fgColor rgb="FFB6DDE8"/>
        <bgColor indexed="64"/>
      </patternFill>
    </fill>
    <fill>
      <patternFill patternType="solid">
        <fgColor rgb="FF4F81BC"/>
        <bgColor indexed="64"/>
      </patternFill>
    </fill>
    <fill>
      <patternFill patternType="solid">
        <fgColor rgb="FFDBE4F0"/>
        <bgColor indexed="64"/>
      </patternFill>
    </fill>
    <fill>
      <patternFill patternType="solid">
        <fgColor rgb="FF8099C5"/>
        <bgColor indexed="64"/>
      </patternFill>
    </fill>
    <fill>
      <patternFill patternType="solid">
        <fgColor theme="8"/>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C5D9F0"/>
        <bgColor indexed="64"/>
      </patternFill>
    </fill>
    <fill>
      <patternFill patternType="solid">
        <fgColor theme="0" tint="-0.14999847407452621"/>
        <bgColor indexed="64"/>
      </patternFill>
    </fill>
    <fill>
      <patternFill patternType="solid">
        <fgColor rgb="FF4066AA"/>
        <bgColor indexed="64"/>
      </patternFill>
    </fill>
    <fill>
      <patternFill patternType="solid">
        <fgColor theme="4" tint="0.79998168889431442"/>
        <bgColor indexed="64"/>
      </patternFill>
    </fill>
    <fill>
      <patternFill patternType="solid">
        <fgColor rgb="FFFCE9D9"/>
        <bgColor indexed="64"/>
      </patternFill>
    </fill>
    <fill>
      <patternFill patternType="solid">
        <fgColor rgb="FFFFFFFF"/>
        <bgColor indexed="64"/>
      </patternFill>
    </fill>
    <fill>
      <patternFill patternType="solid">
        <fgColor theme="7"/>
        <bgColor theme="7"/>
      </patternFill>
    </fill>
    <fill>
      <patternFill patternType="solid">
        <fgColor theme="0" tint="-0.249977111117893"/>
        <bgColor indexed="64"/>
      </patternFill>
    </fill>
    <fill>
      <patternFill patternType="solid">
        <fgColor rgb="FF4F81BD"/>
        <bgColor indexed="64"/>
      </patternFill>
    </fill>
    <fill>
      <patternFill patternType="solid">
        <fgColor rgb="FFDBE5F1"/>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94B3D6"/>
      </left>
      <right style="medium">
        <color rgb="FF94B3D6"/>
      </right>
      <top style="thick">
        <color rgb="FF4F81BC"/>
      </top>
      <bottom style="medium">
        <color rgb="FF94B3D6"/>
      </bottom>
      <diagonal/>
    </border>
    <border>
      <left style="medium">
        <color rgb="FF94B3D6"/>
      </left>
      <right style="medium">
        <color rgb="FF94B3D6"/>
      </right>
      <top/>
      <bottom style="medium">
        <color rgb="FF94B3D6"/>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ck">
        <color indexed="64"/>
      </bottom>
      <diagonal/>
    </border>
    <border>
      <left style="medium">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4066AA"/>
      </left>
      <right style="medium">
        <color rgb="FF4066AA"/>
      </right>
      <top style="medium">
        <color rgb="FF4066AA"/>
      </top>
      <bottom style="medium">
        <color rgb="FF4066AA"/>
      </bottom>
      <diagonal/>
    </border>
    <border>
      <left/>
      <right style="medium">
        <color rgb="FF4066AA"/>
      </right>
      <top style="medium">
        <color rgb="FF4066AA"/>
      </top>
      <bottom style="medium">
        <color rgb="FF4066AA"/>
      </bottom>
      <diagonal/>
    </border>
    <border>
      <left/>
      <right/>
      <top style="medium">
        <color rgb="FF4066AA"/>
      </top>
      <bottom style="medium">
        <color rgb="FF4066AA"/>
      </bottom>
      <diagonal/>
    </border>
    <border>
      <left style="medium">
        <color rgb="FF4066AA"/>
      </left>
      <right style="medium">
        <color rgb="FF4066AA"/>
      </right>
      <top/>
      <bottom style="medium">
        <color rgb="FF4066AA"/>
      </bottom>
      <diagonal/>
    </border>
    <border>
      <left/>
      <right style="medium">
        <color rgb="FF4066AA"/>
      </right>
      <top/>
      <bottom style="medium">
        <color rgb="FF4066AA"/>
      </bottom>
      <diagonal/>
    </border>
    <border>
      <left style="medium">
        <color rgb="FF4066AA"/>
      </left>
      <right/>
      <top/>
      <bottom style="medium">
        <color rgb="FF4066AA"/>
      </bottom>
      <diagonal/>
    </border>
    <border>
      <left/>
      <right/>
      <top/>
      <bottom style="medium">
        <color rgb="FF4066AA"/>
      </bottom>
      <diagonal/>
    </border>
    <border>
      <left style="medium">
        <color rgb="FF4066AA"/>
      </left>
      <right style="medium">
        <color rgb="FF4066AA"/>
      </right>
      <top/>
      <bottom style="thick">
        <color rgb="FF4066AA"/>
      </bottom>
      <diagonal/>
    </border>
    <border>
      <left/>
      <right style="medium">
        <color rgb="FF4066AA"/>
      </right>
      <top/>
      <bottom style="thick">
        <color rgb="FF4066AA"/>
      </bottom>
      <diagonal/>
    </border>
    <border>
      <left/>
      <right/>
      <top/>
      <bottom style="thick">
        <color rgb="FF4066AA"/>
      </bottom>
      <diagonal/>
    </border>
    <border>
      <left style="medium">
        <color rgb="FF4066AA"/>
      </left>
      <right/>
      <top/>
      <bottom style="thick">
        <color rgb="FF4066AA"/>
      </bottom>
      <diagonal/>
    </border>
    <border>
      <left style="medium">
        <color rgb="FF4066AA"/>
      </left>
      <right style="medium">
        <color rgb="FF4066AA"/>
      </right>
      <top style="medium">
        <color rgb="FF4066AA"/>
      </top>
      <bottom style="thick">
        <color rgb="FF4066AA"/>
      </bottom>
      <diagonal/>
    </border>
    <border>
      <left/>
      <right/>
      <top/>
      <bottom style="medium">
        <color rgb="FF000000"/>
      </bottom>
      <diagonal/>
    </border>
    <border>
      <left/>
      <right/>
      <top style="thin">
        <color indexed="64"/>
      </top>
      <bottom style="thin">
        <color indexed="64"/>
      </bottom>
      <diagonal/>
    </border>
    <border>
      <left style="medium">
        <color auto="1"/>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
      <left style="medium">
        <color rgb="FF4F81BD"/>
      </left>
      <right/>
      <top style="medium">
        <color rgb="FF4F81BD"/>
      </top>
      <bottom/>
      <diagonal/>
    </border>
    <border>
      <left style="medium">
        <color rgb="FF4F81BD"/>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s>
  <cellStyleXfs count="7">
    <xf numFmtId="0" fontId="0" fillId="0" borderId="0"/>
    <xf numFmtId="44" fontId="3" fillId="0" borderId="0" applyFont="0" applyFill="0" applyBorder="0" applyAlignment="0" applyProtection="0"/>
    <xf numFmtId="44" fontId="1" fillId="0" borderId="0" applyFont="0" applyFill="0" applyBorder="0" applyAlignment="0" applyProtection="0"/>
    <xf numFmtId="0" fontId="1" fillId="0" borderId="0"/>
    <xf numFmtId="0" fontId="2" fillId="0" borderId="0"/>
    <xf numFmtId="0" fontId="4" fillId="0" borderId="0"/>
    <xf numFmtId="9" fontId="3" fillId="0" borderId="0" applyFont="0" applyFill="0" applyBorder="0" applyAlignment="0" applyProtection="0"/>
  </cellStyleXfs>
  <cellXfs count="411">
    <xf numFmtId="0" fontId="0" fillId="0" borderId="0" xfId="0"/>
    <xf numFmtId="0" fontId="6" fillId="2" borderId="6" xfId="0" applyFont="1" applyFill="1" applyBorder="1" applyAlignment="1">
      <alignment vertical="top"/>
    </xf>
    <xf numFmtId="0" fontId="7" fillId="0" borderId="3" xfId="0" applyFont="1" applyBorder="1" applyAlignment="1">
      <alignment vertical="top"/>
    </xf>
    <xf numFmtId="0" fontId="7" fillId="2" borderId="3" xfId="0" applyFont="1" applyFill="1" applyBorder="1" applyAlignment="1">
      <alignment vertical="top"/>
    </xf>
    <xf numFmtId="0" fontId="7" fillId="0" borderId="3" xfId="0" applyFont="1" applyFill="1" applyBorder="1" applyAlignment="1">
      <alignment vertical="top"/>
    </xf>
    <xf numFmtId="164" fontId="0" fillId="0" borderId="0" xfId="1" applyNumberFormat="1" applyFont="1"/>
    <xf numFmtId="0" fontId="0" fillId="0" borderId="0" xfId="0" applyAlignment="1">
      <alignment wrapText="1"/>
    </xf>
    <xf numFmtId="0" fontId="0" fillId="0" borderId="0" xfId="0" applyFont="1"/>
    <xf numFmtId="0" fontId="5" fillId="0" borderId="0" xfId="0" applyFont="1" applyAlignment="1">
      <alignment wrapText="1"/>
    </xf>
    <xf numFmtId="0" fontId="0" fillId="0" borderId="0" xfId="0" applyAlignment="1"/>
    <xf numFmtId="0" fontId="6" fillId="2" borderId="7" xfId="0" applyFont="1" applyFill="1" applyBorder="1" applyAlignment="1">
      <alignment horizontal="center" vertical="top"/>
    </xf>
    <xf numFmtId="14" fontId="7" fillId="0" borderId="2" xfId="0" applyNumberFormat="1" applyFont="1" applyBorder="1" applyAlignment="1">
      <alignment vertical="top"/>
    </xf>
    <xf numFmtId="14" fontId="7" fillId="2" borderId="2" xfId="0" applyNumberFormat="1" applyFont="1" applyFill="1" applyBorder="1" applyAlignment="1">
      <alignment vertical="top"/>
    </xf>
    <xf numFmtId="14" fontId="7" fillId="0" borderId="2" xfId="0" applyNumberFormat="1" applyFont="1" applyFill="1" applyBorder="1" applyAlignment="1">
      <alignment vertical="top"/>
    </xf>
    <xf numFmtId="44" fontId="0" fillId="0" borderId="0" xfId="1" applyFont="1"/>
    <xf numFmtId="44" fontId="0" fillId="0" borderId="10" xfId="1" applyFont="1" applyBorder="1"/>
    <xf numFmtId="0" fontId="7" fillId="0" borderId="1" xfId="0" applyFont="1" applyFill="1" applyBorder="1" applyAlignment="1">
      <alignment vertical="top"/>
    </xf>
    <xf numFmtId="14" fontId="7" fillId="0" borderId="1" xfId="0" applyNumberFormat="1" applyFont="1" applyFill="1" applyBorder="1" applyAlignment="1">
      <alignment horizontal="right" vertical="top"/>
    </xf>
    <xf numFmtId="0" fontId="0" fillId="0" borderId="1" xfId="0" applyBorder="1"/>
    <xf numFmtId="0" fontId="11" fillId="0" borderId="1" xfId="0" applyFont="1" applyFill="1" applyBorder="1" applyAlignment="1"/>
    <xf numFmtId="0" fontId="11" fillId="11" borderId="1" xfId="0" applyFont="1" applyFill="1" applyBorder="1"/>
    <xf numFmtId="0" fontId="0" fillId="0" borderId="11" xfId="0" applyBorder="1"/>
    <xf numFmtId="0" fontId="0" fillId="0" borderId="12" xfId="0" applyBorder="1"/>
    <xf numFmtId="0" fontId="11" fillId="6" borderId="1" xfId="0" applyFont="1" applyFill="1" applyBorder="1" applyAlignment="1">
      <alignment horizontal="center" vertical="center"/>
    </xf>
    <xf numFmtId="44" fontId="0" fillId="0" borderId="0" xfId="0" applyNumberFormat="1"/>
    <xf numFmtId="0" fontId="12" fillId="0" borderId="0" xfId="0" applyFont="1"/>
    <xf numFmtId="44" fontId="12" fillId="0" borderId="10" xfId="1" applyFont="1" applyBorder="1"/>
    <xf numFmtId="0" fontId="13" fillId="0" borderId="0" xfId="0" applyFont="1" applyAlignment="1">
      <alignment vertical="center"/>
    </xf>
    <xf numFmtId="0" fontId="4" fillId="0" borderId="0" xfId="0" applyFont="1" applyAlignment="1">
      <alignment horizontal="left"/>
    </xf>
    <xf numFmtId="165" fontId="0" fillId="0" borderId="0" xfId="6" applyNumberFormat="1" applyFont="1"/>
    <xf numFmtId="0" fontId="0" fillId="0" borderId="0" xfId="0" applyAlignment="1">
      <alignment horizontal="center" vertical="center" wrapText="1"/>
    </xf>
    <xf numFmtId="0" fontId="0" fillId="0" borderId="0" xfId="0" applyAlignment="1">
      <alignment horizontal="center" vertical="center"/>
    </xf>
    <xf numFmtId="44" fontId="12" fillId="0" borderId="0" xfId="1" applyFont="1"/>
    <xf numFmtId="0" fontId="12" fillId="0" borderId="0" xfId="0" applyFont="1" applyAlignment="1">
      <alignment horizontal="center" vertical="center"/>
    </xf>
    <xf numFmtId="166" fontId="0" fillId="0" borderId="0" xfId="1" applyNumberFormat="1" applyFont="1"/>
    <xf numFmtId="0" fontId="8" fillId="3" borderId="8" xfId="0" applyFont="1" applyFill="1" applyBorder="1" applyAlignment="1">
      <alignment vertical="center" wrapText="1"/>
    </xf>
    <xf numFmtId="0" fontId="14" fillId="4" borderId="9" xfId="0" applyFont="1" applyFill="1" applyBorder="1" applyAlignment="1">
      <alignment vertical="center" wrapText="1"/>
    </xf>
    <xf numFmtId="0" fontId="15" fillId="0" borderId="9" xfId="0" applyFont="1" applyBorder="1" applyAlignment="1">
      <alignment vertical="center" wrapText="1"/>
    </xf>
    <xf numFmtId="0" fontId="16" fillId="4" borderId="9" xfId="0" applyFont="1" applyFill="1" applyBorder="1" applyAlignment="1">
      <alignment vertical="center" wrapText="1"/>
    </xf>
    <xf numFmtId="0" fontId="14" fillId="0" borderId="9" xfId="0" applyFont="1" applyBorder="1" applyAlignment="1">
      <alignment vertical="center" wrapText="1"/>
    </xf>
    <xf numFmtId="0" fontId="15" fillId="4" borderId="9" xfId="0" applyFont="1" applyFill="1" applyBorder="1" applyAlignment="1">
      <alignment vertical="center" wrapText="1"/>
    </xf>
    <xf numFmtId="0" fontId="16" fillId="0" borderId="9" xfId="0" applyFont="1" applyBorder="1" applyAlignment="1">
      <alignment vertical="center" wrapText="1"/>
    </xf>
    <xf numFmtId="9" fontId="0" fillId="0" borderId="0" xfId="6" applyFont="1"/>
    <xf numFmtId="164" fontId="12" fillId="0" borderId="0" xfId="1" applyNumberFormat="1" applyFont="1"/>
    <xf numFmtId="9" fontId="12" fillId="0" borderId="0" xfId="6" applyFont="1"/>
    <xf numFmtId="0" fontId="12" fillId="0" borderId="0" xfId="1" applyNumberFormat="1" applyFont="1"/>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9" fillId="0" borderId="17" xfId="0" applyFont="1" applyBorder="1" applyAlignment="1">
      <alignment horizontal="left" vertical="top" wrapText="1"/>
    </xf>
    <xf numFmtId="0" fontId="4" fillId="0" borderId="0" xfId="0" applyFont="1"/>
    <xf numFmtId="0" fontId="4"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xf>
    <xf numFmtId="0" fontId="18" fillId="0" borderId="20" xfId="3" applyFont="1" applyBorder="1" applyAlignment="1"/>
    <xf numFmtId="44" fontId="18" fillId="0" borderId="20" xfId="2" applyFont="1" applyBorder="1" applyAlignment="1"/>
    <xf numFmtId="0" fontId="18" fillId="0" borderId="21" xfId="3" applyFont="1" applyBorder="1" applyAlignment="1"/>
    <xf numFmtId="0" fontId="4" fillId="0" borderId="2" xfId="3" applyFont="1" applyBorder="1" applyAlignment="1"/>
    <xf numFmtId="164" fontId="4" fillId="0" borderId="2" xfId="3" applyNumberFormat="1" applyFont="1" applyFill="1" applyBorder="1" applyAlignment="1"/>
    <xf numFmtId="164" fontId="4" fillId="0" borderId="22" xfId="2" applyNumberFormat="1" applyFont="1" applyBorder="1" applyAlignment="1">
      <alignment horizontal="center"/>
    </xf>
    <xf numFmtId="164" fontId="4" fillId="0" borderId="23" xfId="2" applyNumberFormat="1" applyFont="1" applyBorder="1" applyAlignment="1">
      <alignment horizontal="center"/>
    </xf>
    <xf numFmtId="164" fontId="4" fillId="0" borderId="2" xfId="3" applyNumberFormat="1" applyFont="1" applyBorder="1" applyAlignment="1"/>
    <xf numFmtId="164" fontId="4" fillId="0" borderId="3" xfId="2" applyNumberFormat="1" applyFont="1" applyBorder="1" applyAlignment="1"/>
    <xf numFmtId="164" fontId="4" fillId="0" borderId="24" xfId="2" applyNumberFormat="1" applyFont="1" applyBorder="1" applyAlignment="1">
      <alignment horizontal="center"/>
    </xf>
    <xf numFmtId="164" fontId="4" fillId="0" borderId="25" xfId="3" applyNumberFormat="1" applyFont="1" applyBorder="1" applyAlignment="1"/>
    <xf numFmtId="164" fontId="4" fillId="0" borderId="26" xfId="2" applyNumberFormat="1" applyFont="1" applyBorder="1" applyAlignment="1"/>
    <xf numFmtId="0" fontId="4" fillId="0" borderId="12" xfId="3" applyFont="1" applyBorder="1" applyAlignment="1"/>
    <xf numFmtId="164" fontId="4" fillId="0" borderId="12" xfId="3" applyNumberFormat="1" applyFont="1" applyFill="1" applyBorder="1" applyAlignment="1"/>
    <xf numFmtId="164" fontId="2" fillId="0" borderId="2" xfId="3" applyNumberFormat="1" applyFont="1" applyBorder="1" applyAlignment="1"/>
    <xf numFmtId="164" fontId="2" fillId="0" borderId="1" xfId="2" applyNumberFormat="1" applyFont="1" applyBorder="1" applyAlignment="1">
      <alignment horizontal="center"/>
    </xf>
    <xf numFmtId="0" fontId="18" fillId="0" borderId="27" xfId="3" applyFont="1" applyBorder="1" applyAlignment="1"/>
    <xf numFmtId="164" fontId="18" fillId="0" borderId="27" xfId="2" applyNumberFormat="1" applyFont="1" applyFill="1" applyBorder="1" applyAlignment="1">
      <alignment horizontal="center"/>
    </xf>
    <xf numFmtId="164" fontId="18" fillId="0" borderId="27" xfId="2" applyNumberFormat="1" applyFont="1" applyBorder="1" applyAlignment="1">
      <alignment horizontal="center"/>
    </xf>
    <xf numFmtId="164" fontId="18" fillId="0" borderId="19" xfId="2" applyNumberFormat="1" applyFont="1" applyBorder="1" applyAlignment="1">
      <alignment horizontal="center"/>
    </xf>
    <xf numFmtId="164" fontId="4" fillId="0" borderId="20" xfId="2" applyNumberFormat="1" applyFont="1" applyFill="1" applyBorder="1" applyAlignment="1"/>
    <xf numFmtId="164" fontId="4" fillId="0" borderId="20" xfId="2" applyNumberFormat="1" applyFont="1" applyBorder="1" applyAlignment="1"/>
    <xf numFmtId="164" fontId="4" fillId="0" borderId="0" xfId="2" applyNumberFormat="1" applyFont="1" applyBorder="1" applyAlignment="1"/>
    <xf numFmtId="164" fontId="4" fillId="0" borderId="2" xfId="2" applyNumberFormat="1" applyFont="1" applyFill="1" applyBorder="1" applyAlignment="1">
      <alignment horizontal="center"/>
    </xf>
    <xf numFmtId="164" fontId="4" fillId="0" borderId="23" xfId="2" applyNumberFormat="1" applyFont="1" applyFill="1" applyBorder="1" applyAlignment="1">
      <alignment horizontal="center"/>
    </xf>
    <xf numFmtId="164" fontId="2" fillId="0" borderId="22" xfId="2" applyNumberFormat="1" applyFont="1" applyBorder="1" applyAlignment="1"/>
    <xf numFmtId="164" fontId="2" fillId="0" borderId="2" xfId="2" applyNumberFormat="1" applyFont="1" applyBorder="1" applyAlignment="1">
      <alignment horizontal="center"/>
    </xf>
    <xf numFmtId="164" fontId="2" fillId="0" borderId="22" xfId="2" applyNumberFormat="1" applyFont="1" applyBorder="1" applyAlignment="1">
      <alignment horizontal="center"/>
    </xf>
    <xf numFmtId="164" fontId="4" fillId="0" borderId="28" xfId="2" applyNumberFormat="1" applyFont="1" applyFill="1" applyBorder="1" applyAlignment="1">
      <alignment horizontal="center"/>
    </xf>
    <xf numFmtId="164" fontId="4" fillId="0" borderId="2" xfId="2" applyNumberFormat="1" applyFont="1" applyBorder="1" applyAlignment="1">
      <alignment horizontal="center"/>
    </xf>
    <xf numFmtId="164" fontId="4" fillId="0" borderId="3" xfId="2" applyNumberFormat="1" applyFont="1" applyBorder="1" applyAlignment="1">
      <alignment horizontal="center"/>
    </xf>
    <xf numFmtId="0" fontId="18" fillId="0" borderId="2" xfId="3" applyFont="1" applyBorder="1" applyAlignment="1"/>
    <xf numFmtId="164" fontId="18" fillId="0" borderId="2" xfId="2" applyNumberFormat="1" applyFont="1" applyFill="1" applyBorder="1" applyAlignment="1">
      <alignment horizontal="center"/>
    </xf>
    <xf numFmtId="164" fontId="18" fillId="0" borderId="2" xfId="2" applyNumberFormat="1" applyFont="1" applyBorder="1" applyAlignment="1">
      <alignment horizontal="center"/>
    </xf>
    <xf numFmtId="164" fontId="18" fillId="0" borderId="3" xfId="2" applyNumberFormat="1" applyFont="1" applyBorder="1" applyAlignment="1">
      <alignment horizontal="center"/>
    </xf>
    <xf numFmtId="164" fontId="18" fillId="0" borderId="24" xfId="2" applyNumberFormat="1" applyFont="1" applyBorder="1" applyAlignment="1">
      <alignment horizontal="center"/>
    </xf>
    <xf numFmtId="0" fontId="18" fillId="0" borderId="25" xfId="3" applyFont="1" applyBorder="1" applyAlignment="1"/>
    <xf numFmtId="164" fontId="18" fillId="0" borderId="25" xfId="2" applyNumberFormat="1" applyFont="1" applyFill="1" applyBorder="1" applyAlignment="1">
      <alignment horizontal="center"/>
    </xf>
    <xf numFmtId="164" fontId="18" fillId="0" borderId="25" xfId="2" applyNumberFormat="1" applyFont="1" applyBorder="1" applyAlignment="1">
      <alignment horizontal="center"/>
    </xf>
    <xf numFmtId="164" fontId="18" fillId="0" borderId="0" xfId="2" applyNumberFormat="1" applyFont="1" applyBorder="1" applyAlignment="1">
      <alignment horizontal="center"/>
    </xf>
    <xf numFmtId="0" fontId="12" fillId="0" borderId="19" xfId="0" applyFont="1" applyBorder="1" applyAlignment="1">
      <alignment vertical="center"/>
    </xf>
    <xf numFmtId="0" fontId="12" fillId="0" borderId="19" xfId="0" applyFont="1" applyBorder="1" applyAlignment="1">
      <alignment vertical="center" wrapText="1"/>
    </xf>
    <xf numFmtId="0" fontId="9" fillId="0" borderId="19" xfId="0" applyFont="1" applyBorder="1"/>
    <xf numFmtId="0" fontId="9" fillId="0" borderId="19" xfId="0" applyFont="1" applyBorder="1" applyAlignment="1">
      <alignment wrapText="1"/>
    </xf>
    <xf numFmtId="0" fontId="9" fillId="0" borderId="20" xfId="3" applyFont="1" applyBorder="1" applyAlignment="1"/>
    <xf numFmtId="44" fontId="9" fillId="0" borderId="20" xfId="2" applyFont="1" applyBorder="1" applyAlignment="1"/>
    <xf numFmtId="0" fontId="9" fillId="0" borderId="21" xfId="3" applyFont="1" applyBorder="1" applyAlignment="1"/>
    <xf numFmtId="0" fontId="10" fillId="0" borderId="29" xfId="3" applyFont="1" applyBorder="1" applyAlignment="1"/>
    <xf numFmtId="0" fontId="10" fillId="0" borderId="29" xfId="3" applyFont="1" applyBorder="1" applyAlignment="1">
      <alignment horizontal="left"/>
    </xf>
    <xf numFmtId="164" fontId="10" fillId="0" borderId="30" xfId="3" applyNumberFormat="1" applyFont="1" applyFill="1" applyBorder="1" applyAlignment="1"/>
    <xf numFmtId="164" fontId="10" fillId="0" borderId="30" xfId="2" applyNumberFormat="1" applyFont="1" applyBorder="1" applyAlignment="1">
      <alignment horizontal="center"/>
    </xf>
    <xf numFmtId="164" fontId="10" fillId="0" borderId="31" xfId="2" applyNumberFormat="1" applyFont="1" applyBorder="1" applyAlignment="1">
      <alignment horizontal="center"/>
    </xf>
    <xf numFmtId="0" fontId="10" fillId="0" borderId="32" xfId="3" applyFont="1" applyBorder="1" applyAlignment="1"/>
    <xf numFmtId="0" fontId="10" fillId="0" borderId="32" xfId="3" applyFont="1" applyBorder="1" applyAlignment="1">
      <alignment horizontal="left"/>
    </xf>
    <xf numFmtId="164" fontId="10" fillId="0" borderId="33" xfId="3" applyNumberFormat="1" applyFont="1" applyFill="1" applyBorder="1" applyAlignment="1"/>
    <xf numFmtId="164" fontId="10" fillId="0" borderId="33" xfId="2" applyNumberFormat="1" applyFont="1" applyBorder="1" applyAlignment="1">
      <alignment horizontal="center"/>
    </xf>
    <xf numFmtId="164" fontId="10" fillId="0" borderId="34" xfId="2" applyNumberFormat="1" applyFont="1" applyBorder="1" applyAlignment="1">
      <alignment horizontal="center"/>
    </xf>
    <xf numFmtId="0" fontId="9" fillId="0" borderId="32" xfId="3" applyFont="1" applyBorder="1" applyAlignment="1">
      <alignment horizontal="left"/>
    </xf>
    <xf numFmtId="164" fontId="9" fillId="0" borderId="35" xfId="3" applyNumberFormat="1" applyFont="1" applyFill="1" applyBorder="1" applyAlignment="1"/>
    <xf numFmtId="164" fontId="9" fillId="0" borderId="35" xfId="2" applyNumberFormat="1" applyFont="1" applyBorder="1" applyAlignment="1">
      <alignment horizontal="center"/>
    </xf>
    <xf numFmtId="164" fontId="9" fillId="0" borderId="34" xfId="2" applyNumberFormat="1" applyFont="1" applyBorder="1" applyAlignment="1">
      <alignment horizontal="center"/>
    </xf>
    <xf numFmtId="0" fontId="10" fillId="0" borderId="36" xfId="3" applyFont="1" applyBorder="1" applyAlignment="1"/>
    <xf numFmtId="0" fontId="10" fillId="0" borderId="36" xfId="3" applyFont="1" applyBorder="1" applyAlignment="1">
      <alignment horizontal="left"/>
    </xf>
    <xf numFmtId="164" fontId="10" fillId="0" borderId="33" xfId="3" applyNumberFormat="1" applyFont="1" applyBorder="1" applyAlignment="1"/>
    <xf numFmtId="164" fontId="10" fillId="0" borderId="33" xfId="2" applyNumberFormat="1" applyFont="1" applyBorder="1" applyAlignment="1"/>
    <xf numFmtId="164" fontId="10" fillId="0" borderId="37" xfId="2" applyNumberFormat="1" applyFont="1" applyBorder="1" applyAlignment="1">
      <alignment horizontal="center"/>
    </xf>
    <xf numFmtId="0" fontId="9" fillId="0" borderId="36" xfId="3" applyFont="1" applyBorder="1" applyAlignment="1">
      <alignment horizontal="left"/>
    </xf>
    <xf numFmtId="164" fontId="9" fillId="0" borderId="33" xfId="3" applyNumberFormat="1" applyFont="1" applyFill="1" applyBorder="1" applyAlignment="1"/>
    <xf numFmtId="164" fontId="9" fillId="0" borderId="33" xfId="3" applyNumberFormat="1" applyFont="1" applyBorder="1" applyAlignment="1"/>
    <xf numFmtId="164" fontId="9" fillId="0" borderId="33" xfId="2" applyNumberFormat="1" applyFont="1" applyBorder="1" applyAlignment="1"/>
    <xf numFmtId="164" fontId="9" fillId="0" borderId="37" xfId="2" applyNumberFormat="1" applyFont="1" applyBorder="1" applyAlignment="1">
      <alignment horizontal="center"/>
    </xf>
    <xf numFmtId="164" fontId="20" fillId="0" borderId="33" xfId="3" applyNumberFormat="1" applyFont="1" applyBorder="1" applyAlignment="1"/>
    <xf numFmtId="164" fontId="20" fillId="0" borderId="33" xfId="2" applyNumberFormat="1" applyFont="1" applyBorder="1" applyAlignment="1">
      <alignment horizontal="center"/>
    </xf>
    <xf numFmtId="164" fontId="21" fillId="0" borderId="33" xfId="3" applyNumberFormat="1" applyFont="1" applyBorder="1" applyAlignment="1"/>
    <xf numFmtId="164" fontId="21" fillId="0" borderId="33" xfId="2" applyNumberFormat="1" applyFont="1" applyBorder="1" applyAlignment="1">
      <alignment horizontal="center"/>
    </xf>
    <xf numFmtId="0" fontId="10" fillId="0" borderId="38" xfId="3" applyFont="1" applyBorder="1" applyAlignment="1"/>
    <xf numFmtId="0" fontId="10" fillId="0" borderId="38" xfId="3" applyFont="1" applyBorder="1" applyAlignment="1">
      <alignment horizontal="left"/>
    </xf>
    <xf numFmtId="164" fontId="10" fillId="0" borderId="39" xfId="2" applyNumberFormat="1" applyFont="1" applyBorder="1" applyAlignment="1">
      <alignment horizontal="center"/>
    </xf>
    <xf numFmtId="0" fontId="9" fillId="0" borderId="38" xfId="3" applyFont="1" applyBorder="1" applyAlignment="1">
      <alignment horizontal="left"/>
    </xf>
    <xf numFmtId="164" fontId="9" fillId="0" borderId="40" xfId="3" applyNumberFormat="1" applyFont="1" applyFill="1" applyBorder="1" applyAlignment="1"/>
    <xf numFmtId="164" fontId="9" fillId="0" borderId="40" xfId="3" applyNumberFormat="1" applyFont="1" applyBorder="1" applyAlignment="1"/>
    <xf numFmtId="164" fontId="9" fillId="0" borderId="40" xfId="2" applyNumberFormat="1" applyFont="1" applyBorder="1" applyAlignment="1"/>
    <xf numFmtId="164" fontId="9" fillId="0" borderId="39" xfId="2" applyNumberFormat="1" applyFont="1" applyBorder="1" applyAlignment="1">
      <alignment horizontal="center"/>
    </xf>
    <xf numFmtId="0" fontId="10" fillId="0" borderId="41" xfId="3" applyFont="1" applyBorder="1" applyAlignment="1"/>
    <xf numFmtId="0" fontId="10" fillId="0" borderId="41" xfId="3" applyFont="1" applyBorder="1" applyAlignment="1">
      <alignment horizontal="left"/>
    </xf>
    <xf numFmtId="0" fontId="9" fillId="0" borderId="41" xfId="3" applyFont="1" applyBorder="1" applyAlignment="1">
      <alignment horizontal="left"/>
    </xf>
    <xf numFmtId="164" fontId="9" fillId="0" borderId="42" xfId="3" applyNumberFormat="1" applyFont="1" applyFill="1" applyBorder="1" applyAlignment="1"/>
    <xf numFmtId="164" fontId="21" fillId="0" borderId="42" xfId="3" applyNumberFormat="1" applyFont="1" applyBorder="1" applyAlignment="1"/>
    <xf numFmtId="164" fontId="21" fillId="0" borderId="42" xfId="2" applyNumberFormat="1" applyFont="1" applyBorder="1" applyAlignment="1">
      <alignment horizontal="center"/>
    </xf>
    <xf numFmtId="164" fontId="9" fillId="0" borderId="43" xfId="2" applyNumberFormat="1" applyFont="1" applyBorder="1" applyAlignment="1">
      <alignment horizontal="center"/>
    </xf>
    <xf numFmtId="164" fontId="10" fillId="0" borderId="0" xfId="2" applyNumberFormat="1" applyFont="1" applyBorder="1" applyAlignment="1"/>
    <xf numFmtId="164" fontId="10" fillId="0" borderId="30" xfId="2" applyNumberFormat="1" applyFont="1" applyFill="1" applyBorder="1" applyAlignment="1">
      <alignment horizontal="center"/>
    </xf>
    <xf numFmtId="164" fontId="20" fillId="0" borderId="30" xfId="2" applyNumberFormat="1" applyFont="1" applyBorder="1" applyAlignment="1"/>
    <xf numFmtId="164" fontId="20" fillId="0" borderId="30" xfId="2" applyNumberFormat="1" applyFont="1" applyBorder="1" applyAlignment="1">
      <alignment horizontal="center"/>
    </xf>
    <xf numFmtId="164" fontId="10" fillId="0" borderId="33" xfId="2" applyNumberFormat="1" applyFont="1" applyFill="1" applyBorder="1" applyAlignment="1">
      <alignment horizontal="center"/>
    </xf>
    <xf numFmtId="164" fontId="20" fillId="0" borderId="33" xfId="2" applyNumberFormat="1" applyFont="1" applyBorder="1" applyAlignment="1"/>
    <xf numFmtId="164" fontId="9" fillId="0" borderId="35" xfId="2" applyNumberFormat="1" applyFont="1" applyFill="1" applyBorder="1" applyAlignment="1">
      <alignment horizontal="center"/>
    </xf>
    <xf numFmtId="164" fontId="21" fillId="0" borderId="35" xfId="2" applyNumberFormat="1" applyFont="1" applyBorder="1" applyAlignment="1"/>
    <xf numFmtId="164" fontId="21" fillId="0" borderId="35" xfId="2" applyNumberFormat="1" applyFont="1" applyBorder="1" applyAlignment="1">
      <alignment horizontal="center"/>
    </xf>
    <xf numFmtId="0" fontId="9" fillId="0" borderId="44" xfId="3" applyFont="1" applyBorder="1" applyAlignment="1">
      <alignment horizontal="left"/>
    </xf>
    <xf numFmtId="164" fontId="9" fillId="0" borderId="45" xfId="2" applyNumberFormat="1" applyFont="1" applyFill="1" applyBorder="1" applyAlignment="1">
      <alignment horizontal="center"/>
    </xf>
    <xf numFmtId="164" fontId="9" fillId="0" borderId="45" xfId="2" applyNumberFormat="1" applyFont="1" applyBorder="1" applyAlignment="1">
      <alignment horizontal="center"/>
    </xf>
    <xf numFmtId="164" fontId="9" fillId="0" borderId="46" xfId="2" applyNumberFormat="1" applyFont="1" applyBorder="1" applyAlignment="1">
      <alignment horizontal="center"/>
    </xf>
    <xf numFmtId="0" fontId="9" fillId="0" borderId="47" xfId="3" applyFont="1" applyBorder="1" applyAlignment="1"/>
    <xf numFmtId="0" fontId="9" fillId="0" borderId="47" xfId="3" applyFont="1" applyBorder="1" applyAlignment="1">
      <alignment horizontal="left"/>
    </xf>
    <xf numFmtId="164" fontId="9" fillId="0" borderId="48" xfId="2" applyNumberFormat="1" applyFont="1" applyFill="1" applyBorder="1" applyAlignment="1">
      <alignment horizontal="center"/>
    </xf>
    <xf numFmtId="164" fontId="9" fillId="0" borderId="48" xfId="2" applyNumberFormat="1" applyFont="1" applyBorder="1" applyAlignment="1">
      <alignment horizontal="center"/>
    </xf>
    <xf numFmtId="164" fontId="9" fillId="0" borderId="49" xfId="2" applyNumberFormat="1" applyFont="1" applyBorder="1" applyAlignment="1">
      <alignment horizontal="center"/>
    </xf>
    <xf numFmtId="0" fontId="0" fillId="0" borderId="0" xfId="3" applyFont="1" applyBorder="1" applyAlignment="1"/>
    <xf numFmtId="0" fontId="0" fillId="0" borderId="0" xfId="2" applyNumberFormat="1" applyFont="1" applyBorder="1" applyAlignment="1">
      <alignment horizontal="center"/>
    </xf>
    <xf numFmtId="0" fontId="0" fillId="0" borderId="0" xfId="3" applyFont="1" applyBorder="1" applyAlignment="1">
      <alignment horizontal="center"/>
    </xf>
    <xf numFmtId="0" fontId="0" fillId="0" borderId="0" xfId="3" applyFont="1" applyBorder="1" applyAlignment="1">
      <alignment horizontal="center" wrapText="1"/>
    </xf>
    <xf numFmtId="164" fontId="3" fillId="0" borderId="0" xfId="1" applyNumberFormat="1" applyFont="1" applyBorder="1" applyAlignment="1"/>
    <xf numFmtId="164" fontId="3" fillId="0" borderId="0" xfId="1" applyNumberFormat="1" applyFont="1" applyBorder="1" applyAlignment="1">
      <alignment horizontal="center"/>
    </xf>
    <xf numFmtId="164" fontId="12" fillId="0" borderId="0" xfId="1" applyNumberFormat="1" applyFont="1" applyBorder="1" applyAlignment="1">
      <alignment horizontal="center"/>
    </xf>
    <xf numFmtId="9" fontId="23" fillId="0" borderId="0" xfId="6" applyFont="1" applyBorder="1" applyAlignment="1">
      <alignment horizontal="center"/>
    </xf>
    <xf numFmtId="0" fontId="3" fillId="0" borderId="0" xfId="3" applyFont="1" applyBorder="1" applyAlignment="1"/>
    <xf numFmtId="0" fontId="12" fillId="0" borderId="0" xfId="3" applyFont="1" applyBorder="1" applyAlignment="1"/>
    <xf numFmtId="0" fontId="24" fillId="0" borderId="0" xfId="3" applyFont="1" applyBorder="1" applyAlignment="1"/>
    <xf numFmtId="0" fontId="24" fillId="0" borderId="0" xfId="2" applyNumberFormat="1" applyFont="1" applyBorder="1" applyAlignment="1">
      <alignment horizontal="center" wrapText="1"/>
    </xf>
    <xf numFmtId="0" fontId="24" fillId="0" borderId="0" xfId="3" applyFont="1" applyBorder="1" applyAlignment="1">
      <alignment horizontal="center"/>
    </xf>
    <xf numFmtId="44" fontId="25" fillId="0" borderId="0" xfId="2" applyFont="1" applyBorder="1" applyAlignment="1"/>
    <xf numFmtId="0" fontId="25" fillId="0" borderId="0" xfId="3" applyFont="1" applyBorder="1" applyAlignment="1"/>
    <xf numFmtId="164" fontId="24" fillId="0" borderId="0" xfId="1" applyNumberFormat="1" applyFont="1" applyFill="1" applyBorder="1" applyAlignment="1"/>
    <xf numFmtId="164" fontId="24" fillId="0" borderId="0" xfId="1" applyNumberFormat="1" applyFont="1" applyBorder="1" applyAlignment="1">
      <alignment horizontal="center"/>
    </xf>
    <xf numFmtId="164" fontId="24" fillId="0" borderId="0" xfId="1" applyNumberFormat="1" applyFont="1" applyBorder="1" applyAlignment="1"/>
    <xf numFmtId="164" fontId="24" fillId="0" borderId="0" xfId="1" applyNumberFormat="1" applyFont="1" applyFill="1" applyBorder="1" applyAlignment="1">
      <alignment horizontal="center"/>
    </xf>
    <xf numFmtId="164" fontId="25" fillId="0" borderId="0" xfId="1" applyNumberFormat="1" applyFont="1" applyFill="1" applyBorder="1" applyAlignment="1">
      <alignment horizontal="center"/>
    </xf>
    <xf numFmtId="164" fontId="25" fillId="0" borderId="0" xfId="1" applyNumberFormat="1" applyFont="1" applyBorder="1" applyAlignment="1">
      <alignment horizontal="center"/>
    </xf>
    <xf numFmtId="164" fontId="25" fillId="0" borderId="0" xfId="1" applyNumberFormat="1" applyFont="1"/>
    <xf numFmtId="0" fontId="25" fillId="0" borderId="0" xfId="3" applyFont="1" applyFill="1" applyBorder="1" applyAlignment="1"/>
    <xf numFmtId="0" fontId="24" fillId="0" borderId="0" xfId="3" applyFont="1" applyBorder="1" applyAlignment="1">
      <alignment wrapText="1"/>
    </xf>
    <xf numFmtId="0" fontId="17" fillId="0" borderId="0" xfId="0" applyFont="1" applyAlignment="1">
      <alignment wrapText="1"/>
    </xf>
    <xf numFmtId="0" fontId="26" fillId="0" borderId="0" xfId="0" applyFont="1" applyAlignment="1"/>
    <xf numFmtId="164" fontId="3" fillId="0" borderId="0" xfId="1" applyNumberFormat="1" applyFont="1" applyAlignment="1"/>
    <xf numFmtId="164" fontId="0" fillId="0" borderId="0" xfId="1" applyNumberFormat="1" applyFont="1" applyAlignment="1"/>
    <xf numFmtId="0" fontId="12" fillId="0" borderId="0" xfId="0" applyFont="1" applyAlignment="1"/>
    <xf numFmtId="164" fontId="12" fillId="0" borderId="0" xfId="1" applyNumberFormat="1" applyFont="1" applyAlignment="1"/>
    <xf numFmtId="10" fontId="0" fillId="0" borderId="0" xfId="6" applyNumberFormat="1" applyFont="1"/>
    <xf numFmtId="166" fontId="12" fillId="0" borderId="0" xfId="1" applyNumberFormat="1" applyFont="1"/>
    <xf numFmtId="0" fontId="0" fillId="0" borderId="24" xfId="0" applyBorder="1"/>
    <xf numFmtId="166" fontId="0" fillId="0" borderId="24" xfId="1" applyNumberFormat="1" applyFont="1" applyBorder="1"/>
    <xf numFmtId="10" fontId="0" fillId="0" borderId="24" xfId="6" applyNumberFormat="1" applyFont="1" applyBorder="1"/>
    <xf numFmtId="0" fontId="0" fillId="0" borderId="0" xfId="0" applyAlignment="1">
      <alignment horizontal="center"/>
    </xf>
    <xf numFmtId="0" fontId="27" fillId="13" borderId="5" xfId="0" applyFont="1" applyFill="1" applyBorder="1" applyAlignment="1">
      <alignment wrapText="1"/>
    </xf>
    <xf numFmtId="0" fontId="27" fillId="13" borderId="50" xfId="0" applyFont="1" applyFill="1" applyBorder="1" applyAlignment="1">
      <alignment horizontal="center" wrapText="1"/>
    </xf>
    <xf numFmtId="0" fontId="27" fillId="13" borderId="4" xfId="0" applyFont="1" applyFill="1" applyBorder="1" applyAlignment="1">
      <alignment horizontal="center" wrapText="1"/>
    </xf>
    <xf numFmtId="0" fontId="29" fillId="0" borderId="51" xfId="0" applyFont="1" applyBorder="1" applyAlignment="1">
      <alignment wrapText="1"/>
    </xf>
    <xf numFmtId="164" fontId="29" fillId="0" borderId="13" xfId="1" applyNumberFormat="1" applyFont="1" applyBorder="1" applyAlignment="1">
      <alignment wrapText="1"/>
    </xf>
    <xf numFmtId="164" fontId="29" fillId="0" borderId="52" xfId="1" applyNumberFormat="1" applyFont="1" applyBorder="1" applyAlignment="1">
      <alignment wrapText="1"/>
    </xf>
    <xf numFmtId="9" fontId="29" fillId="0" borderId="14" xfId="0" applyNumberFormat="1" applyFont="1" applyBorder="1" applyAlignment="1">
      <alignment wrapText="1"/>
    </xf>
    <xf numFmtId="0" fontId="29" fillId="14" borderId="53" xfId="0" applyFont="1" applyFill="1" applyBorder="1" applyAlignment="1">
      <alignment wrapText="1"/>
    </xf>
    <xf numFmtId="164" fontId="29" fillId="14" borderId="15" xfId="1" applyNumberFormat="1" applyFont="1" applyFill="1" applyBorder="1" applyAlignment="1">
      <alignment wrapText="1"/>
    </xf>
    <xf numFmtId="164" fontId="29" fillId="14" borderId="54" xfId="1" applyNumberFormat="1" applyFont="1" applyFill="1" applyBorder="1" applyAlignment="1">
      <alignment wrapText="1"/>
    </xf>
    <xf numFmtId="9" fontId="29" fillId="14" borderId="16" xfId="0" applyNumberFormat="1" applyFont="1" applyFill="1" applyBorder="1" applyAlignment="1">
      <alignment wrapText="1"/>
    </xf>
    <xf numFmtId="0" fontId="29" fillId="0" borderId="53" xfId="0" applyFont="1" applyFill="1" applyBorder="1" applyAlignment="1">
      <alignment wrapText="1"/>
    </xf>
    <xf numFmtId="164" fontId="29" fillId="0" borderId="15" xfId="1" applyNumberFormat="1" applyFont="1" applyFill="1" applyBorder="1" applyAlignment="1">
      <alignment wrapText="1"/>
    </xf>
    <xf numFmtId="164" fontId="29" fillId="0" borderId="54" xfId="1" applyNumberFormat="1" applyFont="1" applyFill="1" applyBorder="1" applyAlignment="1">
      <alignment wrapText="1"/>
    </xf>
    <xf numFmtId="9" fontId="29" fillId="0" borderId="16" xfId="0" applyNumberFormat="1" applyFont="1" applyFill="1" applyBorder="1" applyAlignment="1">
      <alignment wrapText="1"/>
    </xf>
    <xf numFmtId="164" fontId="30" fillId="14" borderId="15" xfId="1" applyNumberFormat="1" applyFont="1" applyFill="1" applyBorder="1" applyAlignment="1">
      <alignment wrapText="1"/>
    </xf>
    <xf numFmtId="0" fontId="29" fillId="0" borderId="53" xfId="0" applyFont="1" applyBorder="1" applyAlignment="1">
      <alignment wrapText="1"/>
    </xf>
    <xf numFmtId="164" fontId="29" fillId="0" borderId="15" xfId="1" applyNumberFormat="1" applyFont="1" applyBorder="1" applyAlignment="1">
      <alignment wrapText="1"/>
    </xf>
    <xf numFmtId="164" fontId="29" fillId="0" borderId="54" xfId="1" applyNumberFormat="1" applyFont="1" applyBorder="1" applyAlignment="1">
      <alignment wrapText="1"/>
    </xf>
    <xf numFmtId="9" fontId="29" fillId="0" borderId="16" xfId="0" applyNumberFormat="1" applyFont="1" applyBorder="1" applyAlignment="1">
      <alignment wrapText="1"/>
    </xf>
    <xf numFmtId="0" fontId="29" fillId="0" borderId="55" xfId="0" applyFont="1" applyBorder="1" applyAlignment="1">
      <alignment wrapText="1"/>
    </xf>
    <xf numFmtId="164" fontId="29" fillId="0" borderId="17" xfId="1" applyNumberFormat="1" applyFont="1" applyBorder="1" applyAlignment="1">
      <alignment wrapText="1"/>
    </xf>
    <xf numFmtId="164" fontId="29" fillId="0" borderId="56" xfId="1" applyNumberFormat="1" applyFont="1" applyBorder="1" applyAlignment="1">
      <alignment wrapText="1"/>
    </xf>
    <xf numFmtId="9" fontId="29" fillId="0" borderId="18" xfId="0" applyNumberFormat="1" applyFont="1" applyBorder="1" applyAlignment="1">
      <alignment wrapText="1"/>
    </xf>
    <xf numFmtId="0" fontId="27" fillId="14" borderId="5" xfId="0" applyFont="1" applyFill="1" applyBorder="1" applyAlignment="1">
      <alignment wrapText="1"/>
    </xf>
    <xf numFmtId="164" fontId="27" fillId="14" borderId="57" xfId="1" applyNumberFormat="1" applyFont="1" applyFill="1" applyBorder="1" applyAlignment="1">
      <alignment wrapText="1"/>
    </xf>
    <xf numFmtId="164" fontId="27" fillId="14" borderId="58" xfId="1" applyNumberFormat="1" applyFont="1" applyFill="1" applyBorder="1" applyAlignment="1">
      <alignment wrapText="1"/>
    </xf>
    <xf numFmtId="9" fontId="27" fillId="14" borderId="59" xfId="0" applyNumberFormat="1" applyFont="1" applyFill="1" applyBorder="1" applyAlignment="1">
      <alignment wrapText="1"/>
    </xf>
    <xf numFmtId="166" fontId="27" fillId="13" borderId="50" xfId="1" applyNumberFormat="1" applyFont="1" applyFill="1" applyBorder="1" applyAlignment="1">
      <alignment wrapText="1"/>
    </xf>
    <xf numFmtId="0" fontId="27" fillId="13" borderId="4" xfId="0" applyFont="1" applyFill="1" applyBorder="1" applyAlignment="1">
      <alignment wrapText="1"/>
    </xf>
    <xf numFmtId="0" fontId="29" fillId="14" borderId="51" xfId="0" applyFont="1" applyFill="1" applyBorder="1" applyAlignment="1">
      <alignment wrapText="1"/>
    </xf>
    <xf numFmtId="164" fontId="29" fillId="14" borderId="13" xfId="1" applyNumberFormat="1" applyFont="1" applyFill="1" applyBorder="1" applyAlignment="1">
      <alignment wrapText="1"/>
    </xf>
    <xf numFmtId="164" fontId="29" fillId="14" borderId="52" xfId="1" applyNumberFormat="1" applyFont="1" applyFill="1" applyBorder="1" applyAlignment="1">
      <alignment wrapText="1"/>
    </xf>
    <xf numFmtId="9" fontId="29" fillId="14" borderId="14" xfId="0" applyNumberFormat="1" applyFont="1" applyFill="1" applyBorder="1" applyAlignment="1">
      <alignment wrapText="1"/>
    </xf>
    <xf numFmtId="0" fontId="27" fillId="14" borderId="60" xfId="0" applyFont="1" applyFill="1" applyBorder="1" applyAlignment="1">
      <alignment wrapText="1"/>
    </xf>
    <xf numFmtId="0" fontId="27" fillId="13" borderId="0" xfId="0" applyFont="1" applyFill="1" applyBorder="1" applyAlignment="1">
      <alignment horizontal="center" wrapText="1"/>
    </xf>
    <xf numFmtId="0" fontId="31" fillId="15" borderId="61" xfId="5" applyFont="1" applyFill="1" applyBorder="1" applyAlignment="1">
      <alignment horizontal="left" vertical="center" wrapText="1" indent="1"/>
    </xf>
    <xf numFmtId="0" fontId="31" fillId="15" borderId="63" xfId="5" applyFont="1" applyFill="1" applyBorder="1" applyAlignment="1"/>
    <xf numFmtId="0" fontId="31" fillId="15" borderId="62" xfId="5" applyFont="1" applyFill="1" applyBorder="1" applyAlignment="1">
      <alignment horizontal="right"/>
    </xf>
    <xf numFmtId="0" fontId="32" fillId="0" borderId="64" xfId="5" applyFont="1" applyBorder="1" applyAlignment="1">
      <alignment vertical="center"/>
    </xf>
    <xf numFmtId="0" fontId="33" fillId="0" borderId="65" xfId="5" applyFont="1" applyFill="1" applyBorder="1" applyAlignment="1">
      <alignment horizontal="center" vertical="center" wrapText="1"/>
    </xf>
    <xf numFmtId="0" fontId="33" fillId="0" borderId="65" xfId="5" applyFont="1" applyBorder="1" applyAlignment="1">
      <alignment horizontal="center" vertical="center" wrapText="1"/>
    </xf>
    <xf numFmtId="0" fontId="33" fillId="16" borderId="64" xfId="5" applyFont="1" applyFill="1" applyBorder="1" applyAlignment="1">
      <alignment vertical="center"/>
    </xf>
    <xf numFmtId="164" fontId="33" fillId="16" borderId="65" xfId="1" applyNumberFormat="1" applyFont="1" applyFill="1" applyBorder="1" applyAlignment="1"/>
    <xf numFmtId="0" fontId="33" fillId="0" borderId="64" xfId="5" applyFont="1" applyBorder="1" applyAlignment="1">
      <alignment vertical="center"/>
    </xf>
    <xf numFmtId="164" fontId="33" fillId="0" borderId="65" xfId="1" applyNumberFormat="1" applyFont="1" applyFill="1" applyBorder="1" applyAlignment="1"/>
    <xf numFmtId="164" fontId="33" fillId="0" borderId="65" xfId="1" applyNumberFormat="1" applyFont="1" applyBorder="1" applyAlignment="1"/>
    <xf numFmtId="164" fontId="34" fillId="0" borderId="65" xfId="1" applyNumberFormat="1" applyFont="1" applyFill="1" applyBorder="1" applyAlignment="1"/>
    <xf numFmtId="0" fontId="32" fillId="17" borderId="64" xfId="5" applyFont="1" applyFill="1" applyBorder="1" applyAlignment="1">
      <alignment vertical="center" wrapText="1"/>
    </xf>
    <xf numFmtId="164" fontId="32" fillId="17" borderId="64" xfId="1" applyNumberFormat="1" applyFont="1" applyFill="1" applyBorder="1" applyAlignment="1"/>
    <xf numFmtId="0" fontId="32" fillId="16" borderId="64" xfId="5" applyFont="1" applyFill="1" applyBorder="1" applyAlignment="1">
      <alignment vertical="center"/>
    </xf>
    <xf numFmtId="0" fontId="33" fillId="16" borderId="65" xfId="5" applyFont="1" applyFill="1" applyBorder="1" applyAlignment="1">
      <alignment horizontal="center" vertical="center" wrapText="1"/>
    </xf>
    <xf numFmtId="0" fontId="33" fillId="18" borderId="64" xfId="5" applyFont="1" applyFill="1" applyBorder="1" applyAlignment="1">
      <alignment vertical="center"/>
    </xf>
    <xf numFmtId="164" fontId="33" fillId="18" borderId="65" xfId="1" applyNumberFormat="1" applyFont="1" applyFill="1" applyBorder="1" applyAlignment="1"/>
    <xf numFmtId="0" fontId="33" fillId="0" borderId="64" xfId="5" applyFont="1" applyFill="1" applyBorder="1" applyAlignment="1">
      <alignment vertical="center"/>
    </xf>
    <xf numFmtId="0" fontId="32" fillId="18" borderId="64" xfId="5" applyFont="1" applyFill="1" applyBorder="1" applyAlignment="1">
      <alignment vertical="center"/>
    </xf>
    <xf numFmtId="0" fontId="32" fillId="17" borderId="68" xfId="5" applyFont="1" applyFill="1" applyBorder="1" applyAlignment="1">
      <alignment vertical="center"/>
    </xf>
    <xf numFmtId="164" fontId="32" fillId="17" borderId="69" xfId="1" applyNumberFormat="1" applyFont="1" applyFill="1" applyBorder="1" applyAlignment="1"/>
    <xf numFmtId="164" fontId="32" fillId="17" borderId="70" xfId="1" applyNumberFormat="1" applyFont="1" applyFill="1" applyBorder="1" applyAlignment="1"/>
    <xf numFmtId="164" fontId="32" fillId="17" borderId="71" xfId="1" applyNumberFormat="1" applyFont="1" applyFill="1" applyBorder="1" applyAlignment="1"/>
    <xf numFmtId="164" fontId="32" fillId="17" borderId="72" xfId="1" applyNumberFormat="1" applyFont="1" applyFill="1" applyBorder="1" applyAlignment="1"/>
    <xf numFmtId="0" fontId="32" fillId="17" borderId="64" xfId="5" applyFont="1" applyFill="1" applyBorder="1" applyAlignment="1">
      <alignment vertical="center"/>
    </xf>
    <xf numFmtId="164" fontId="32" fillId="17" borderId="65" xfId="1" applyNumberFormat="1" applyFont="1" applyFill="1" applyBorder="1" applyAlignment="1"/>
    <xf numFmtId="164" fontId="32" fillId="17" borderId="67" xfId="1" applyNumberFormat="1" applyFont="1" applyFill="1" applyBorder="1" applyAlignment="1"/>
    <xf numFmtId="164" fontId="32" fillId="17" borderId="66" xfId="1" applyNumberFormat="1" applyFont="1" applyFill="1" applyBorder="1" applyAlignment="1"/>
    <xf numFmtId="166" fontId="0" fillId="0" borderId="0" xfId="1" applyNumberFormat="1" applyFont="1" applyAlignment="1"/>
    <xf numFmtId="166" fontId="12" fillId="0" borderId="0" xfId="1" applyNumberFormat="1" applyFont="1" applyAlignment="1"/>
    <xf numFmtId="0" fontId="35" fillId="2" borderId="6" xfId="0" applyFont="1" applyFill="1" applyBorder="1" applyAlignment="1">
      <alignment vertical="center"/>
    </xf>
    <xf numFmtId="0" fontId="35" fillId="2" borderId="7" xfId="0" applyFont="1" applyFill="1" applyBorder="1" applyAlignment="1">
      <alignment horizontal="center" vertical="center"/>
    </xf>
    <xf numFmtId="0" fontId="36" fillId="0" borderId="3" xfId="0" applyFont="1" applyBorder="1" applyAlignment="1">
      <alignment vertical="center"/>
    </xf>
    <xf numFmtId="14" fontId="37" fillId="0" borderId="2" xfId="0" applyNumberFormat="1" applyFont="1" applyBorder="1" applyAlignment="1">
      <alignment horizontal="right" vertical="center"/>
    </xf>
    <xf numFmtId="0" fontId="36" fillId="2" borderId="3" xfId="0" applyFont="1" applyFill="1" applyBorder="1" applyAlignment="1">
      <alignment vertical="center"/>
    </xf>
    <xf numFmtId="14" fontId="37" fillId="2" borderId="2" xfId="0" applyNumberFormat="1" applyFont="1" applyFill="1" applyBorder="1" applyAlignment="1">
      <alignment horizontal="right" vertical="center"/>
    </xf>
    <xf numFmtId="0" fontId="37" fillId="2" borderId="2" xfId="0" applyFont="1" applyFill="1" applyBorder="1" applyAlignment="1">
      <alignment horizontal="right" vertical="center"/>
    </xf>
    <xf numFmtId="0" fontId="37" fillId="0" borderId="2" xfId="0" applyFont="1" applyBorder="1" applyAlignment="1">
      <alignment horizontal="right" vertical="center"/>
    </xf>
    <xf numFmtId="0" fontId="0" fillId="0" borderId="0" xfId="0" applyAlignment="1">
      <alignment vertical="top" wrapText="1"/>
    </xf>
    <xf numFmtId="0" fontId="0" fillId="0" borderId="73" xfId="0" applyBorder="1" applyAlignment="1">
      <alignment vertical="top" wrapText="1"/>
    </xf>
    <xf numFmtId="0" fontId="38" fillId="0" borderId="0" xfId="0" applyFont="1"/>
    <xf numFmtId="0" fontId="38" fillId="0" borderId="0" xfId="0" applyFont="1" applyAlignment="1">
      <alignment vertical="top" wrapText="1"/>
    </xf>
    <xf numFmtId="0" fontId="0" fillId="0" borderId="33" xfId="0" applyBorder="1"/>
    <xf numFmtId="164" fontId="0" fillId="0" borderId="33" xfId="1" applyNumberFormat="1" applyFont="1" applyBorder="1"/>
    <xf numFmtId="164" fontId="12" fillId="0" borderId="33" xfId="1" applyNumberFormat="1" applyFont="1" applyBorder="1"/>
    <xf numFmtId="0" fontId="11" fillId="19" borderId="42" xfId="0" applyFont="1" applyFill="1" applyBorder="1" applyAlignment="1">
      <alignment horizontal="center"/>
    </xf>
    <xf numFmtId="0" fontId="11" fillId="19" borderId="40" xfId="0" applyFont="1" applyFill="1" applyBorder="1" applyAlignment="1">
      <alignment horizontal="center"/>
    </xf>
    <xf numFmtId="0" fontId="17" fillId="19" borderId="40" xfId="0" applyFont="1" applyFill="1" applyBorder="1" applyAlignment="1">
      <alignment horizontal="center"/>
    </xf>
    <xf numFmtId="0" fontId="12" fillId="14" borderId="37" xfId="0" applyFont="1" applyFill="1" applyBorder="1"/>
    <xf numFmtId="0" fontId="0" fillId="14" borderId="36" xfId="0" applyFill="1" applyBorder="1"/>
    <xf numFmtId="164" fontId="0" fillId="0" borderId="35" xfId="1" applyNumberFormat="1" applyFont="1" applyBorder="1"/>
    <xf numFmtId="164" fontId="0" fillId="0" borderId="40" xfId="1" applyNumberFormat="1" applyFont="1" applyBorder="1"/>
    <xf numFmtId="164" fontId="0" fillId="14" borderId="36" xfId="1" applyNumberFormat="1" applyFont="1" applyFill="1" applyBorder="1"/>
    <xf numFmtId="0" fontId="12" fillId="14" borderId="33" xfId="0" applyFont="1" applyFill="1" applyBorder="1"/>
    <xf numFmtId="164" fontId="12" fillId="14" borderId="33" xfId="1" applyNumberFormat="1" applyFont="1" applyFill="1" applyBorder="1"/>
    <xf numFmtId="0" fontId="12" fillId="0" borderId="33" xfId="0" applyFont="1" applyBorder="1"/>
    <xf numFmtId="0" fontId="38" fillId="0" borderId="0" xfId="0" applyFont="1" applyAlignment="1">
      <alignment vertical="top" wrapText="1"/>
    </xf>
    <xf numFmtId="0" fontId="40" fillId="0" borderId="0" xfId="0" applyFont="1" applyAlignment="1">
      <alignment vertical="top" wrapText="1"/>
    </xf>
    <xf numFmtId="0" fontId="40" fillId="0" borderId="0" xfId="0" applyFont="1" applyAlignment="1">
      <alignment vertical="top"/>
    </xf>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2" fillId="0" borderId="0" xfId="0" applyFont="1" applyFill="1" applyBorder="1" applyAlignment="1">
      <alignment horizontal="center" vertical="center" wrapText="1"/>
    </xf>
    <xf numFmtId="164" fontId="0" fillId="0" borderId="0" xfId="1" applyNumberFormat="1" applyFont="1" applyFill="1" applyBorder="1"/>
    <xf numFmtId="0" fontId="23" fillId="0" borderId="0" xfId="0" applyFont="1" applyFill="1" applyBorder="1" applyAlignment="1">
      <alignment horizontal="center" vertical="center"/>
    </xf>
    <xf numFmtId="44" fontId="0" fillId="0" borderId="0" xfId="1" applyFont="1" applyFill="1" applyBorder="1"/>
    <xf numFmtId="0" fontId="12" fillId="0" borderId="0" xfId="0" applyFont="1" applyFill="1" applyBorder="1" applyAlignment="1">
      <alignment horizontal="left" vertical="center"/>
    </xf>
    <xf numFmtId="164" fontId="12" fillId="0" borderId="0" xfId="1" applyNumberFormat="1" applyFont="1" applyFill="1" applyBorder="1"/>
    <xf numFmtId="44" fontId="12" fillId="0" borderId="0" xfId="1" applyFont="1" applyFill="1" applyBorder="1"/>
    <xf numFmtId="0" fontId="12" fillId="0" borderId="0" xfId="0" applyFont="1" applyFill="1" applyBorder="1"/>
    <xf numFmtId="0" fontId="12" fillId="0" borderId="0" xfId="0" applyFont="1" applyAlignment="1">
      <alignment vertical="top"/>
    </xf>
    <xf numFmtId="164" fontId="0" fillId="14" borderId="74" xfId="0" applyNumberFormat="1" applyFill="1" applyBorder="1"/>
    <xf numFmtId="0" fontId="0" fillId="0" borderId="0" xfId="0" applyAlignment="1">
      <alignment vertical="center"/>
    </xf>
    <xf numFmtId="0" fontId="9" fillId="0" borderId="19" xfId="3" applyFont="1" applyBorder="1" applyAlignment="1"/>
    <xf numFmtId="0" fontId="9" fillId="0" borderId="19" xfId="3" applyFont="1" applyBorder="1" applyAlignment="1">
      <alignment horizontal="left"/>
    </xf>
    <xf numFmtId="164" fontId="10" fillId="0" borderId="19" xfId="2" applyNumberFormat="1" applyFont="1" applyFill="1" applyBorder="1" applyAlignment="1"/>
    <xf numFmtId="164" fontId="10" fillId="0" borderId="19" xfId="2" applyNumberFormat="1" applyFont="1" applyBorder="1" applyAlignment="1"/>
    <xf numFmtId="0" fontId="9" fillId="0" borderId="33" xfId="3" applyFont="1" applyBorder="1" applyAlignment="1"/>
    <xf numFmtId="0" fontId="9" fillId="0" borderId="33" xfId="3" applyFont="1" applyBorder="1" applyAlignment="1">
      <alignment horizontal="left"/>
    </xf>
    <xf numFmtId="164" fontId="9" fillId="0" borderId="33" xfId="2" applyNumberFormat="1" applyFont="1" applyFill="1" applyBorder="1" applyAlignment="1">
      <alignment horizontal="center"/>
    </xf>
    <xf numFmtId="164" fontId="9" fillId="0" borderId="33" xfId="2" applyNumberFormat="1" applyFont="1" applyBorder="1" applyAlignment="1">
      <alignment horizontal="center"/>
    </xf>
    <xf numFmtId="0" fontId="9" fillId="0" borderId="41" xfId="3" applyFont="1" applyBorder="1" applyAlignment="1"/>
    <xf numFmtId="164" fontId="9" fillId="0" borderId="42" xfId="2" applyNumberFormat="1" applyFont="1" applyFill="1" applyBorder="1" applyAlignment="1">
      <alignment horizontal="center"/>
    </xf>
    <xf numFmtId="0" fontId="9" fillId="0" borderId="35" xfId="3" applyFont="1" applyBorder="1" applyAlignment="1"/>
    <xf numFmtId="0" fontId="9" fillId="0" borderId="35" xfId="3" applyFont="1" applyBorder="1" applyAlignment="1">
      <alignment horizontal="left"/>
    </xf>
    <xf numFmtId="0" fontId="10" fillId="0" borderId="44" xfId="3" applyFont="1" applyBorder="1" applyAlignment="1"/>
    <xf numFmtId="164" fontId="9" fillId="0" borderId="45" xfId="2" applyNumberFormat="1" applyFont="1" applyBorder="1" applyAlignment="1"/>
    <xf numFmtId="0" fontId="12" fillId="0" borderId="0" xfId="0" applyFont="1" applyAlignment="1">
      <alignment vertical="top" wrapText="1"/>
    </xf>
    <xf numFmtId="0" fontId="0" fillId="0" borderId="75" xfId="0" applyBorder="1"/>
    <xf numFmtId="0" fontId="41" fillId="0" borderId="0" xfId="0" applyFont="1" applyAlignment="1">
      <alignment horizontal="left"/>
    </xf>
    <xf numFmtId="0" fontId="0" fillId="0" borderId="0" xfId="0" applyAlignment="1">
      <alignment vertical="center" wrapText="1"/>
    </xf>
    <xf numFmtId="0" fontId="12" fillId="0" borderId="73" xfId="0" applyFont="1" applyBorder="1" applyAlignment="1">
      <alignment vertical="top"/>
    </xf>
    <xf numFmtId="44" fontId="0" fillId="0" borderId="0" xfId="1" applyFont="1" applyAlignment="1"/>
    <xf numFmtId="44" fontId="0" fillId="0" borderId="67" xfId="1" applyFont="1" applyBorder="1" applyAlignment="1">
      <alignment vertical="top"/>
    </xf>
    <xf numFmtId="0" fontId="31" fillId="15" borderId="62" xfId="5" applyFont="1" applyFill="1" applyBorder="1" applyAlignment="1">
      <alignment wrapText="1"/>
    </xf>
    <xf numFmtId="44" fontId="12" fillId="0" borderId="67" xfId="1" applyFont="1" applyBorder="1" applyAlignment="1">
      <alignment vertical="top"/>
    </xf>
    <xf numFmtId="0" fontId="12" fillId="20" borderId="0" xfId="0" applyFont="1" applyFill="1"/>
    <xf numFmtId="44" fontId="0" fillId="20" borderId="0" xfId="1" applyFont="1" applyFill="1"/>
    <xf numFmtId="0" fontId="0" fillId="0" borderId="0" xfId="1" applyNumberFormat="1" applyFont="1"/>
    <xf numFmtId="44" fontId="0" fillId="0" borderId="0" xfId="1" applyFont="1" applyBorder="1"/>
    <xf numFmtId="44" fontId="0" fillId="0" borderId="25" xfId="1" applyFont="1" applyBorder="1"/>
    <xf numFmtId="0" fontId="0" fillId="0" borderId="28" xfId="0" applyBorder="1"/>
    <xf numFmtId="44" fontId="0" fillId="0" borderId="24" xfId="1" applyFont="1" applyBorder="1"/>
    <xf numFmtId="44" fontId="0" fillId="0" borderId="2" xfId="1" applyFont="1" applyBorder="1"/>
    <xf numFmtId="0" fontId="0" fillId="0" borderId="76" xfId="0" applyBorder="1"/>
    <xf numFmtId="44" fontId="0" fillId="0" borderId="77" xfId="1" applyFont="1" applyBorder="1"/>
    <xf numFmtId="0" fontId="0" fillId="0" borderId="77" xfId="1" applyNumberFormat="1" applyFont="1" applyBorder="1"/>
    <xf numFmtId="0" fontId="0" fillId="0" borderId="77" xfId="0" applyBorder="1"/>
    <xf numFmtId="0" fontId="0" fillId="0" borderId="78" xfId="0" applyBorder="1"/>
    <xf numFmtId="0" fontId="38" fillId="0" borderId="0" xfId="0" applyFont="1" applyAlignment="1">
      <alignment vertical="top"/>
    </xf>
    <xf numFmtId="0" fontId="8" fillId="0" borderId="0" xfId="0" applyFont="1" applyFill="1" applyBorder="1" applyAlignment="1">
      <alignment vertical="top" wrapText="1"/>
    </xf>
    <xf numFmtId="0" fontId="10" fillId="0" borderId="79" xfId="0" applyFont="1" applyBorder="1" applyAlignment="1">
      <alignment horizontal="left" vertical="top" wrapText="1"/>
    </xf>
    <xf numFmtId="0" fontId="10" fillId="0" borderId="80" xfId="0" applyFont="1" applyBorder="1" applyAlignment="1">
      <alignment horizontal="left" vertical="top" wrapText="1"/>
    </xf>
    <xf numFmtId="0" fontId="10" fillId="0" borderId="81" xfId="0" applyFont="1" applyBorder="1" applyAlignment="1">
      <alignment horizontal="left" vertical="top" wrapText="1"/>
    </xf>
    <xf numFmtId="0" fontId="10" fillId="0" borderId="82" xfId="0" applyFont="1" applyBorder="1" applyAlignment="1">
      <alignment horizontal="left" vertical="top" wrapText="1"/>
    </xf>
    <xf numFmtId="0" fontId="10" fillId="0" borderId="83" xfId="0" applyFont="1" applyBorder="1" applyAlignment="1">
      <alignment horizontal="left" vertical="top" wrapText="1"/>
    </xf>
    <xf numFmtId="0" fontId="8" fillId="5" borderId="84" xfId="0" applyFont="1" applyFill="1" applyBorder="1" applyAlignment="1">
      <alignment vertical="top" wrapText="1"/>
    </xf>
    <xf numFmtId="0" fontId="0" fillId="0" borderId="85" xfId="0" applyBorder="1"/>
    <xf numFmtId="0" fontId="0" fillId="0" borderId="86" xfId="0" applyBorder="1"/>
    <xf numFmtId="0" fontId="0" fillId="0" borderId="87" xfId="0" applyBorder="1"/>
    <xf numFmtId="0" fontId="10" fillId="0" borderId="88" xfId="0" applyFont="1" applyBorder="1" applyAlignment="1">
      <alignment horizontal="left" vertical="top" wrapText="1"/>
    </xf>
    <xf numFmtId="0" fontId="0" fillId="0" borderId="84" xfId="0" applyBorder="1"/>
    <xf numFmtId="0" fontId="0" fillId="0" borderId="3" xfId="0" applyBorder="1"/>
    <xf numFmtId="0" fontId="10" fillId="0" borderId="89" xfId="0" applyFont="1" applyBorder="1" applyAlignment="1">
      <alignment horizontal="left" vertical="top" wrapText="1"/>
    </xf>
    <xf numFmtId="0" fontId="0" fillId="0" borderId="26" xfId="0" applyBorder="1"/>
    <xf numFmtId="0" fontId="10" fillId="0" borderId="90" xfId="0" applyFont="1" applyBorder="1" applyAlignment="1">
      <alignment horizontal="left" vertical="top" wrapText="1"/>
    </xf>
    <xf numFmtId="0" fontId="5" fillId="0" borderId="0" xfId="0" applyFont="1" applyAlignment="1">
      <alignment horizontal="left" vertical="top" wrapText="1"/>
    </xf>
    <xf numFmtId="0" fontId="39" fillId="0" borderId="0" xfId="0" applyFont="1" applyAlignment="1">
      <alignment vertical="top"/>
    </xf>
    <xf numFmtId="0" fontId="43" fillId="0" borderId="0" xfId="0" applyFont="1"/>
    <xf numFmtId="0" fontId="38" fillId="0" borderId="24" xfId="0" applyFont="1" applyBorder="1" applyAlignment="1">
      <alignment vertical="top" wrapText="1"/>
    </xf>
    <xf numFmtId="0" fontId="0" fillId="0" borderId="0" xfId="3" applyFont="1" applyBorder="1" applyAlignment="1">
      <alignment wrapText="1"/>
    </xf>
    <xf numFmtId="0" fontId="39" fillId="0" borderId="24" xfId="0" applyFont="1" applyBorder="1" applyAlignment="1">
      <alignment vertical="top"/>
    </xf>
    <xf numFmtId="0" fontId="39" fillId="0" borderId="0" xfId="0" applyFont="1" applyAlignment="1">
      <alignment vertical="top" wrapText="1"/>
    </xf>
    <xf numFmtId="0" fontId="39" fillId="0" borderId="0" xfId="0" applyFont="1"/>
    <xf numFmtId="0" fontId="38" fillId="0" borderId="0" xfId="0" applyFont="1" applyAlignment="1">
      <alignment vertical="top" wrapText="1"/>
    </xf>
    <xf numFmtId="0" fontId="38" fillId="0" borderId="24" xfId="0" applyFont="1" applyBorder="1" applyAlignment="1">
      <alignment vertical="top" wrapText="1"/>
    </xf>
    <xf numFmtId="0" fontId="11" fillId="12" borderId="1" xfId="0" applyFont="1" applyFill="1" applyBorder="1" applyAlignment="1">
      <alignment horizontal="center"/>
    </xf>
    <xf numFmtId="0" fontId="11" fillId="8" borderId="1" xfId="0" applyFont="1" applyFill="1" applyBorder="1" applyAlignment="1">
      <alignment horizontal="center"/>
    </xf>
    <xf numFmtId="0" fontId="11" fillId="10" borderId="1" xfId="0" applyFont="1" applyFill="1" applyBorder="1" applyAlignment="1">
      <alignment horizontal="center"/>
    </xf>
    <xf numFmtId="0" fontId="11" fillId="9" borderId="1" xfId="0" applyFont="1" applyFill="1" applyBorder="1" applyAlignment="1">
      <alignment horizontal="center"/>
    </xf>
    <xf numFmtId="0" fontId="11" fillId="7" borderId="1" xfId="0" applyFont="1" applyFill="1" applyBorder="1" applyAlignment="1">
      <alignment horizont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38" fillId="0" borderId="0" xfId="0" applyFont="1" applyBorder="1" applyAlignment="1">
      <alignment vertical="top" wrapText="1"/>
    </xf>
    <xf numFmtId="0" fontId="32" fillId="18" borderId="66" xfId="5" applyFont="1" applyFill="1" applyBorder="1" applyAlignment="1">
      <alignment vertical="center" wrapText="1"/>
    </xf>
    <xf numFmtId="0" fontId="32" fillId="18" borderId="67" xfId="5" applyFont="1" applyFill="1" applyBorder="1" applyAlignment="1">
      <alignment vertical="center" wrapText="1"/>
    </xf>
    <xf numFmtId="0" fontId="32" fillId="18" borderId="65" xfId="5" applyFont="1" applyFill="1" applyBorder="1" applyAlignment="1">
      <alignment vertical="center" wrapText="1"/>
    </xf>
    <xf numFmtId="44" fontId="38" fillId="0" borderId="0" xfId="1" applyFont="1" applyBorder="1" applyAlignment="1">
      <alignment vertical="top" wrapText="1"/>
    </xf>
    <xf numFmtId="0" fontId="38" fillId="0" borderId="0" xfId="0" applyFont="1" applyAlignment="1">
      <alignment horizontal="left" vertical="top" wrapText="1"/>
    </xf>
    <xf numFmtId="0" fontId="8" fillId="5" borderId="5" xfId="0" applyFont="1" applyFill="1" applyBorder="1" applyAlignment="1">
      <alignment horizontal="left" vertical="top" wrapText="1"/>
    </xf>
    <xf numFmtId="0" fontId="8" fillId="5" borderId="50"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17" xfId="0" applyFont="1" applyBorder="1" applyAlignment="1">
      <alignment horizontal="left" vertical="top" wrapText="1"/>
    </xf>
    <xf numFmtId="0" fontId="8" fillId="5" borderId="4" xfId="0" applyFont="1" applyFill="1" applyBorder="1" applyAlignment="1">
      <alignment horizontal="left" vertical="top" wrapText="1"/>
    </xf>
    <xf numFmtId="0" fontId="9" fillId="0" borderId="13" xfId="0" applyFont="1" applyBorder="1" applyAlignment="1">
      <alignment horizontal="left" vertical="top" wrapText="1"/>
    </xf>
    <xf numFmtId="0" fontId="45" fillId="22" borderId="93" xfId="0" applyFont="1" applyFill="1" applyBorder="1" applyAlignment="1">
      <alignment horizontal="center" vertical="center" wrapText="1"/>
    </xf>
    <xf numFmtId="0" fontId="46" fillId="22" borderId="94" xfId="0" applyFont="1" applyFill="1" applyBorder="1" applyAlignment="1">
      <alignment horizontal="center" vertical="center"/>
    </xf>
    <xf numFmtId="0" fontId="45" fillId="0" borderId="95" xfId="0" applyFont="1" applyBorder="1" applyAlignment="1">
      <alignment vertical="center" wrapText="1"/>
    </xf>
    <xf numFmtId="0" fontId="45" fillId="22" borderId="95" xfId="0" applyFont="1" applyFill="1" applyBorder="1" applyAlignment="1">
      <alignment vertical="center" wrapText="1"/>
    </xf>
    <xf numFmtId="0" fontId="46" fillId="0" borderId="95" xfId="0" applyFont="1" applyBorder="1" applyAlignment="1">
      <alignment vertical="center" wrapText="1"/>
    </xf>
    <xf numFmtId="0" fontId="44" fillId="21" borderId="91" xfId="0" applyFont="1" applyFill="1" applyBorder="1" applyAlignment="1">
      <alignment horizontal="center" vertical="center" wrapText="1"/>
    </xf>
    <xf numFmtId="0" fontId="44" fillId="21" borderId="92" xfId="0" applyFont="1" applyFill="1" applyBorder="1" applyAlignment="1">
      <alignment horizontal="center" vertical="center" wrapText="1"/>
    </xf>
    <xf numFmtId="0" fontId="44" fillId="21" borderId="0" xfId="0" applyFont="1" applyFill="1" applyAlignment="1">
      <alignment horizontal="center" vertical="center" wrapText="1"/>
    </xf>
    <xf numFmtId="44" fontId="45" fillId="0" borderId="93" xfId="1" applyFont="1" applyBorder="1" applyAlignment="1">
      <alignment vertical="center" wrapText="1"/>
    </xf>
    <xf numFmtId="44" fontId="45" fillId="22" borderId="93" xfId="1" applyFont="1" applyFill="1" applyBorder="1" applyAlignment="1">
      <alignment horizontal="center" vertical="center" wrapText="1"/>
    </xf>
    <xf numFmtId="44" fontId="45" fillId="0" borderId="93" xfId="1" applyFont="1" applyBorder="1" applyAlignment="1">
      <alignment horizontal="center" vertical="center" wrapText="1"/>
    </xf>
    <xf numFmtId="44" fontId="46" fillId="0" borderId="94" xfId="1" applyFont="1" applyBorder="1" applyAlignment="1">
      <alignment horizontal="center" vertical="center" wrapText="1"/>
    </xf>
    <xf numFmtId="44" fontId="45" fillId="22" borderId="93" xfId="1" applyFont="1" applyFill="1" applyBorder="1" applyAlignment="1">
      <alignment vertical="center" wrapText="1"/>
    </xf>
    <xf numFmtId="44" fontId="46" fillId="22" borderId="94" xfId="1" applyFont="1" applyFill="1" applyBorder="1" applyAlignment="1">
      <alignment horizontal="center" vertical="center" wrapText="1"/>
    </xf>
    <xf numFmtId="44" fontId="46" fillId="0" borderId="93" xfId="1" applyFont="1" applyBorder="1" applyAlignment="1">
      <alignment vertical="center" wrapText="1"/>
    </xf>
    <xf numFmtId="44" fontId="46" fillId="22" borderId="93" xfId="1" applyFont="1" applyFill="1" applyBorder="1" applyAlignment="1">
      <alignment horizontal="center" vertical="center" wrapText="1"/>
    </xf>
    <xf numFmtId="44" fontId="46" fillId="0" borderId="93" xfId="1" applyFont="1" applyBorder="1" applyAlignment="1">
      <alignment horizontal="center" vertical="center" wrapText="1"/>
    </xf>
    <xf numFmtId="10" fontId="12" fillId="0" borderId="0" xfId="6" applyNumberFormat="1" applyFont="1"/>
    <xf numFmtId="0" fontId="12" fillId="0" borderId="0" xfId="0" applyFont="1" applyFill="1" applyBorder="1" applyAlignment="1">
      <alignment horizontal="center" vertical="center"/>
    </xf>
  </cellXfs>
  <cellStyles count="7">
    <cellStyle name="Currency" xfId="1" builtinId="4"/>
    <cellStyle name="Currency 2 2" xfId="2"/>
    <cellStyle name="Normal" xfId="0" builtinId="0"/>
    <cellStyle name="Normal 2 2" xfId="3"/>
    <cellStyle name="Normal 4" xfId="4"/>
    <cellStyle name="Normal 6" xfId="5"/>
    <cellStyle name="Percent" xfId="6" builtinId="5"/>
  </cellStyles>
  <dxfs count="122">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_(&quot;$&quot;* #,##0_);_(&quot;$&quot;* \(#,##0\);_(&quot;$&quot;* &quot;-&quot;??_);_(@_)"/>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dxf>
    <dxf>
      <numFmt numFmtId="164" formatCode="_(&quot;$&quot;* #,##0.0_);_(&quot;$&quot;* \(#,##0.0\);_(&quot;$&quot;* &quot;-&quot;??_);_(@_)"/>
    </dxf>
    <dxf>
      <numFmt numFmtId="164" formatCode="_(&quot;$&quot;* #,##0.0_);_(&quot;$&quot;* \(#,##0.0\);_(&quot;$&quot;* &quot;-&quot;??_);_(@_)"/>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6" formatCode="_(&quot;$&quot;* #,##0_);_(&quot;$&quot;* \(#,##0\);_(&quot;$&quot;* &quot;-&quot;??_);_(@_)"/>
    </dxf>
    <dxf>
      <font>
        <b val="0"/>
        <i val="0"/>
        <strike val="0"/>
        <condense val="0"/>
        <extend val="0"/>
        <outline val="0"/>
        <shadow val="0"/>
        <u val="none"/>
        <vertAlign val="baseline"/>
        <sz val="11"/>
        <color theme="1"/>
        <name val="Calibri"/>
        <scheme val="minor"/>
      </font>
      <numFmt numFmtId="166" formatCode="_(&quot;$&quot;* #,##0_);_(&quot;$&quot;* \(#,##0\);_(&quot;$&quot;* &quot;-&quot;??_);_(@_)"/>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66" formatCode="_(&quot;$&quot;* #,##0_);_(&quot;$&quot;* \(#,##0\);_(&quot;$&quot;* &quot;-&quot;??_);_(@_)"/>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general"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numFmt numFmtId="168" formatCode="_(&quot;$&quot;* #,##0.000_);_(&quot;$&quot;* \(#,##0.0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alignment horizontal="general"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Times New Roman"/>
        <scheme val="none"/>
      </font>
      <alignment horizontal="center" vertical="bottom" textRotation="0" wrapText="0" relativeIndent="0" justifyLastLine="0" shrinkToFit="0" readingOrder="0"/>
    </dxf>
    <dxf>
      <font>
        <b val="0"/>
        <i/>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alignment horizontal="general"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relativeIndent="0" justifyLastLine="0" shrinkToFit="0" readingOrder="0"/>
    </dxf>
    <dxf>
      <border diagonalUp="0" diagonalDown="0">
        <left style="medium">
          <color auto="1"/>
        </left>
        <right style="medium">
          <color auto="1"/>
        </right>
        <top/>
        <bottom/>
      </border>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font>
        <strike val="0"/>
        <outline val="0"/>
        <shadow val="0"/>
        <u val="none"/>
        <sz val="10"/>
        <name val="Times New Roman"/>
        <scheme val="none"/>
      </font>
    </dxf>
    <dxf>
      <border outline="0">
        <left style="thick">
          <color indexed="64"/>
        </left>
        <right style="thick">
          <color indexed="64"/>
        </right>
        <top style="thick">
          <color indexed="64"/>
        </top>
        <bottom style="thick">
          <color indexed="64"/>
        </bottom>
      </border>
    </dxf>
    <dxf>
      <font>
        <strike val="0"/>
        <outline val="0"/>
        <shadow val="0"/>
        <u val="none"/>
        <sz val="10"/>
        <name val="Times New Roman"/>
        <scheme val="none"/>
      </font>
    </dxf>
    <dxf>
      <border outline="0">
        <bottom style="thick">
          <color indexed="64"/>
        </bottom>
      </border>
    </dxf>
    <dxf>
      <font>
        <b/>
        <i val="0"/>
        <strike val="0"/>
        <condense val="0"/>
        <extend val="0"/>
        <outline val="0"/>
        <shadow val="0"/>
        <u val="none"/>
        <vertAlign val="baseline"/>
        <sz val="10"/>
        <color theme="1"/>
        <name val="Times New Roman"/>
        <scheme val="none"/>
      </font>
    </dxf>
    <dxf>
      <border outline="0">
        <left style="thick">
          <color indexed="64"/>
        </left>
        <right style="thick">
          <color indexed="64"/>
        </right>
        <top style="thick">
          <color indexed="64"/>
        </top>
        <bottom style="thick">
          <color indexed="64"/>
        </bottom>
      </border>
    </dxf>
    <dxf>
      <border outline="0">
        <bottom style="thick">
          <color indexed="64"/>
        </bottom>
      </border>
    </dxf>
    <dxf>
      <font>
        <b/>
        <i val="0"/>
        <strike val="0"/>
        <condense val="0"/>
        <extend val="0"/>
        <outline val="0"/>
        <shadow val="0"/>
        <u val="none"/>
        <vertAlign val="baseline"/>
        <sz val="11"/>
        <color theme="1"/>
        <name val="Calibri"/>
        <scheme val="minor"/>
      </font>
      <alignment horizontal="general" vertical="center" textRotation="0" indent="0" justifyLastLine="0" shrinkToFit="0" readingOrder="0"/>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numFmt numFmtId="164" formatCode="_(&quot;$&quot;* #,##0.0_);_(&quot;$&quot;* \(#,##0.0\);_(&quot;$&quot;*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B6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'Table 3-1 P3'!$C$3</c:f>
              <c:strCache>
                <c:ptCount val="1"/>
                <c:pt idx="0">
                  <c:v>Initial Total Cost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'Table 3-1 P3'!$B$4:$B$8</c:f>
              <c:strCache>
                <c:ptCount val="5"/>
                <c:pt idx="0">
                  <c:v>PE &amp; Final Design</c:v>
                </c:pt>
                <c:pt idx="1">
                  <c:v>Right of Way</c:v>
                </c:pt>
                <c:pt idx="2">
                  <c:v>Construction</c:v>
                </c:pt>
                <c:pt idx="3">
                  <c:v>Railroad PE</c:v>
                </c:pt>
                <c:pt idx="4">
                  <c:v>CEI &amp; Administrative</c:v>
                </c:pt>
              </c:strCache>
            </c:strRef>
          </c:cat>
          <c:val>
            <c:numRef>
              <c:f>'Table 3-1 P3'!$C$4:$C$8</c:f>
              <c:numCache>
                <c:formatCode>_("$"* #,##0.00_);_("$"* \(#,##0.00\);_("$"* "-"??_);_(@_)</c:formatCode>
                <c:ptCount val="5"/>
                <c:pt idx="0">
                  <c:v>13.175549</c:v>
                </c:pt>
                <c:pt idx="1">
                  <c:v>0.1</c:v>
                </c:pt>
                <c:pt idx="2">
                  <c:v>134</c:v>
                </c:pt>
                <c:pt idx="3">
                  <c:v>0.02</c:v>
                </c:pt>
                <c:pt idx="4">
                  <c:v>4</c:v>
                </c:pt>
              </c:numCache>
            </c:numRef>
          </c:val>
          <c:extLst xmlns:c16r2="http://schemas.microsoft.com/office/drawing/2015/06/chart">
            <c:ext xmlns:c16="http://schemas.microsoft.com/office/drawing/2014/chart" uri="{C3380CC4-5D6E-409C-BE32-E72D297353CC}">
              <c16:uniqueId val="{00000000-26BE-41CF-9CFF-12A7B6FB8177}"/>
            </c:ext>
          </c:extLst>
        </c:ser>
        <c:dLbls>
          <c:showLegendKey val="0"/>
          <c:showVal val="0"/>
          <c:showCatName val="0"/>
          <c:showSerName val="0"/>
          <c:showPercent val="0"/>
          <c:showBubbleSize val="0"/>
        </c:dLbls>
        <c:gapWidth val="182"/>
        <c:axId val="518466456"/>
        <c:axId val="569787584"/>
      </c:barChart>
      <c:catAx>
        <c:axId val="518466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787584"/>
        <c:crosses val="autoZero"/>
        <c:auto val="1"/>
        <c:lblAlgn val="ctr"/>
        <c:lblOffset val="100"/>
        <c:noMultiLvlLbl val="0"/>
      </c:catAx>
      <c:valAx>
        <c:axId val="569787584"/>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466456"/>
        <c:crosses val="autoZero"/>
        <c:crossBetween val="between"/>
        <c:majorUnit val="50"/>
        <c:minorUnit val="5"/>
      </c:valAx>
      <c:spPr>
        <a:noFill/>
        <a:ln>
          <a:noFill/>
        </a:ln>
        <a:effectLst/>
      </c:spPr>
    </c:plotArea>
    <c:plotVisOnly val="1"/>
    <c:dispBlanksAs val="gap"/>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3-1 P3'!$C$3</c:f>
              <c:strCache>
                <c:ptCount val="1"/>
                <c:pt idx="0">
                  <c:v>Initial Total Cost</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1DEC-47DA-A79C-ACD204F24D1E}"/>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1DEC-47DA-A79C-ACD204F24D1E}"/>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1DEC-47DA-A79C-ACD204F24D1E}"/>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1DEC-47DA-A79C-ACD204F24D1E}"/>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1DEC-47DA-A79C-ACD204F24D1E}"/>
              </c:ext>
            </c:extLst>
          </c:dPt>
          <c:dLbls>
            <c:dLbl>
              <c:idx val="0"/>
              <c:layout>
                <c:manualLayout>
                  <c:x val="1.6124562554680665E-2"/>
                  <c:y val="-3.034230096237970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DEC-47DA-A79C-ACD204F24D1E}"/>
                </c:ext>
                <c:ext xmlns:c15="http://schemas.microsoft.com/office/drawing/2012/chart" uri="{CE6537A1-D6FC-4f65-9D91-7224C49458BB}">
                  <c15:layout/>
                </c:ext>
              </c:extLst>
            </c:dLbl>
            <c:dLbl>
              <c:idx val="1"/>
              <c:layout>
                <c:manualLayout>
                  <c:x val="8.2965769903762032E-2"/>
                  <c:y val="-3.033756197142023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DEC-47DA-A79C-ACD204F24D1E}"/>
                </c:ext>
                <c:ext xmlns:c15="http://schemas.microsoft.com/office/drawing/2012/chart" uri="{CE6537A1-D6FC-4f65-9D91-7224C49458BB}">
                  <c15:layout/>
                </c:ext>
              </c:extLst>
            </c:dLbl>
            <c:dLbl>
              <c:idx val="3"/>
              <c:layout>
                <c:manualLayout>
                  <c:x val="-0.10026760717410324"/>
                  <c:y val="1.3677456984543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DEC-47DA-A79C-ACD204F24D1E}"/>
                </c:ext>
                <c:ext xmlns:c15="http://schemas.microsoft.com/office/drawing/2012/chart" uri="{CE6537A1-D6FC-4f65-9D91-7224C49458BB}">
                  <c15:layout/>
                </c:ext>
              </c:extLst>
            </c:dLbl>
            <c:dLbl>
              <c:idx val="4"/>
              <c:layout>
                <c:manualLayout>
                  <c:x val="-1.0980205599300087E-2"/>
                  <c:y val="-2.56204432779235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DEC-47DA-A79C-ACD204F24D1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'Table 3-1 P3'!$B$4:$B$8</c:f>
              <c:strCache>
                <c:ptCount val="5"/>
                <c:pt idx="0">
                  <c:v>PE &amp; Final Design</c:v>
                </c:pt>
                <c:pt idx="1">
                  <c:v>Right of Way</c:v>
                </c:pt>
                <c:pt idx="2">
                  <c:v>Construction</c:v>
                </c:pt>
                <c:pt idx="3">
                  <c:v>Railroad PE</c:v>
                </c:pt>
                <c:pt idx="4">
                  <c:v>CEI &amp; Administrative</c:v>
                </c:pt>
              </c:strCache>
            </c:strRef>
          </c:cat>
          <c:val>
            <c:numRef>
              <c:f>'Table 3-1 P3'!$C$4:$C$8</c:f>
              <c:numCache>
                <c:formatCode>_("$"* #,##0.00_);_("$"* \(#,##0.00\);_("$"* "-"??_);_(@_)</c:formatCode>
                <c:ptCount val="5"/>
                <c:pt idx="0">
                  <c:v>13.175549</c:v>
                </c:pt>
                <c:pt idx="1">
                  <c:v>0.1</c:v>
                </c:pt>
                <c:pt idx="2">
                  <c:v>134</c:v>
                </c:pt>
                <c:pt idx="3">
                  <c:v>0.02</c:v>
                </c:pt>
                <c:pt idx="4">
                  <c:v>4</c:v>
                </c:pt>
              </c:numCache>
            </c:numRef>
          </c:val>
          <c:extLst xmlns:c16r2="http://schemas.microsoft.com/office/drawing/2015/06/chart">
            <c:ext xmlns:c16="http://schemas.microsoft.com/office/drawing/2014/chart" uri="{C3380CC4-5D6E-409C-BE32-E72D297353CC}">
              <c16:uniqueId val="{0000000A-1DEC-47DA-A79C-ACD204F24D1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2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'Table 3-1 Trad'!$A$6:$A$10</c:f>
              <c:strCache>
                <c:ptCount val="5"/>
                <c:pt idx="0">
                  <c:v>Preliminary Engineering</c:v>
                </c:pt>
                <c:pt idx="1">
                  <c:v>Right of Way</c:v>
                </c:pt>
                <c:pt idx="2">
                  <c:v>Environmental Mitigation</c:v>
                </c:pt>
                <c:pt idx="3">
                  <c:v>Construction</c:v>
                </c:pt>
                <c:pt idx="4">
                  <c:v>Utilities</c:v>
                </c:pt>
              </c:strCache>
            </c:strRef>
          </c:cat>
          <c:val>
            <c:numRef>
              <c:f>'Table 3-1 Trad'!$G$6:$G$10</c:f>
              <c:numCache>
                <c:formatCode>_("$"* #,##0.00_);_("$"* \(#,##0.00\);_("$"* "-"??_);_(@_)</c:formatCode>
                <c:ptCount val="5"/>
                <c:pt idx="0">
                  <c:v>95.58</c:v>
                </c:pt>
                <c:pt idx="1">
                  <c:v>272.39</c:v>
                </c:pt>
                <c:pt idx="2">
                  <c:v>40.479999999999997</c:v>
                </c:pt>
                <c:pt idx="3">
                  <c:v>1069.5999999999999</c:v>
                </c:pt>
                <c:pt idx="4">
                  <c:v>156.4</c:v>
                </c:pt>
              </c:numCache>
            </c:numRef>
          </c:val>
        </c:ser>
        <c:dLbls>
          <c:showLegendKey val="0"/>
          <c:showVal val="0"/>
          <c:showCatName val="0"/>
          <c:showSerName val="0"/>
          <c:showPercent val="0"/>
          <c:showBubbleSize val="0"/>
          <c:showLeaderLines val="1"/>
        </c:dLbls>
      </c:pie3DChart>
      <c:spPr>
        <a:noFill/>
        <a:ln>
          <a:noFill/>
        </a:ln>
        <a:effectLst/>
      </c:spPr>
    </c:plotArea>
    <c:legend>
      <c:legendPos val="l"/>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'Table 3-1 Trad'!$B$5:$F$5</c:f>
              <c:strCache>
                <c:ptCount val="5"/>
                <c:pt idx="0">
                  <c:v>Environmental - NEPA</c:v>
                </c:pt>
                <c:pt idx="1">
                  <c:v>Subproject 1</c:v>
                </c:pt>
                <c:pt idx="2">
                  <c:v>Subproject 2</c:v>
                </c:pt>
                <c:pt idx="3">
                  <c:v>Subproject 3</c:v>
                </c:pt>
                <c:pt idx="4">
                  <c:v>Subproject 4</c:v>
                </c:pt>
              </c:strCache>
            </c:strRef>
          </c:cat>
          <c:val>
            <c:numRef>
              <c:f>'Table 3-1 Trad'!$B$11:$F$11</c:f>
              <c:numCache>
                <c:formatCode>_("$"* #,##0.00_);_("$"* \(#,##0.00\);_("$"* "-"??_);_(@_)</c:formatCode>
                <c:ptCount val="5"/>
                <c:pt idx="0">
                  <c:v>59.25</c:v>
                </c:pt>
                <c:pt idx="1">
                  <c:v>285</c:v>
                </c:pt>
                <c:pt idx="2">
                  <c:v>371.6</c:v>
                </c:pt>
                <c:pt idx="3">
                  <c:v>232.6</c:v>
                </c:pt>
                <c:pt idx="4">
                  <c:v>686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l"/>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6-3: Cumulative Cash Flow Comparison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85892388451443"/>
          <c:y val="0.17171296296296296"/>
          <c:w val="0.86236329833770775"/>
          <c:h val="0.61042395742198896"/>
        </c:manualLayout>
      </c:layout>
      <c:lineChart>
        <c:grouping val="standard"/>
        <c:varyColors val="0"/>
        <c:ser>
          <c:idx val="0"/>
          <c:order val="0"/>
          <c:tx>
            <c:strRef>
              <c:f>'Table 6-3'!$P$4</c:f>
              <c:strCache>
                <c:ptCount val="1"/>
                <c:pt idx="0">
                  <c:v>Revenue</c:v>
                </c:pt>
              </c:strCache>
            </c:strRef>
          </c:tx>
          <c:spPr>
            <a:ln w="28575" cap="rnd">
              <a:solidFill>
                <a:schemeClr val="accent1"/>
              </a:solidFill>
              <a:round/>
            </a:ln>
            <a:effectLst/>
          </c:spPr>
          <c:marker>
            <c:symbol val="none"/>
          </c:marker>
          <c:cat>
            <c:strRef>
              <c:f>'Table 6-3'!$Q$3:$Y$3</c:f>
              <c:strCache>
                <c:ptCount val="9"/>
                <c:pt idx="0">
                  <c:v>2010 &amp; Prior</c:v>
                </c:pt>
                <c:pt idx="1">
                  <c:v>2011</c:v>
                </c:pt>
                <c:pt idx="2">
                  <c:v>2012</c:v>
                </c:pt>
                <c:pt idx="3">
                  <c:v>2013</c:v>
                </c:pt>
                <c:pt idx="4">
                  <c:v>2014</c:v>
                </c:pt>
                <c:pt idx="5">
                  <c:v>2015</c:v>
                </c:pt>
                <c:pt idx="6">
                  <c:v>2016</c:v>
                </c:pt>
                <c:pt idx="7">
                  <c:v>2017</c:v>
                </c:pt>
                <c:pt idx="8">
                  <c:v>2018</c:v>
                </c:pt>
              </c:strCache>
            </c:strRef>
          </c:cat>
          <c:val>
            <c:numRef>
              <c:f>'Table 6-3'!$Q$4:$Y$4</c:f>
              <c:numCache>
                <c:formatCode>_("$"* #,##0.00_);_("$"* \(#,##0.00\);_("$"* "-"??_);_(@_)</c:formatCode>
                <c:ptCount val="9"/>
                <c:pt idx="0">
                  <c:v>36</c:v>
                </c:pt>
                <c:pt idx="1">
                  <c:v>84</c:v>
                </c:pt>
                <c:pt idx="2">
                  <c:v>162</c:v>
                </c:pt>
                <c:pt idx="3">
                  <c:v>230</c:v>
                </c:pt>
                <c:pt idx="4">
                  <c:v>371</c:v>
                </c:pt>
                <c:pt idx="5">
                  <c:v>503</c:v>
                </c:pt>
                <c:pt idx="6">
                  <c:v>559</c:v>
                </c:pt>
                <c:pt idx="7">
                  <c:v>591</c:v>
                </c:pt>
                <c:pt idx="8">
                  <c:v>593</c:v>
                </c:pt>
              </c:numCache>
            </c:numRef>
          </c:val>
          <c:smooth val="0"/>
          <c:extLst xmlns:c16r2="http://schemas.microsoft.com/office/drawing/2015/06/chart">
            <c:ext xmlns:c16="http://schemas.microsoft.com/office/drawing/2014/chart" uri="{C3380CC4-5D6E-409C-BE32-E72D297353CC}">
              <c16:uniqueId val="{00000000-479B-4F59-9E63-829629A06A31}"/>
            </c:ext>
          </c:extLst>
        </c:ser>
        <c:ser>
          <c:idx val="1"/>
          <c:order val="1"/>
          <c:tx>
            <c:strRef>
              <c:f>'Table 6-3'!$P$5</c:f>
              <c:strCache>
                <c:ptCount val="1"/>
                <c:pt idx="0">
                  <c:v>IFP Revenue</c:v>
                </c:pt>
              </c:strCache>
            </c:strRef>
          </c:tx>
          <c:spPr>
            <a:ln w="28575" cap="rnd">
              <a:solidFill>
                <a:schemeClr val="accent2"/>
              </a:solidFill>
              <a:round/>
            </a:ln>
            <a:effectLst/>
          </c:spPr>
          <c:marker>
            <c:symbol val="none"/>
          </c:marker>
          <c:cat>
            <c:strRef>
              <c:f>'Table 6-3'!$Q$3:$Y$3</c:f>
              <c:strCache>
                <c:ptCount val="9"/>
                <c:pt idx="0">
                  <c:v>2010 &amp; Prior</c:v>
                </c:pt>
                <c:pt idx="1">
                  <c:v>2011</c:v>
                </c:pt>
                <c:pt idx="2">
                  <c:v>2012</c:v>
                </c:pt>
                <c:pt idx="3">
                  <c:v>2013</c:v>
                </c:pt>
                <c:pt idx="4">
                  <c:v>2014</c:v>
                </c:pt>
                <c:pt idx="5">
                  <c:v>2015</c:v>
                </c:pt>
                <c:pt idx="6">
                  <c:v>2016</c:v>
                </c:pt>
                <c:pt idx="7">
                  <c:v>2017</c:v>
                </c:pt>
                <c:pt idx="8">
                  <c:v>2018</c:v>
                </c:pt>
              </c:strCache>
            </c:strRef>
          </c:cat>
          <c:val>
            <c:numRef>
              <c:f>'Table 6-3'!$Q$5:$Y$5</c:f>
              <c:numCache>
                <c:formatCode>_("$"* #,##0.00_);_("$"* \(#,##0.00\);_("$"* "-"??_);_(@_)</c:formatCode>
                <c:ptCount val="9"/>
                <c:pt idx="0">
                  <c:v>30</c:v>
                </c:pt>
                <c:pt idx="1">
                  <c:v>60.7</c:v>
                </c:pt>
                <c:pt idx="2">
                  <c:v>117</c:v>
                </c:pt>
                <c:pt idx="3">
                  <c:v>192</c:v>
                </c:pt>
                <c:pt idx="4">
                  <c:v>257</c:v>
                </c:pt>
                <c:pt idx="5">
                  <c:v>396</c:v>
                </c:pt>
                <c:pt idx="6">
                  <c:v>496</c:v>
                </c:pt>
                <c:pt idx="7">
                  <c:v>572</c:v>
                </c:pt>
                <c:pt idx="8">
                  <c:v>605.20000000000005</c:v>
                </c:pt>
              </c:numCache>
            </c:numRef>
          </c:val>
          <c:smooth val="0"/>
          <c:extLst xmlns:c16r2="http://schemas.microsoft.com/office/drawing/2015/06/chart">
            <c:ext xmlns:c16="http://schemas.microsoft.com/office/drawing/2014/chart" uri="{C3380CC4-5D6E-409C-BE32-E72D297353CC}">
              <c16:uniqueId val="{00000001-479B-4F59-9E63-829629A06A31}"/>
            </c:ext>
          </c:extLst>
        </c:ser>
        <c:ser>
          <c:idx val="2"/>
          <c:order val="2"/>
          <c:tx>
            <c:strRef>
              <c:f>'Table 6-3'!$P$6</c:f>
              <c:strCache>
                <c:ptCount val="1"/>
                <c:pt idx="0">
                  <c:v>Expenses</c:v>
                </c:pt>
              </c:strCache>
            </c:strRef>
          </c:tx>
          <c:spPr>
            <a:ln w="28575" cap="rnd">
              <a:solidFill>
                <a:schemeClr val="accent3"/>
              </a:solidFill>
              <a:round/>
            </a:ln>
            <a:effectLst/>
          </c:spPr>
          <c:marker>
            <c:symbol val="none"/>
          </c:marker>
          <c:cat>
            <c:strRef>
              <c:f>'Table 6-3'!$Q$3:$Y$3</c:f>
              <c:strCache>
                <c:ptCount val="9"/>
                <c:pt idx="0">
                  <c:v>2010 &amp; Prior</c:v>
                </c:pt>
                <c:pt idx="1">
                  <c:v>2011</c:v>
                </c:pt>
                <c:pt idx="2">
                  <c:v>2012</c:v>
                </c:pt>
                <c:pt idx="3">
                  <c:v>2013</c:v>
                </c:pt>
                <c:pt idx="4">
                  <c:v>2014</c:v>
                </c:pt>
                <c:pt idx="5">
                  <c:v>2015</c:v>
                </c:pt>
                <c:pt idx="6">
                  <c:v>2016</c:v>
                </c:pt>
                <c:pt idx="7">
                  <c:v>2017</c:v>
                </c:pt>
                <c:pt idx="8">
                  <c:v>2018</c:v>
                </c:pt>
              </c:strCache>
            </c:strRef>
          </c:cat>
          <c:val>
            <c:numRef>
              <c:f>'Table 6-3'!$Q$6:$Y$6</c:f>
              <c:numCache>
                <c:formatCode>_("$"* #,##0.00_);_("$"* \(#,##0.00\);_("$"* "-"??_);_(@_)</c:formatCode>
                <c:ptCount val="9"/>
                <c:pt idx="0">
                  <c:v>35.799999999999997</c:v>
                </c:pt>
                <c:pt idx="1">
                  <c:v>83.6</c:v>
                </c:pt>
                <c:pt idx="2">
                  <c:v>162.30000000000001</c:v>
                </c:pt>
                <c:pt idx="3">
                  <c:v>229.2</c:v>
                </c:pt>
                <c:pt idx="4">
                  <c:v>371</c:v>
                </c:pt>
                <c:pt idx="5">
                  <c:v>502.7</c:v>
                </c:pt>
                <c:pt idx="6">
                  <c:v>558.9</c:v>
                </c:pt>
                <c:pt idx="7">
                  <c:v>590.79999999999995</c:v>
                </c:pt>
                <c:pt idx="8">
                  <c:v>592.9</c:v>
                </c:pt>
              </c:numCache>
            </c:numRef>
          </c:val>
          <c:smooth val="0"/>
          <c:extLst xmlns:c16r2="http://schemas.microsoft.com/office/drawing/2015/06/chart">
            <c:ext xmlns:c16="http://schemas.microsoft.com/office/drawing/2014/chart" uri="{C3380CC4-5D6E-409C-BE32-E72D297353CC}">
              <c16:uniqueId val="{00000002-479B-4F59-9E63-829629A06A31}"/>
            </c:ext>
          </c:extLst>
        </c:ser>
        <c:ser>
          <c:idx val="3"/>
          <c:order val="3"/>
          <c:tx>
            <c:strRef>
              <c:f>'Table 6-3'!$P$7</c:f>
              <c:strCache>
                <c:ptCount val="1"/>
                <c:pt idx="0">
                  <c:v>IFP Expenses</c:v>
                </c:pt>
              </c:strCache>
            </c:strRef>
          </c:tx>
          <c:spPr>
            <a:ln w="28575" cap="rnd">
              <a:solidFill>
                <a:schemeClr val="accent4"/>
              </a:solidFill>
              <a:round/>
            </a:ln>
            <a:effectLst/>
          </c:spPr>
          <c:marker>
            <c:symbol val="none"/>
          </c:marker>
          <c:cat>
            <c:strRef>
              <c:f>'Table 6-3'!$Q$3:$Y$3</c:f>
              <c:strCache>
                <c:ptCount val="9"/>
                <c:pt idx="0">
                  <c:v>2010 &amp; Prior</c:v>
                </c:pt>
                <c:pt idx="1">
                  <c:v>2011</c:v>
                </c:pt>
                <c:pt idx="2">
                  <c:v>2012</c:v>
                </c:pt>
                <c:pt idx="3">
                  <c:v>2013</c:v>
                </c:pt>
                <c:pt idx="4">
                  <c:v>2014</c:v>
                </c:pt>
                <c:pt idx="5">
                  <c:v>2015</c:v>
                </c:pt>
                <c:pt idx="6">
                  <c:v>2016</c:v>
                </c:pt>
                <c:pt idx="7">
                  <c:v>2017</c:v>
                </c:pt>
                <c:pt idx="8">
                  <c:v>2018</c:v>
                </c:pt>
              </c:strCache>
            </c:strRef>
          </c:cat>
          <c:val>
            <c:numRef>
              <c:f>'Table 6-3'!$Q$7:$Y$7</c:f>
              <c:numCache>
                <c:formatCode>_("$"* #,##0.00_);_("$"* \(#,##0.00\);_("$"* "-"??_);_(@_)</c:formatCode>
                <c:ptCount val="9"/>
                <c:pt idx="0">
                  <c:v>29.4</c:v>
                </c:pt>
                <c:pt idx="1">
                  <c:v>60.7</c:v>
                </c:pt>
                <c:pt idx="2">
                  <c:v>116.8</c:v>
                </c:pt>
                <c:pt idx="3">
                  <c:v>191.4</c:v>
                </c:pt>
                <c:pt idx="4">
                  <c:v>256.8</c:v>
                </c:pt>
                <c:pt idx="5">
                  <c:v>396.1</c:v>
                </c:pt>
                <c:pt idx="6">
                  <c:v>495.2</c:v>
                </c:pt>
                <c:pt idx="7">
                  <c:v>570.5</c:v>
                </c:pt>
                <c:pt idx="8">
                  <c:v>605.20000000000005</c:v>
                </c:pt>
              </c:numCache>
            </c:numRef>
          </c:val>
          <c:smooth val="0"/>
          <c:extLst xmlns:c16r2="http://schemas.microsoft.com/office/drawing/2015/06/chart">
            <c:ext xmlns:c16="http://schemas.microsoft.com/office/drawing/2014/chart" uri="{C3380CC4-5D6E-409C-BE32-E72D297353CC}">
              <c16:uniqueId val="{00000003-479B-4F59-9E63-829629A06A31}"/>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smooth val="0"/>
        <c:axId val="521321816"/>
        <c:axId val="571276880"/>
      </c:lineChart>
      <c:catAx>
        <c:axId val="52132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276880"/>
        <c:crosses val="autoZero"/>
        <c:auto val="1"/>
        <c:lblAlgn val="ctr"/>
        <c:lblOffset val="100"/>
        <c:noMultiLvlLbl val="0"/>
      </c:catAx>
      <c:valAx>
        <c:axId val="5712768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21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171449</xdr:rowOff>
    </xdr:from>
    <xdr:to>
      <xdr:col>13</xdr:col>
      <xdr:colOff>38100</xdr:colOff>
      <xdr:row>52</xdr:row>
      <xdr:rowOff>133349</xdr:rowOff>
    </xdr:to>
    <xdr:pic>
      <xdr:nvPicPr>
        <xdr:cNvPr id="3" name="Picture 2" descr="S5-I69_map.jp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76275" y="733424"/>
          <a:ext cx="7286625" cy="967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19</xdr:col>
      <xdr:colOff>114300</xdr:colOff>
      <xdr:row>13</xdr:row>
      <xdr:rowOff>57150</xdr:rowOff>
    </xdr:to>
    <xdr:pic>
      <xdr:nvPicPr>
        <xdr:cNvPr id="2" name="Picture 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00025"/>
          <a:ext cx="5934075" cy="2400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409575</xdr:colOff>
      <xdr:row>5</xdr:row>
      <xdr:rowOff>152400</xdr:rowOff>
    </xdr:from>
    <xdr:to>
      <xdr:col>10</xdr:col>
      <xdr:colOff>95250</xdr:colOff>
      <xdr:row>20</xdr:row>
      <xdr:rowOff>38100</xdr:rowOff>
    </xdr:to>
    <xdr:graphicFrame macro="">
      <xdr:nvGraphicFramePr>
        <xdr:cNvPr id="2" name="Chart 1">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219075</xdr:colOff>
      <xdr:row>10</xdr:row>
      <xdr:rowOff>0</xdr:rowOff>
    </xdr:from>
    <xdr:to>
      <xdr:col>15</xdr:col>
      <xdr:colOff>561975</xdr:colOff>
      <xdr:row>24</xdr:row>
      <xdr:rowOff>76200</xdr:rowOff>
    </xdr:to>
    <xdr:graphicFrame macro="">
      <xdr:nvGraphicFramePr>
        <xdr:cNvPr id="3" name="Chart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31</xdr:row>
      <xdr:rowOff>0</xdr:rowOff>
    </xdr:from>
    <xdr:to>
      <xdr:col>8</xdr:col>
      <xdr:colOff>381000</xdr:colOff>
      <xdr:row>39</xdr:row>
      <xdr:rowOff>123825</xdr:rowOff>
    </xdr:to>
    <xdr:pic>
      <xdr:nvPicPr>
        <xdr:cNvPr id="4" name="Picture 3">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6219825"/>
          <a:ext cx="5934075" cy="16478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638175</xdr:colOff>
      <xdr:row>1</xdr:row>
      <xdr:rowOff>9525</xdr:rowOff>
    </xdr:from>
    <xdr:to>
      <xdr:col>14</xdr:col>
      <xdr:colOff>466725</xdr:colOff>
      <xdr:row>12</xdr:row>
      <xdr:rowOff>180975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76200</xdr:colOff>
      <xdr:row>1</xdr:row>
      <xdr:rowOff>9525</xdr:rowOff>
    </xdr:from>
    <xdr:to>
      <xdr:col>22</xdr:col>
      <xdr:colOff>381000</xdr:colOff>
      <xdr:row>12</xdr:row>
      <xdr:rowOff>180975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190500</xdr:colOff>
      <xdr:row>8</xdr:row>
      <xdr:rowOff>57150</xdr:rowOff>
    </xdr:from>
    <xdr:to>
      <xdr:col>25</xdr:col>
      <xdr:colOff>247650</xdr:colOff>
      <xdr:row>26</xdr:row>
      <xdr:rowOff>152400</xdr:rowOff>
    </xdr:to>
    <xdr:graphicFrame macro="">
      <xdr:nvGraphicFramePr>
        <xdr:cNvPr id="2" name="Chart 1">
          <a:extLst>
            <a:ext uri="{FF2B5EF4-FFF2-40B4-BE49-F238E27FC236}">
              <a16:creationId xmlns:a16="http://schemas.microsoft.com/office/drawing/2014/main" xmlns="" id="{40F27306-0090-42B8-9ED7-BCB2EC15E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ip.indot.in.gov/discoverer/export/FxCorr_Bud(Pre8bb61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able%20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Corr_Bud(Pre8bb615)"/>
      <sheetName val="Macro1"/>
    </sheetNames>
    <sheetDataSet>
      <sheetData sheetId="0" refreshError="1"/>
      <sheetData sheetId="1">
        <row r="211">
          <cell r="A211" t="str">
            <v>Recover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sheetNames>
    <sheetDataSet>
      <sheetData sheetId="0" refreshError="1"/>
    </sheetDataSet>
  </externalBook>
</externalLink>
</file>

<file path=xl/tables/table1.xml><?xml version="1.0" encoding="utf-8"?>
<table xmlns="http://schemas.openxmlformats.org/spreadsheetml/2006/main" id="1" name="Table2" displayName="Table2" ref="B3:C9" totalsRowShown="0">
  <tableColumns count="2">
    <tableColumn id="1" name="Activity"/>
    <tableColumn id="2" name="Initial Total Cost" dataDxfId="121" dataCellStyle="Currency"/>
  </tableColumns>
  <tableStyleInfo name="TableStyleMedium7" showFirstColumn="0" showLastColumn="0" showRowStripes="1" showColumnStripes="0"/>
</table>
</file>

<file path=xl/tables/table10.xml><?xml version="1.0" encoding="utf-8"?>
<table xmlns="http://schemas.openxmlformats.org/spreadsheetml/2006/main" id="21" name="Table115445022" displayName="Table115445022" ref="B13:G16" totalsRowShown="0" headerRowDxfId="7" dataDxfId="6" dataCellStyle="Currency">
  <tableColumns count="6">
    <tableColumn id="1" name="INDOT AC Auth" dataDxfId="5"/>
    <tableColumn id="6" name="State Fiscal Year" dataDxfId="4"/>
    <tableColumn id="2" name="Total Federal Funding Amounts" dataDxfId="3" dataCellStyle="Currency">
      <calculatedColumnFormula>292.7+39.8</calculatedColumnFormula>
    </tableColumn>
    <tableColumn id="3" name="Amount AC'd to Date" dataDxfId="2" dataCellStyle="Currency">
      <calculatedColumnFormula>291908580.22/1000000</calculatedColumnFormula>
    </tableColumn>
    <tableColumn id="4" name="Amount Converted to Date" dataDxfId="1" dataCellStyle="Currency">
      <calculatedColumnFormula>58927031.31/1000000</calculatedColumnFormula>
    </tableColumn>
    <tableColumn id="5" name="Amount Remaining in AC" dataDxfId="0" dataCellStyle="Currency">
      <calculatedColumnFormula>E14-F14</calculatedColumnFormula>
    </tableColumn>
  </tableColumns>
  <tableStyleInfo name="TableStyleMedium20" showFirstColumn="0" showLastColumn="0" showRowStripes="1" showColumnStripes="0"/>
</table>
</file>

<file path=xl/tables/table11.xml><?xml version="1.0" encoding="utf-8"?>
<table xmlns="http://schemas.openxmlformats.org/spreadsheetml/2006/main" id="16" name="Table51" displayName="Table51" ref="B3:F13" totalsRowShown="0" headerRowDxfId="69">
  <tableColumns count="5">
    <tableColumn id="1" name="MATURITY"/>
    <tableColumn id="2" name="PRINCIPAL" dataDxfId="68" dataCellStyle="Currency"/>
    <tableColumn id="3" name="COUPON" dataDxfId="67" dataCellStyle="Percent"/>
    <tableColumn id="4" name="YIELDS" dataDxfId="66" dataCellStyle="Percent"/>
    <tableColumn id="5" name="Finance Cost"/>
  </tableColumns>
  <tableStyleInfo name="TableStyleMedium7" showFirstColumn="0" showLastColumn="0" showRowStripes="1" showColumnStripes="0"/>
</table>
</file>

<file path=xl/tables/table12.xml><?xml version="1.0" encoding="utf-8"?>
<table xmlns="http://schemas.openxmlformats.org/spreadsheetml/2006/main" id="17" name="Table52" displayName="Table52" ref="B3:C12" totalsRowCount="1" headerRowDxfId="65">
  <tableColumns count="2">
    <tableColumn id="1" name="Year _x000a_(end June)" dataDxfId="64" totalsRowDxfId="63"/>
    <tableColumn id="2" name="Availability Payments" totalsRowFunction="sum" dataDxfId="62" totalsRowDxfId="61" dataCellStyle="Currency"/>
  </tableColumns>
  <tableStyleInfo name="TableStyleMedium2" showFirstColumn="0" showLastColumn="0" showRowStripes="1" showColumnStripes="0"/>
</table>
</file>

<file path=xl/tables/table13.xml><?xml version="1.0" encoding="utf-8"?>
<table xmlns="http://schemas.openxmlformats.org/spreadsheetml/2006/main" id="4" name="Table4" displayName="Table4" ref="B3:D10" totalsRowShown="0">
  <tableColumns count="3">
    <tableColumn id="1" name="Source of Funds"/>
    <tableColumn id="2" name="IFP" dataDxfId="60" dataCellStyle="Currency"/>
    <tableColumn id="3" name="% of Total" dataDxfId="59" dataCellStyle="Percent"/>
  </tableColumns>
  <tableStyleInfo name="TableStyleMedium5" showFirstColumn="0" showLastColumn="0" showRowStripes="1" showColumnStripes="0"/>
</table>
</file>

<file path=xl/tables/table14.xml><?xml version="1.0" encoding="utf-8"?>
<table xmlns="http://schemas.openxmlformats.org/spreadsheetml/2006/main" id="18" name="Table53" displayName="Table53" ref="B3:D42" totalsRowShown="0" headerRowDxfId="58">
  <tableColumns count="3">
    <tableColumn id="1" name="Fiscal Year End"/>
    <tableColumn id="2" name="O&amp;M Costs" dataDxfId="57" dataCellStyle="Currency"/>
    <tableColumn id="3" name="Lifecycle Costs" dataDxfId="56" dataCellStyle="Currency"/>
  </tableColumns>
  <tableStyleInfo name="TableStyleMedium16" showFirstColumn="0" showLastColumn="0" showRowStripes="1" showColumnStripes="0"/>
</table>
</file>

<file path=xl/tables/table15.xml><?xml version="1.0" encoding="utf-8"?>
<table xmlns="http://schemas.openxmlformats.org/spreadsheetml/2006/main" id="3" name="Table5" displayName="Table5" ref="B3:E14" totalsRowShown="0" headerRowDxfId="55" dataDxfId="54" headerRowCellStyle="Currency" dataCellStyle="Currency">
  <tableColumns count="4">
    <tableColumn id="1" name="Revenue"/>
    <tableColumn id="2" name="Thru 2017" dataDxfId="53" dataCellStyle="Currency"/>
    <tableColumn id="3" name="2018" dataDxfId="52" dataCellStyle="Currency"/>
    <tableColumn id="4" name="Total" dataDxfId="51" dataCellStyle="Currency"/>
  </tableColumns>
  <tableStyleInfo name="TableStyleMedium4" showFirstColumn="0" showLastColumn="0" showRowStripes="1" showColumnStripes="0"/>
</table>
</file>

<file path=xl/tables/table16.xml><?xml version="1.0" encoding="utf-8"?>
<table xmlns="http://schemas.openxmlformats.org/spreadsheetml/2006/main" id="5" name="Table6" displayName="Table6" ref="B3:D9" totalsRowShown="0" headerRowDxfId="50" dataDxfId="49">
  <tableColumns count="3">
    <tableColumn id="1" name="Agency" dataDxfId="48"/>
    <tableColumn id="2" name="Permit/Notification" dataDxfId="47"/>
    <tableColumn id="3" name="Responsibility" dataDxfId="46"/>
  </tableColumns>
  <tableStyleInfo name="TableStyleMedium16" showFirstColumn="0" showLastColumn="0" showRowStripes="1" showColumnStripes="0"/>
</table>
</file>

<file path=xl/tables/table17.xml><?xml version="1.0" encoding="utf-8"?>
<table xmlns="http://schemas.openxmlformats.org/spreadsheetml/2006/main" id="6" name="Table7" displayName="Table7" ref="B3:E11" totalsRowShown="0" headerRowDxfId="45" dataDxfId="44">
  <tableColumns count="4">
    <tableColumn id="1" name="Risk" dataDxfId="43"/>
    <tableColumn id="2" name="Response Strategy" dataDxfId="42"/>
    <tableColumn id="3" name="Likelihood of Occurrence" dataDxfId="41"/>
    <tableColumn id="4" name="Impact of Occurrence" dataDxfId="40"/>
  </tableColumns>
  <tableStyleInfo name="TableStyleMedium3" showFirstColumn="0" showLastColumn="0" showRowStripes="1" showColumnStripes="0"/>
</table>
</file>

<file path=xl/tables/table18.xml><?xml version="1.0" encoding="utf-8"?>
<table xmlns="http://schemas.openxmlformats.org/spreadsheetml/2006/main" id="8" name="Table8" displayName="Table8" ref="B3:E19" totalsRowShown="0" headerRowDxfId="39" dataDxfId="38">
  <tableColumns count="4">
    <tableColumn id="1" name="Risk" dataDxfId="37"/>
    <tableColumn id="2" name="Response Strategy" dataDxfId="36"/>
    <tableColumn id="3" name="Likelihood of Occurrence" dataDxfId="35"/>
    <tableColumn id="4" name="Impact of Occurrence" dataDxfId="34"/>
  </tableColumns>
  <tableStyleInfo name="TableStyleMedium2" showFirstColumn="0" showLastColumn="0" showRowStripes="1" showColumnStripes="0"/>
</table>
</file>

<file path=xl/tables/table19.xml><?xml version="1.0" encoding="utf-8"?>
<table xmlns="http://schemas.openxmlformats.org/spreadsheetml/2006/main" id="9" name="Table9" displayName="Table9" ref="B3:E7" totalsRowShown="0" headerRowDxfId="33" dataDxfId="32">
  <tableColumns count="4">
    <tableColumn id="1" name="Risk" dataDxfId="31"/>
    <tableColumn id="2" name="Response Strategy" dataDxfId="30"/>
    <tableColumn id="3" name="Likelihood of Occurrence" dataDxfId="29"/>
    <tableColumn id="4" name="Impact of Occurrence" dataDxfId="28"/>
  </tableColumns>
  <tableStyleInfo name="TableStyleMedium7" showFirstColumn="0" showLastColumn="0" showRowStripes="1" showColumnStripes="0"/>
</table>
</file>

<file path=xl/tables/table2.xml><?xml version="1.0" encoding="utf-8"?>
<table xmlns="http://schemas.openxmlformats.org/spreadsheetml/2006/main" id="20" name="Table20" displayName="Table20" ref="A18:G49" totalsRowShown="0" dataDxfId="8" dataCellStyle="Currency">
  <tableColumns count="7">
    <tableColumn id="1" name="Activity" dataDxfId="14"/>
    <tableColumn id="2" name="Phase/Subproject"/>
    <tableColumn id="3" name="IFP" dataDxfId="13" dataCellStyle="Currency"/>
    <tableColumn id="4" name="FY18 FPAU" dataDxfId="12" dataCellStyle="Currency"/>
    <tableColumn id="5" name="FY19 FPAU" dataDxfId="11" dataCellStyle="Currency"/>
    <tableColumn id="6" name="Change from FY18 FPAU" dataDxfId="10" dataCellStyle="Percent">
      <calculatedColumnFormula>((E19-D19)/D19)</calculatedColumnFormula>
    </tableColumn>
    <tableColumn id="7" name="Change from IFP" dataDxfId="9" dataCellStyle="Percent">
      <calculatedColumnFormula>((E19-C19)/C19)</calculatedColumnFormula>
    </tableColumn>
  </tableColumns>
  <tableStyleInfo name="TableStyleLight10" showFirstColumn="0" showLastColumn="0" showRowStripes="1" showColumnStripes="0"/>
</table>
</file>

<file path=xl/tables/table20.xml><?xml version="1.0" encoding="utf-8"?>
<table xmlns="http://schemas.openxmlformats.org/spreadsheetml/2006/main" id="10" name="Table10" displayName="Table10" ref="B3:E5" totalsRowShown="0" headerRowDxfId="27" dataDxfId="26">
  <tableColumns count="4">
    <tableColumn id="1" name="Risk" dataDxfId="25"/>
    <tableColumn id="2" name="Response Strategy" dataDxfId="24"/>
    <tableColumn id="3" name="Likelihood of Occurrence" dataDxfId="23"/>
    <tableColumn id="4" name="Impact of Occurrence" dataDxfId="22"/>
  </tableColumns>
  <tableStyleInfo name="TableStyleMedium5" showFirstColumn="0" showLastColumn="0" showRowStripes="1" showColumnStripes="0"/>
</table>
</file>

<file path=xl/tables/table21.xml><?xml version="1.0" encoding="utf-8"?>
<table xmlns="http://schemas.openxmlformats.org/spreadsheetml/2006/main" id="19" name="Table19" displayName="Table19" ref="B3:F16" totalsRowShown="0" headerRowDxfId="21" dataDxfId="20">
  <tableColumns count="5">
    <tableColumn id="1" name="Item" dataDxfId="19"/>
    <tableColumn id="2" name="Description" dataDxfId="18"/>
    <tableColumn id="3" name="Status" dataDxfId="17"/>
    <tableColumn id="4" name="Schedule Impact" dataDxfId="16"/>
    <tableColumn id="5" name="Amount" dataDxfId="15" dataCellStyle="Currency"/>
  </tableColumns>
  <tableStyleInfo name="TableStyleMedium5" showFirstColumn="0" showLastColumn="0" showRowStripes="1" showColumnStripes="0"/>
</table>
</file>

<file path=xl/tables/table3.xml><?xml version="1.0" encoding="utf-8"?>
<table xmlns="http://schemas.openxmlformats.org/spreadsheetml/2006/main" id="2" name="Table3" displayName="Table3" ref="B4:E10" totalsRowShown="0" dataDxfId="120" dataCellStyle="Currency">
  <tableColumns count="4">
    <tableColumn id="1" name="Component / Fiscal Year"/>
    <tableColumn id="2" name="2017 &amp; Prior" dataDxfId="119" dataCellStyle="Currency"/>
    <tableColumn id="3" name="2018" dataDxfId="118" dataCellStyle="Currency"/>
    <tableColumn id="4" name="Total" dataDxfId="117" dataCellStyle="Currency"/>
  </tableColumns>
  <tableStyleInfo name="TableStyleMedium19" showFirstColumn="0" showLastColumn="0" showRowStripes="1" showColumnStripes="0"/>
</table>
</file>

<file path=xl/tables/table4.xml><?xml version="1.0" encoding="utf-8"?>
<table xmlns="http://schemas.openxmlformats.org/spreadsheetml/2006/main" id="7" name="Table172938" displayName="Table172938" ref="B4:H10" totalsRowShown="0" dataDxfId="116" dataCellStyle="Currency">
  <tableColumns count="7">
    <tableColumn id="1" name="State FY"/>
    <tableColumn id="2" name="IFP" dataDxfId="115" dataCellStyle="Currency"/>
    <tableColumn id="3" name="2014 FPAU" dataDxfId="114" dataCellStyle="Currency"/>
    <tableColumn id="4" name="2015 FPAU" dataDxfId="113" dataCellStyle="Currency"/>
    <tableColumn id="7" name="2016 FPAU" dataDxfId="112" dataCellStyle="Currency"/>
    <tableColumn id="5" name="Change from 2015" dataDxfId="111" dataCellStyle="Currency"/>
    <tableColumn id="6" name="Change from IFP" dataDxfId="110" dataCellStyle="Currency"/>
  </tableColumns>
  <tableStyleInfo name="TableStyleMedium18" showFirstColumn="0" showLastColumn="0" showRowStripes="1" showColumnStripes="0"/>
</table>
</file>

<file path=xl/tables/table5.xml><?xml version="1.0" encoding="utf-8"?>
<table xmlns="http://schemas.openxmlformats.org/spreadsheetml/2006/main" id="11" name="Table71283040" displayName="Table71283040" ref="B3:H16" totalsRowShown="0" headerRowDxfId="109" headerRowBorderDxfId="108" tableBorderDxfId="107">
  <tableColumns count="7">
    <tableColumn id="1" name="FUND TYPE / FISCAL YEAR"/>
    <tableColumn id="2" name="2013 &amp; Prior"/>
    <tableColumn id="3" name="2014"/>
    <tableColumn id="4" name="2015"/>
    <tableColumn id="5" name="2016"/>
    <tableColumn id="6" name="2017"/>
    <tableColumn id="7" name="Total"/>
  </tableColumns>
  <tableStyleInfo name="TableStyleMedium4" showFirstColumn="0" showLastColumn="0" showRowStripes="1" showColumnStripes="0"/>
</table>
</file>

<file path=xl/tables/table6.xml><?xml version="1.0" encoding="utf-8"?>
<table xmlns="http://schemas.openxmlformats.org/spreadsheetml/2006/main" id="12" name="Table7128203141" displayName="Table7128203141" ref="J3:Q36" totalsRowShown="0" headerRowDxfId="106" dataDxfId="104" headerRowBorderDxfId="105" tableBorderDxfId="103">
  <tableColumns count="8">
    <tableColumn id="1" name="FUND TYPE / FISCAL YEAR" dataDxfId="102"/>
    <tableColumn id="8" name="Financial Plan" dataDxfId="101"/>
    <tableColumn id="2" name="2013 &amp; Prior" dataDxfId="100"/>
    <tableColumn id="3" name="2014" dataDxfId="99"/>
    <tableColumn id="4" name="2015" dataDxfId="98"/>
    <tableColumn id="5" name="2016" dataDxfId="97"/>
    <tableColumn id="6" name="2017" dataDxfId="96"/>
    <tableColumn id="7" name="Total" dataDxfId="95"/>
  </tableColumns>
  <tableStyleInfo name="TableStyleMedium4" showFirstColumn="0" showLastColumn="0" showRowStripes="1" showColumnStripes="0"/>
</table>
</file>

<file path=xl/tables/table7.xml><?xml version="1.0" encoding="utf-8"?>
<table xmlns="http://schemas.openxmlformats.org/spreadsheetml/2006/main" id="13" name="Table9143242" displayName="Table9143242" ref="B3:H9" totalsRowShown="0" tableBorderDxfId="94">
  <tableColumns count="7">
    <tableColumn id="1" name="Activity / Funding Source" dataDxfId="93" dataCellStyle="Normal 2 2"/>
    <tableColumn id="2" name="INDOT" dataDxfId="92" dataCellStyle="Currency"/>
    <tableColumn id="3" name="Developer" dataDxfId="91" dataCellStyle="Currency"/>
    <tableColumn id="4" name="2016 FPAU Total" dataDxfId="90" dataCellStyle="Currency"/>
    <tableColumn id="5" name="2015 FPAU Total" dataDxfId="89" dataCellStyle="Currency"/>
    <tableColumn id="6" name="Difference $" dataDxfId="88" dataCellStyle="Currency">
      <calculatedColumnFormula>E4-F4</calculatedColumnFormula>
    </tableColumn>
    <tableColumn id="7" name="% Change" dataDxfId="87" dataCellStyle="Percent">
      <calculatedColumnFormula>G4/F4</calculatedColumnFormula>
    </tableColumn>
  </tableColumns>
  <tableStyleInfo name="TableStyleMedium19" showFirstColumn="0" showLastColumn="0" showRowStripes="1" showColumnStripes="0"/>
</table>
</file>

<file path=xl/tables/table8.xml><?xml version="1.0" encoding="utf-8"?>
<table xmlns="http://schemas.openxmlformats.org/spreadsheetml/2006/main" id="14" name="Table1013213343" displayName="Table1013213343" ref="B3:H18" totalsRowShown="0" headerRowDxfId="86" dataDxfId="85" headerRowCellStyle="Normal 2 2" dataCellStyle="Currency">
  <tableColumns count="7">
    <tableColumn id="1" name="FUND TYPE - PHASE / FISCAL YEAR" dataDxfId="84" dataCellStyle="Normal 2 2"/>
    <tableColumn id="2" name="2013 &amp; Prior" dataDxfId="83" dataCellStyle="Currency"/>
    <tableColumn id="3" name="2014" dataDxfId="82" dataCellStyle="Currency"/>
    <tableColumn id="4" name="2015" dataDxfId="81" dataCellStyle="Currency"/>
    <tableColumn id="5" name="2016" dataDxfId="80" dataCellStyle="Currency"/>
    <tableColumn id="6" name="2017" dataDxfId="79" dataCellStyle="Currency"/>
    <tableColumn id="7" name="Total" dataDxfId="78" dataCellStyle="Currency"/>
  </tableColumns>
  <tableStyleInfo name="TableStyleMedium6" showFirstColumn="0" showLastColumn="0" showRowStripes="1" showColumnStripes="0"/>
</table>
</file>

<file path=xl/tables/table9.xml><?xml version="1.0" encoding="utf-8"?>
<table xmlns="http://schemas.openxmlformats.org/spreadsheetml/2006/main" id="15" name="Table1154450" displayName="Table1154450" ref="B3:G4" totalsRowShown="0" headerRowDxfId="77" dataDxfId="76" dataCellStyle="Currency">
  <tableColumns count="6">
    <tableColumn id="1" name="INDOT AC Auth" dataDxfId="75"/>
    <tableColumn id="6" name="State Fiscal Year" dataDxfId="74"/>
    <tableColumn id="2" name="Total Federal Funding Amounts" dataDxfId="73" dataCellStyle="Currency">
      <calculatedColumnFormula>292.7+39.8</calculatedColumnFormula>
    </tableColumn>
    <tableColumn id="3" name="Amount AC'd to Date" dataDxfId="72" dataCellStyle="Currency">
      <calculatedColumnFormula>291908580.22/1000000</calculatedColumnFormula>
    </tableColumn>
    <tableColumn id="4" name="Amount Converted to Date" dataDxfId="71" dataCellStyle="Currency">
      <calculatedColumnFormula>58927031.31/1000000</calculatedColumnFormula>
    </tableColumn>
    <tableColumn id="5" name="Amount Remaining in AC" dataDxfId="70" dataCellStyle="Currency">
      <calculatedColumnFormula>E4-F4</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
  <sheetViews>
    <sheetView topLeftCell="A4" workbookViewId="0">
      <selection activeCell="O23" sqref="O23"/>
    </sheetView>
  </sheetViews>
  <sheetFormatPr defaultRowHeight="15" x14ac:dyDescent="0.25"/>
  <sheetData>
    <row r="1" spans="2:8" ht="44.25" customHeight="1" x14ac:dyDescent="0.25">
      <c r="B1" s="371" t="s">
        <v>339</v>
      </c>
      <c r="C1" s="371"/>
      <c r="D1" s="371"/>
      <c r="E1" s="371"/>
      <c r="F1" s="371"/>
      <c r="G1" s="371"/>
      <c r="H1" s="371"/>
    </row>
    <row r="2" spans="2:8" x14ac:dyDescent="0.25">
      <c r="B2" s="307" t="s">
        <v>416</v>
      </c>
      <c r="C2" s="275"/>
      <c r="D2" s="275"/>
      <c r="E2" s="275"/>
      <c r="F2" s="275"/>
      <c r="G2" s="275"/>
      <c r="H2" s="275"/>
    </row>
  </sheetData>
  <mergeCells count="1">
    <mergeCell ref="B1:H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workbookViewId="0">
      <selection activeCell="B2" sqref="B2"/>
    </sheetView>
  </sheetViews>
  <sheetFormatPr defaultRowHeight="15" x14ac:dyDescent="0.25"/>
  <cols>
    <col min="2" max="2" width="22" bestFit="1" customWidth="1"/>
    <col min="7" max="7" width="10.7109375" customWidth="1"/>
  </cols>
  <sheetData>
    <row r="1" spans="2:8" ht="58.5" customHeight="1" x14ac:dyDescent="0.25">
      <c r="B1" s="371" t="s">
        <v>437</v>
      </c>
      <c r="C1" s="371"/>
      <c r="D1" s="371"/>
      <c r="E1" s="371"/>
    </row>
    <row r="2" spans="2:8" x14ac:dyDescent="0.25">
      <c r="B2" s="25" t="s">
        <v>379</v>
      </c>
    </row>
    <row r="3" spans="2:8" ht="45" x14ac:dyDescent="0.25">
      <c r="B3" s="367" t="s">
        <v>415</v>
      </c>
      <c r="C3" s="165" t="s">
        <v>199</v>
      </c>
      <c r="D3" s="166" t="s">
        <v>237</v>
      </c>
      <c r="E3" s="167" t="s">
        <v>377</v>
      </c>
      <c r="F3" s="167" t="s">
        <v>378</v>
      </c>
      <c r="G3" s="167" t="s">
        <v>238</v>
      </c>
      <c r="H3" s="167" t="s">
        <v>239</v>
      </c>
    </row>
    <row r="4" spans="2:8" x14ac:dyDescent="0.25">
      <c r="B4" s="164" t="s">
        <v>240</v>
      </c>
      <c r="C4" s="168">
        <v>62.461554669999998</v>
      </c>
      <c r="D4" s="168">
        <v>27</v>
      </c>
      <c r="E4" s="169">
        <f>C4+D4</f>
        <v>89.461554669999998</v>
      </c>
      <c r="F4" s="169">
        <v>80.793197699999993</v>
      </c>
      <c r="G4" s="170">
        <f t="shared" ref="G4:G9" si="0">E4-F4</f>
        <v>8.6683569700000049</v>
      </c>
      <c r="H4" s="171">
        <f t="shared" ref="H4:H9" si="1">G4/F4</f>
        <v>0.10729067813588972</v>
      </c>
    </row>
    <row r="5" spans="2:8" x14ac:dyDescent="0.25">
      <c r="B5" s="172" t="s">
        <v>153</v>
      </c>
      <c r="C5" s="168">
        <v>57.003837870000034</v>
      </c>
      <c r="D5" s="168">
        <v>0</v>
      </c>
      <c r="E5" s="169">
        <f t="shared" ref="E5:E8" si="2">C5+D5</f>
        <v>57.003837870000034</v>
      </c>
      <c r="F5" s="169">
        <v>64.214511990000034</v>
      </c>
      <c r="G5" s="170">
        <f t="shared" si="0"/>
        <v>-7.2106741200000002</v>
      </c>
      <c r="H5" s="171">
        <f t="shared" si="1"/>
        <v>-0.11229041374826458</v>
      </c>
    </row>
    <row r="6" spans="2:8" x14ac:dyDescent="0.25">
      <c r="B6" s="172" t="s">
        <v>0</v>
      </c>
      <c r="C6" s="168">
        <f>73.74449555-60+6.63370171</f>
        <v>20.378197259999997</v>
      </c>
      <c r="D6" s="168">
        <v>191.9</v>
      </c>
      <c r="E6" s="169">
        <f t="shared" si="2"/>
        <v>212.27819726000001</v>
      </c>
      <c r="F6" s="169">
        <v>208.26981791000003</v>
      </c>
      <c r="G6" s="170">
        <f t="shared" si="0"/>
        <v>4.0083793499999842</v>
      </c>
      <c r="H6" s="171">
        <f t="shared" si="1"/>
        <v>1.9246088512604988E-2</v>
      </c>
    </row>
    <row r="7" spans="2:8" x14ac:dyDescent="0.25">
      <c r="B7" s="164" t="s">
        <v>241</v>
      </c>
      <c r="C7" s="168">
        <v>60</v>
      </c>
      <c r="D7" s="168">
        <v>0</v>
      </c>
      <c r="E7" s="169">
        <f t="shared" si="2"/>
        <v>60</v>
      </c>
      <c r="F7" s="169">
        <v>60</v>
      </c>
      <c r="G7" s="170">
        <f t="shared" si="0"/>
        <v>0</v>
      </c>
      <c r="H7" s="171">
        <f t="shared" si="1"/>
        <v>0</v>
      </c>
    </row>
    <row r="8" spans="2:8" x14ac:dyDescent="0.25">
      <c r="B8" s="164" t="s">
        <v>242</v>
      </c>
      <c r="C8" s="168">
        <v>44.167704709999995</v>
      </c>
      <c r="D8" s="168">
        <v>14</v>
      </c>
      <c r="E8" s="169">
        <f t="shared" si="2"/>
        <v>58.167704709999995</v>
      </c>
      <c r="F8" s="169">
        <v>58.991388659999998</v>
      </c>
      <c r="G8" s="170">
        <f t="shared" si="0"/>
        <v>-0.82368395000000305</v>
      </c>
      <c r="H8" s="171">
        <f t="shared" si="1"/>
        <v>-1.3962782852042173E-2</v>
      </c>
    </row>
    <row r="9" spans="2:8" x14ac:dyDescent="0.25">
      <c r="B9" s="173" t="s">
        <v>243</v>
      </c>
      <c r="C9" s="170">
        <f>SUM(C4:C8)</f>
        <v>244.01129451000003</v>
      </c>
      <c r="D9" s="170">
        <f t="shared" ref="D9:F9" si="3">SUM(D4:D8)</f>
        <v>232.9</v>
      </c>
      <c r="E9" s="170">
        <f t="shared" si="3"/>
        <v>476.91129451000006</v>
      </c>
      <c r="F9" s="170">
        <f t="shared" si="3"/>
        <v>472.26891626000003</v>
      </c>
      <c r="G9" s="170">
        <f t="shared" si="0"/>
        <v>4.6423782500000357</v>
      </c>
      <c r="H9" s="171">
        <f t="shared" si="1"/>
        <v>9.8299466472704482E-3</v>
      </c>
    </row>
  </sheetData>
  <mergeCells count="1">
    <mergeCell ref="B1:E1"/>
  </mergeCell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workbookViewId="0">
      <selection activeCell="B2" sqref="B2"/>
    </sheetView>
  </sheetViews>
  <sheetFormatPr defaultRowHeight="15" x14ac:dyDescent="0.25"/>
  <cols>
    <col min="2" max="2" width="35" customWidth="1"/>
  </cols>
  <sheetData>
    <row r="1" spans="2:8" ht="42.75" customHeight="1" x14ac:dyDescent="0.25">
      <c r="B1" s="371" t="s">
        <v>438</v>
      </c>
      <c r="C1" s="371"/>
      <c r="D1" s="371"/>
      <c r="E1" s="371"/>
      <c r="F1" s="371"/>
      <c r="G1" s="371"/>
      <c r="H1" s="371"/>
    </row>
    <row r="2" spans="2:8" ht="29.25" customHeight="1" x14ac:dyDescent="0.25">
      <c r="B2" s="326" t="s">
        <v>380</v>
      </c>
      <c r="C2" s="275"/>
      <c r="D2" s="275"/>
      <c r="E2" s="275"/>
      <c r="F2" s="275"/>
      <c r="G2" s="275"/>
      <c r="H2" s="275"/>
    </row>
    <row r="3" spans="2:8" ht="29.25" x14ac:dyDescent="0.25">
      <c r="B3" s="187" t="s">
        <v>244</v>
      </c>
      <c r="C3" s="175" t="s">
        <v>218</v>
      </c>
      <c r="D3" s="176" t="s">
        <v>213</v>
      </c>
      <c r="E3" s="176" t="s">
        <v>214</v>
      </c>
      <c r="F3" s="176" t="s">
        <v>215</v>
      </c>
      <c r="G3" s="176" t="s">
        <v>221</v>
      </c>
      <c r="H3" s="176" t="s">
        <v>164</v>
      </c>
    </row>
    <row r="4" spans="2:8" x14ac:dyDescent="0.25">
      <c r="B4" s="174" t="s">
        <v>245</v>
      </c>
      <c r="C4" s="177"/>
      <c r="D4" s="178"/>
      <c r="E4" s="178"/>
      <c r="F4" s="178"/>
      <c r="G4" s="178"/>
      <c r="H4" s="178"/>
    </row>
    <row r="5" spans="2:8" x14ac:dyDescent="0.25">
      <c r="B5" s="174" t="s">
        <v>246</v>
      </c>
      <c r="C5" s="179">
        <v>14.303000000000001</v>
      </c>
      <c r="D5" s="179">
        <v>23.5</v>
      </c>
      <c r="E5" s="180">
        <v>9.9177567000000035</v>
      </c>
      <c r="F5" s="180">
        <v>3.4845803079999991</v>
      </c>
      <c r="G5" s="180">
        <v>11.256217661999997</v>
      </c>
      <c r="H5" s="180">
        <f t="shared" ref="H5:H7" si="0">SUM(C5:G5)</f>
        <v>62.461554669999998</v>
      </c>
    </row>
    <row r="6" spans="2:8" x14ac:dyDescent="0.25">
      <c r="B6" s="174" t="s">
        <v>153</v>
      </c>
      <c r="C6" s="179">
        <v>0.71099999999999997</v>
      </c>
      <c r="D6" s="179">
        <v>27.7</v>
      </c>
      <c r="E6" s="181">
        <v>24.819061990000034</v>
      </c>
      <c r="F6" s="181">
        <v>1.3909792600000004</v>
      </c>
      <c r="G6" s="181">
        <v>2.3827966200000006</v>
      </c>
      <c r="H6" s="180">
        <f t="shared" si="0"/>
        <v>57.003837870000034</v>
      </c>
    </row>
    <row r="7" spans="2:8" x14ac:dyDescent="0.25">
      <c r="B7" s="174" t="s">
        <v>0</v>
      </c>
      <c r="C7" s="179">
        <v>0.06</v>
      </c>
      <c r="D7" s="179">
        <v>1.8</v>
      </c>
      <c r="E7" s="181">
        <v>14.253091320000006</v>
      </c>
      <c r="F7" s="181">
        <v>34.755572049999998</v>
      </c>
      <c r="G7" s="181">
        <v>22.875832180000003</v>
      </c>
      <c r="H7" s="180">
        <f t="shared" si="0"/>
        <v>73.744495550000011</v>
      </c>
    </row>
    <row r="8" spans="2:8" x14ac:dyDescent="0.25">
      <c r="B8" s="174" t="s">
        <v>247</v>
      </c>
      <c r="C8" s="179">
        <v>0</v>
      </c>
      <c r="D8" s="179">
        <v>0.71499999999999997</v>
      </c>
      <c r="E8" s="181">
        <v>18.506430659999996</v>
      </c>
      <c r="F8" s="180">
        <v>21.752581920000001</v>
      </c>
      <c r="G8" s="180">
        <v>3.1936921299999992</v>
      </c>
      <c r="H8" s="180">
        <f>SUM(C8:G8)</f>
        <v>44.167704709999995</v>
      </c>
    </row>
    <row r="9" spans="2:8" x14ac:dyDescent="0.25">
      <c r="B9" s="174" t="s">
        <v>248</v>
      </c>
      <c r="C9" s="182">
        <v>1.4E-2</v>
      </c>
      <c r="D9" s="182">
        <v>0</v>
      </c>
      <c r="E9" s="180">
        <v>1.5427710000000002E-2</v>
      </c>
      <c r="F9" s="180">
        <v>2.2677397099999999</v>
      </c>
      <c r="G9" s="180">
        <v>4.3365342900000003</v>
      </c>
      <c r="H9" s="180">
        <f>SUM(C9:G9)</f>
        <v>6.6337017100000004</v>
      </c>
    </row>
    <row r="10" spans="2:8" x14ac:dyDescent="0.25">
      <c r="B10" s="178" t="s">
        <v>249</v>
      </c>
      <c r="C10" s="183">
        <f>SUM(C5:C9)</f>
        <v>15.088000000000001</v>
      </c>
      <c r="D10" s="183">
        <f t="shared" ref="D10:H10" si="1">SUM(D5:D9)</f>
        <v>53.715000000000003</v>
      </c>
      <c r="E10" s="184">
        <f t="shared" si="1"/>
        <v>67.511768380000035</v>
      </c>
      <c r="F10" s="184">
        <f t="shared" si="1"/>
        <v>63.651453247999996</v>
      </c>
      <c r="G10" s="184">
        <f t="shared" si="1"/>
        <v>44.045072882000007</v>
      </c>
      <c r="H10" s="184">
        <f t="shared" si="1"/>
        <v>244.01129451000006</v>
      </c>
    </row>
    <row r="11" spans="2:8" x14ac:dyDescent="0.25">
      <c r="B11" s="174" t="s">
        <v>250</v>
      </c>
      <c r="C11" s="179"/>
      <c r="D11" s="179"/>
      <c r="E11" s="181"/>
      <c r="F11" s="181"/>
      <c r="G11" s="181"/>
      <c r="H11" s="181"/>
    </row>
    <row r="12" spans="2:8" x14ac:dyDescent="0.25">
      <c r="B12" s="174" t="s">
        <v>246</v>
      </c>
      <c r="C12" s="182">
        <v>0</v>
      </c>
      <c r="D12" s="182">
        <v>0</v>
      </c>
      <c r="E12" s="181">
        <v>11.3</v>
      </c>
      <c r="F12" s="180">
        <v>10.6</v>
      </c>
      <c r="G12" s="180">
        <v>5.0999999999999996</v>
      </c>
      <c r="H12" s="180">
        <f>SUM(C12:G12)</f>
        <v>27</v>
      </c>
    </row>
    <row r="13" spans="2:8" x14ac:dyDescent="0.25">
      <c r="B13" s="174" t="s">
        <v>153</v>
      </c>
      <c r="C13" s="182">
        <v>0</v>
      </c>
      <c r="D13" s="182">
        <v>0</v>
      </c>
      <c r="E13" s="181">
        <v>0</v>
      </c>
      <c r="F13" s="180">
        <v>0</v>
      </c>
      <c r="G13" s="180">
        <v>0</v>
      </c>
      <c r="H13" s="180">
        <f t="shared" ref="H13:H16" si="2">SUM(C13:G13)</f>
        <v>0</v>
      </c>
    </row>
    <row r="14" spans="2:8" x14ac:dyDescent="0.25">
      <c r="B14" s="174" t="s">
        <v>0</v>
      </c>
      <c r="C14" s="182">
        <v>0</v>
      </c>
      <c r="D14" s="182">
        <v>0</v>
      </c>
      <c r="E14" s="181">
        <v>25.3</v>
      </c>
      <c r="F14" s="180">
        <v>72</v>
      </c>
      <c r="G14" s="180">
        <v>57.2</v>
      </c>
      <c r="H14" s="180">
        <f t="shared" si="2"/>
        <v>154.5</v>
      </c>
    </row>
    <row r="15" spans="2:8" x14ac:dyDescent="0.25">
      <c r="B15" s="174" t="s">
        <v>247</v>
      </c>
      <c r="C15" s="182">
        <v>0</v>
      </c>
      <c r="D15" s="182">
        <v>0</v>
      </c>
      <c r="E15" s="181">
        <v>10</v>
      </c>
      <c r="F15" s="180">
        <v>4</v>
      </c>
      <c r="G15" s="180">
        <v>0</v>
      </c>
      <c r="H15" s="180">
        <f t="shared" si="2"/>
        <v>14</v>
      </c>
    </row>
    <row r="16" spans="2:8" x14ac:dyDescent="0.25">
      <c r="B16" s="174" t="s">
        <v>248</v>
      </c>
      <c r="C16" s="182">
        <v>0</v>
      </c>
      <c r="D16" s="182">
        <v>0</v>
      </c>
      <c r="E16" s="181">
        <v>9.8000000000000007</v>
      </c>
      <c r="F16" s="180">
        <v>17.8</v>
      </c>
      <c r="G16" s="180">
        <v>9.8000000000000007</v>
      </c>
      <c r="H16" s="180">
        <f t="shared" si="2"/>
        <v>37.400000000000006</v>
      </c>
    </row>
    <row r="17" spans="2:8" x14ac:dyDescent="0.25">
      <c r="B17" s="178" t="s">
        <v>251</v>
      </c>
      <c r="C17" s="183">
        <f>SUM(C12:C16)</f>
        <v>0</v>
      </c>
      <c r="D17" s="183">
        <f t="shared" ref="D17:H17" si="3">SUM(D12:D16)</f>
        <v>0</v>
      </c>
      <c r="E17" s="183">
        <f t="shared" si="3"/>
        <v>56.400000000000006</v>
      </c>
      <c r="F17" s="183">
        <f t="shared" si="3"/>
        <v>104.39999999999999</v>
      </c>
      <c r="G17" s="183">
        <f t="shared" si="3"/>
        <v>72.100000000000009</v>
      </c>
      <c r="H17" s="185">
        <f t="shared" si="3"/>
        <v>232.9</v>
      </c>
    </row>
    <row r="18" spans="2:8" x14ac:dyDescent="0.25">
      <c r="B18" s="186" t="s">
        <v>164</v>
      </c>
      <c r="C18" s="185">
        <f>C10+C17</f>
        <v>15.088000000000001</v>
      </c>
      <c r="D18" s="185">
        <f t="shared" ref="D18:H18" si="4">D10+D17</f>
        <v>53.715000000000003</v>
      </c>
      <c r="E18" s="185">
        <f t="shared" si="4"/>
        <v>123.91176838000004</v>
      </c>
      <c r="F18" s="185">
        <f t="shared" si="4"/>
        <v>168.05145324799997</v>
      </c>
      <c r="G18" s="185">
        <f t="shared" si="4"/>
        <v>116.14507288200002</v>
      </c>
      <c r="H18" s="185">
        <f t="shared" si="4"/>
        <v>476.91129451000006</v>
      </c>
    </row>
  </sheetData>
  <mergeCells count="1">
    <mergeCell ref="B1:H1"/>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
  <sheetViews>
    <sheetView workbookViewId="0">
      <selection activeCell="D7" sqref="D7"/>
    </sheetView>
  </sheetViews>
  <sheetFormatPr defaultRowHeight="15" x14ac:dyDescent="0.25"/>
  <cols>
    <col min="1" max="1" width="3.42578125" customWidth="1"/>
    <col min="2" max="2" width="14.140625" bestFit="1" customWidth="1"/>
    <col min="3" max="3" width="10.42578125" customWidth="1"/>
    <col min="4" max="4" width="13.140625" customWidth="1"/>
    <col min="5" max="6" width="11.5703125" bestFit="1" customWidth="1"/>
    <col min="7" max="7" width="10.28515625" customWidth="1"/>
    <col min="9" max="9" width="18" customWidth="1"/>
    <col min="10" max="10" width="10.42578125" customWidth="1"/>
    <col min="11" max="11" width="13.140625" customWidth="1"/>
    <col min="12" max="12" width="8.85546875" customWidth="1"/>
    <col min="13" max="14" width="10.28515625" customWidth="1"/>
  </cols>
  <sheetData>
    <row r="1" spans="2:7" ht="30" customHeight="1" x14ac:dyDescent="0.25">
      <c r="B1" s="385" t="s">
        <v>328</v>
      </c>
      <c r="C1" s="385"/>
      <c r="D1" s="385"/>
      <c r="E1" s="385"/>
      <c r="F1" s="385"/>
      <c r="G1" s="385"/>
    </row>
    <row r="2" spans="2:7" x14ac:dyDescent="0.25">
      <c r="B2" s="307" t="s">
        <v>381</v>
      </c>
      <c r="C2" s="275"/>
      <c r="D2" s="275"/>
      <c r="E2" s="275"/>
      <c r="F2" s="275"/>
      <c r="G2" s="275"/>
    </row>
    <row r="3" spans="2:7" ht="45" x14ac:dyDescent="0.25">
      <c r="B3" s="188" t="s">
        <v>439</v>
      </c>
      <c r="C3" s="188" t="s">
        <v>252</v>
      </c>
      <c r="D3" s="6" t="s">
        <v>30</v>
      </c>
      <c r="E3" s="6" t="s">
        <v>31</v>
      </c>
      <c r="F3" s="6" t="s">
        <v>32</v>
      </c>
      <c r="G3" s="6" t="s">
        <v>33</v>
      </c>
    </row>
    <row r="4" spans="2:7" x14ac:dyDescent="0.25">
      <c r="B4" s="9"/>
      <c r="C4" s="9">
        <v>2015</v>
      </c>
      <c r="D4" s="191">
        <v>349.93</v>
      </c>
      <c r="E4" s="191">
        <v>288.70999999999998</v>
      </c>
      <c r="F4" s="191">
        <v>56.17</v>
      </c>
      <c r="G4" s="191">
        <f>E4-F4</f>
        <v>232.53999999999996</v>
      </c>
    </row>
    <row r="10" spans="2:7" x14ac:dyDescent="0.25">
      <c r="B10" s="277" t="s">
        <v>364</v>
      </c>
    </row>
    <row r="11" spans="2:7" x14ac:dyDescent="0.25">
      <c r="B11" s="385" t="s">
        <v>328</v>
      </c>
      <c r="C11" s="385"/>
      <c r="D11" s="385"/>
      <c r="E11" s="385"/>
      <c r="F11" s="385"/>
      <c r="G11" s="385"/>
    </row>
    <row r="12" spans="2:7" x14ac:dyDescent="0.25">
      <c r="B12" s="307" t="s">
        <v>381</v>
      </c>
      <c r="C12" s="275"/>
      <c r="D12" s="275"/>
      <c r="E12" s="275"/>
      <c r="F12" s="275"/>
      <c r="G12" s="275"/>
    </row>
    <row r="13" spans="2:7" ht="45" x14ac:dyDescent="0.25">
      <c r="B13" s="188" t="s">
        <v>439</v>
      </c>
      <c r="C13" s="188" t="s">
        <v>252</v>
      </c>
      <c r="D13" s="6" t="s">
        <v>30</v>
      </c>
      <c r="E13" s="6" t="s">
        <v>31</v>
      </c>
      <c r="F13" s="6" t="s">
        <v>32</v>
      </c>
      <c r="G13" s="6" t="s">
        <v>33</v>
      </c>
    </row>
    <row r="14" spans="2:7" x14ac:dyDescent="0.25">
      <c r="B14" s="9"/>
      <c r="C14" s="189">
        <v>2016</v>
      </c>
      <c r="D14" s="190">
        <v>360.57</v>
      </c>
      <c r="E14" s="190">
        <v>298.45999999999998</v>
      </c>
      <c r="F14" s="190">
        <v>98.86</v>
      </c>
      <c r="G14" s="190">
        <f>E14-F14</f>
        <v>199.59999999999997</v>
      </c>
    </row>
    <row r="15" spans="2:7" x14ac:dyDescent="0.25">
      <c r="B15" s="9"/>
      <c r="C15" s="9">
        <v>2015</v>
      </c>
      <c r="D15" s="191">
        <v>349.93</v>
      </c>
      <c r="E15" s="191">
        <v>288.70999999999998</v>
      </c>
      <c r="F15" s="191">
        <v>56.17</v>
      </c>
      <c r="G15" s="191">
        <f>E15-F15</f>
        <v>232.53999999999996</v>
      </c>
    </row>
    <row r="16" spans="2:7" x14ac:dyDescent="0.25">
      <c r="B16" s="9"/>
      <c r="C16" s="192" t="s">
        <v>235</v>
      </c>
      <c r="D16" s="193">
        <f>D14-D15</f>
        <v>10.639999999999986</v>
      </c>
      <c r="E16" s="193">
        <f t="shared" ref="E16:F16" si="0">E14-E15</f>
        <v>9.75</v>
      </c>
      <c r="F16" s="193">
        <f t="shared" si="0"/>
        <v>42.69</v>
      </c>
      <c r="G16" s="193">
        <f>E16-F16</f>
        <v>-32.94</v>
      </c>
    </row>
  </sheetData>
  <mergeCells count="2">
    <mergeCell ref="B1:G1"/>
    <mergeCell ref="B11:G11"/>
  </mergeCells>
  <pageMargins left="0.7" right="0.7" top="0.75" bottom="0.75" header="0.3" footer="0.3"/>
  <pageSetup orientation="portrait" r:id="rId1"/>
  <ignoredErrors>
    <ignoredError sqref="D4:F4" calculatedColumn="1"/>
  </ignoredError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3"/>
  <sheetViews>
    <sheetView workbookViewId="0">
      <selection activeCell="E19" sqref="E19"/>
    </sheetView>
  </sheetViews>
  <sheetFormatPr defaultRowHeight="15" x14ac:dyDescent="0.25"/>
  <cols>
    <col min="2" max="2" width="10.42578125" bestFit="1" customWidth="1"/>
    <col min="3" max="3" width="13.7109375" bestFit="1" customWidth="1"/>
    <col min="4" max="4" width="9" bestFit="1" customWidth="1"/>
    <col min="5" max="5" width="8.5703125" bestFit="1" customWidth="1"/>
    <col min="6" max="6" width="14" customWidth="1"/>
    <col min="9" max="9" width="11.7109375" customWidth="1"/>
    <col min="10" max="10" width="13.42578125" customWidth="1"/>
    <col min="11" max="11" width="12.140625" customWidth="1"/>
    <col min="12" max="12" width="16.7109375" customWidth="1"/>
  </cols>
  <sheetData>
    <row r="1" spans="2:12" ht="92.25" customHeight="1" x14ac:dyDescent="0.25">
      <c r="B1" s="371" t="s">
        <v>384</v>
      </c>
      <c r="C1" s="371"/>
      <c r="D1" s="371"/>
      <c r="E1" s="371"/>
    </row>
    <row r="2" spans="2:12" x14ac:dyDescent="0.25">
      <c r="B2" s="307" t="s">
        <v>420</v>
      </c>
      <c r="C2" s="52"/>
      <c r="D2" s="52"/>
      <c r="E2" s="52"/>
    </row>
    <row r="3" spans="2:12" s="6" customFormat="1" x14ac:dyDescent="0.25">
      <c r="B3" s="6" t="s">
        <v>253</v>
      </c>
      <c r="C3" s="6" t="s">
        <v>254</v>
      </c>
      <c r="D3" s="6" t="s">
        <v>255</v>
      </c>
      <c r="E3" s="6" t="s">
        <v>256</v>
      </c>
      <c r="F3" s="6" t="s">
        <v>383</v>
      </c>
      <c r="I3"/>
      <c r="J3"/>
      <c r="K3"/>
      <c r="L3"/>
    </row>
    <row r="4" spans="2:12" x14ac:dyDescent="0.25">
      <c r="B4">
        <v>2017</v>
      </c>
      <c r="C4" s="34">
        <v>3530000</v>
      </c>
      <c r="D4" s="194">
        <v>0.04</v>
      </c>
      <c r="E4" s="194">
        <v>1.4999999999999999E-2</v>
      </c>
    </row>
    <row r="5" spans="2:12" x14ac:dyDescent="0.25">
      <c r="B5">
        <v>2025</v>
      </c>
      <c r="C5" s="34">
        <v>6175000</v>
      </c>
      <c r="D5" s="194">
        <v>5.2499999999999998E-2</v>
      </c>
      <c r="E5" s="194">
        <v>3.9800000000000002E-2</v>
      </c>
    </row>
    <row r="6" spans="2:12" x14ac:dyDescent="0.25">
      <c r="B6">
        <v>2026</v>
      </c>
      <c r="C6" s="34">
        <v>5405000</v>
      </c>
      <c r="D6" s="194">
        <v>5.2499999999999998E-2</v>
      </c>
      <c r="E6" s="194">
        <v>4.0800000000000003E-2</v>
      </c>
    </row>
    <row r="7" spans="2:12" x14ac:dyDescent="0.25">
      <c r="B7">
        <v>2027</v>
      </c>
      <c r="C7" s="34">
        <v>6150000</v>
      </c>
      <c r="D7" s="194">
        <v>5.2499999999999998E-2</v>
      </c>
      <c r="E7" s="194">
        <v>4.1700000000000001E-2</v>
      </c>
    </row>
    <row r="8" spans="2:12" x14ac:dyDescent="0.25">
      <c r="B8">
        <v>2028</v>
      </c>
      <c r="C8" s="34">
        <v>6980000</v>
      </c>
      <c r="D8" s="194">
        <v>5.2499999999999998E-2</v>
      </c>
      <c r="E8" s="194">
        <v>4.2500000000000003E-2</v>
      </c>
    </row>
    <row r="9" spans="2:12" x14ac:dyDescent="0.25">
      <c r="B9">
        <v>2029</v>
      </c>
      <c r="C9" s="34">
        <v>7800000</v>
      </c>
      <c r="D9" s="194">
        <v>5.2499999999999998E-2</v>
      </c>
      <c r="E9" s="194">
        <v>4.3299999999999998E-2</v>
      </c>
    </row>
    <row r="10" spans="2:12" x14ac:dyDescent="0.25">
      <c r="B10">
        <v>2034</v>
      </c>
      <c r="C10" s="34">
        <v>52745000</v>
      </c>
      <c r="D10" s="194">
        <v>5.2499999999999998E-2</v>
      </c>
      <c r="E10" s="194">
        <v>4.6699999999999998E-2</v>
      </c>
    </row>
    <row r="11" spans="2:12" x14ac:dyDescent="0.25">
      <c r="B11">
        <v>2040</v>
      </c>
      <c r="C11" s="34">
        <v>78245000</v>
      </c>
      <c r="D11" s="194">
        <v>5.2499999999999998E-2</v>
      </c>
      <c r="E11" s="194">
        <v>4.8599999999999997E-2</v>
      </c>
    </row>
    <row r="12" spans="2:12" ht="15.75" thickBot="1" x14ac:dyDescent="0.3">
      <c r="B12" s="196">
        <v>2046</v>
      </c>
      <c r="C12" s="197">
        <v>76815000</v>
      </c>
      <c r="D12" s="198">
        <v>0.05</v>
      </c>
      <c r="E12" s="198">
        <v>0.05</v>
      </c>
    </row>
    <row r="13" spans="2:12" x14ac:dyDescent="0.25">
      <c r="B13" s="25" t="s">
        <v>257</v>
      </c>
      <c r="C13" s="195">
        <v>243845000</v>
      </c>
    </row>
  </sheetData>
  <mergeCells count="1">
    <mergeCell ref="B1:E1"/>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workbookViewId="0">
      <selection activeCell="B3" sqref="B3"/>
    </sheetView>
  </sheetViews>
  <sheetFormatPr defaultRowHeight="15" x14ac:dyDescent="0.25"/>
  <cols>
    <col min="2" max="2" width="12.7109375" customWidth="1"/>
    <col min="3" max="3" width="15.28515625" customWidth="1"/>
    <col min="4" max="4" width="9.140625" customWidth="1"/>
    <col min="11" max="11" width="12.5703125" bestFit="1" customWidth="1"/>
  </cols>
  <sheetData>
    <row r="1" spans="2:7" ht="45.75" customHeight="1" x14ac:dyDescent="0.25">
      <c r="B1" s="371" t="s">
        <v>385</v>
      </c>
      <c r="C1" s="371"/>
      <c r="D1" s="371"/>
      <c r="E1" s="371"/>
      <c r="F1" s="371"/>
      <c r="G1" s="371"/>
    </row>
    <row r="2" spans="2:7" x14ac:dyDescent="0.25">
      <c r="B2" s="307" t="s">
        <v>421</v>
      </c>
      <c r="C2" s="275"/>
      <c r="D2" s="275"/>
      <c r="E2" s="275"/>
      <c r="F2" s="275"/>
      <c r="G2" s="275"/>
    </row>
    <row r="3" spans="2:7" ht="30" x14ac:dyDescent="0.25">
      <c r="B3" s="327" t="s">
        <v>382</v>
      </c>
      <c r="C3" s="327" t="s">
        <v>258</v>
      </c>
    </row>
    <row r="4" spans="2:7" x14ac:dyDescent="0.25">
      <c r="B4" s="199">
        <v>2018</v>
      </c>
      <c r="C4" s="34">
        <v>14151478.128989082</v>
      </c>
    </row>
    <row r="5" spans="2:7" x14ac:dyDescent="0.25">
      <c r="B5" s="199">
        <v>2023</v>
      </c>
      <c r="C5" s="34">
        <v>24165613.983114991</v>
      </c>
    </row>
    <row r="6" spans="2:7" x14ac:dyDescent="0.25">
      <c r="B6" s="199">
        <v>2028</v>
      </c>
      <c r="C6" s="34">
        <v>27341174.130040817</v>
      </c>
    </row>
    <row r="7" spans="2:7" x14ac:dyDescent="0.25">
      <c r="B7" s="199">
        <v>2033</v>
      </c>
      <c r="C7" s="34">
        <v>30976635.902404178</v>
      </c>
    </row>
    <row r="8" spans="2:7" x14ac:dyDescent="0.25">
      <c r="B8" s="199">
        <v>2038</v>
      </c>
      <c r="C8" s="34">
        <v>34950808.580390371</v>
      </c>
    </row>
    <row r="9" spans="2:7" x14ac:dyDescent="0.25">
      <c r="B9" s="199">
        <v>2043</v>
      </c>
      <c r="C9" s="34">
        <v>39598172.362443663</v>
      </c>
    </row>
    <row r="10" spans="2:7" x14ac:dyDescent="0.25">
      <c r="B10" s="199">
        <v>2048</v>
      </c>
      <c r="C10" s="34">
        <v>44801697.426327318</v>
      </c>
    </row>
    <row r="11" spans="2:7" x14ac:dyDescent="0.25">
      <c r="B11" s="199">
        <v>2053</v>
      </c>
      <c r="C11" s="34">
        <v>17081501.467422631</v>
      </c>
    </row>
    <row r="12" spans="2:7" x14ac:dyDescent="0.25">
      <c r="B12" s="199"/>
      <c r="C12" s="34">
        <f>SUBTOTAL(109,Table52[Availability Payments])</f>
        <v>233067081.98113304</v>
      </c>
    </row>
  </sheetData>
  <mergeCells count="1">
    <mergeCell ref="B1:G1"/>
  </mergeCell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B3" sqref="B3:D3"/>
    </sheetView>
  </sheetViews>
  <sheetFormatPr defaultRowHeight="15" x14ac:dyDescent="0.25"/>
  <cols>
    <col min="1" max="1" width="7" customWidth="1"/>
    <col min="2" max="2" width="38.85546875" bestFit="1" customWidth="1"/>
    <col min="3" max="3" width="8" style="5" bestFit="1" customWidth="1"/>
    <col min="4" max="4" width="11.85546875" style="42" customWidth="1"/>
    <col min="5" max="5" width="9.28515625" customWidth="1"/>
    <col min="6" max="6" width="33.42578125" customWidth="1"/>
    <col min="7" max="7" width="9.7109375" bestFit="1" customWidth="1"/>
    <col min="8" max="8" width="9" bestFit="1" customWidth="1"/>
    <col min="9" max="9" width="12" bestFit="1" customWidth="1"/>
    <col min="13" max="13" width="10.42578125" customWidth="1"/>
    <col min="14" max="15" width="8.7109375" bestFit="1" customWidth="1"/>
    <col min="16" max="16" width="8.42578125" customWidth="1"/>
    <col min="17" max="17" width="8.85546875" customWidth="1"/>
    <col min="18" max="18" width="8.7109375" bestFit="1" customWidth="1"/>
    <col min="19" max="19" width="9.7109375" bestFit="1" customWidth="1"/>
    <col min="21" max="21" width="13.7109375" customWidth="1"/>
  </cols>
  <sheetData>
    <row r="1" spans="2:14" ht="35.25" customHeight="1" x14ac:dyDescent="0.25">
      <c r="B1" s="371" t="s">
        <v>386</v>
      </c>
      <c r="C1" s="371"/>
      <c r="D1" s="371"/>
      <c r="F1" s="380" t="s">
        <v>387</v>
      </c>
      <c r="G1" s="380"/>
      <c r="H1" s="380"/>
      <c r="I1" s="380"/>
      <c r="J1" s="380"/>
      <c r="K1" s="380"/>
    </row>
    <row r="2" spans="2:14" ht="24" customHeight="1" thickBot="1" x14ac:dyDescent="0.3">
      <c r="B2" s="307" t="s">
        <v>388</v>
      </c>
      <c r="C2" s="275"/>
      <c r="D2" s="275"/>
      <c r="F2" s="328" t="s">
        <v>388</v>
      </c>
      <c r="G2" s="276"/>
      <c r="H2" s="276"/>
      <c r="I2" s="276"/>
      <c r="J2" s="276"/>
      <c r="K2" s="276"/>
    </row>
    <row r="3" spans="2:14" ht="25.5" thickBot="1" x14ac:dyDescent="0.3">
      <c r="B3" t="s">
        <v>178</v>
      </c>
      <c r="C3" s="5" t="s">
        <v>1</v>
      </c>
      <c r="D3" s="42" t="s">
        <v>179</v>
      </c>
      <c r="F3" s="200" t="s">
        <v>259</v>
      </c>
      <c r="G3" s="201" t="s">
        <v>260</v>
      </c>
      <c r="H3" s="201" t="s">
        <v>261</v>
      </c>
      <c r="I3" s="201" t="s">
        <v>262</v>
      </c>
      <c r="J3" s="201" t="s">
        <v>263</v>
      </c>
      <c r="K3" s="202" t="s">
        <v>264</v>
      </c>
      <c r="N3" s="235" t="s">
        <v>277</v>
      </c>
    </row>
    <row r="4" spans="2:14" x14ac:dyDescent="0.25">
      <c r="B4" t="s">
        <v>180</v>
      </c>
      <c r="C4" s="5">
        <f>(151295549-20000000)/1000000</f>
        <v>131.29554899999999</v>
      </c>
      <c r="D4" s="42">
        <f>C4/C6</f>
        <v>0.86780840459490316</v>
      </c>
      <c r="F4" s="203" t="s">
        <v>265</v>
      </c>
      <c r="G4" s="204"/>
      <c r="H4" s="204">
        <v>60</v>
      </c>
      <c r="I4" s="205">
        <v>60</v>
      </c>
      <c r="J4" s="205">
        <v>0</v>
      </c>
      <c r="K4" s="206">
        <f>I4/$N$4</f>
        <v>0.11379531068490552</v>
      </c>
      <c r="N4">
        <v>527.26250000000005</v>
      </c>
    </row>
    <row r="5" spans="2:14" x14ac:dyDescent="0.25">
      <c r="B5" t="s">
        <v>181</v>
      </c>
      <c r="C5" s="5">
        <f>20000000/1000000</f>
        <v>20</v>
      </c>
      <c r="D5" s="42">
        <f>C5/C6</f>
        <v>0.13219159540509681</v>
      </c>
      <c r="F5" s="207" t="s">
        <v>266</v>
      </c>
      <c r="G5" s="208"/>
      <c r="H5" s="208">
        <v>20.03398765266661</v>
      </c>
      <c r="I5" s="209">
        <v>20.03398765266661</v>
      </c>
      <c r="J5" s="209">
        <v>0</v>
      </c>
      <c r="K5" s="210">
        <f>I5/$N$4</f>
        <v>3.7996230819879295E-2</v>
      </c>
    </row>
    <row r="6" spans="2:14" x14ac:dyDescent="0.25">
      <c r="B6" s="25" t="s">
        <v>183</v>
      </c>
      <c r="C6" s="43">
        <f>SUM(C4:C5)</f>
        <v>151.29554899999999</v>
      </c>
      <c r="D6" s="44">
        <f>SUM(D4:D5)</f>
        <v>1</v>
      </c>
      <c r="F6" s="211" t="s">
        <v>180</v>
      </c>
      <c r="G6" s="212"/>
      <c r="H6" s="212">
        <v>149.17351234733337</v>
      </c>
      <c r="I6" s="213">
        <v>153.904</v>
      </c>
      <c r="J6" s="213">
        <v>4.7304876526666249</v>
      </c>
      <c r="K6" s="214">
        <v>0.28000000000000003</v>
      </c>
    </row>
    <row r="7" spans="2:14" x14ac:dyDescent="0.25">
      <c r="B7" t="s">
        <v>189</v>
      </c>
      <c r="F7" s="207" t="s">
        <v>181</v>
      </c>
      <c r="G7" s="215"/>
      <c r="H7" s="215">
        <v>5.0999999999999996</v>
      </c>
      <c r="I7" s="209">
        <v>4.9589999999999996</v>
      </c>
      <c r="J7" s="209">
        <v>-0.14100000000000001</v>
      </c>
      <c r="K7" s="210">
        <f>I7/$N$4</f>
        <v>9.4051824281074399E-3</v>
      </c>
    </row>
    <row r="8" spans="2:14" x14ac:dyDescent="0.25">
      <c r="B8" t="s">
        <v>184</v>
      </c>
      <c r="C8" s="5">
        <f>(151295549-4000000)/1000000</f>
        <v>147.29554899999999</v>
      </c>
      <c r="D8" s="42">
        <f>C8/C10</f>
        <v>0.97356168091898065</v>
      </c>
      <c r="F8" s="216" t="s">
        <v>267</v>
      </c>
      <c r="G8" s="217">
        <v>312.60000000000002</v>
      </c>
      <c r="H8" s="217">
        <v>251.76</v>
      </c>
      <c r="I8" s="218">
        <v>251.76</v>
      </c>
      <c r="J8" s="218">
        <v>0</v>
      </c>
      <c r="K8" s="219">
        <f>I8/$N$4</f>
        <v>0.47748512363386353</v>
      </c>
    </row>
    <row r="9" spans="2:14" x14ac:dyDescent="0.25">
      <c r="B9" t="s">
        <v>185</v>
      </c>
      <c r="C9" s="5">
        <f>4000000/1000000</f>
        <v>4</v>
      </c>
      <c r="D9" s="42">
        <f>C9/C10</f>
        <v>2.6438319081019363E-2</v>
      </c>
      <c r="F9" s="207" t="s">
        <v>268</v>
      </c>
      <c r="G9" s="208">
        <v>40.6</v>
      </c>
      <c r="H9" s="208">
        <v>40.450000000000003</v>
      </c>
      <c r="I9" s="209">
        <v>40.450000000000003</v>
      </c>
      <c r="J9" s="209">
        <v>0</v>
      </c>
      <c r="K9" s="210">
        <f>I9/$N$4</f>
        <v>7.6717005286740469E-2</v>
      </c>
    </row>
    <row r="10" spans="2:14" ht="15.75" thickBot="1" x14ac:dyDescent="0.3">
      <c r="B10" s="25" t="s">
        <v>196</v>
      </c>
      <c r="C10" s="43">
        <f>SUM(C8:C9)</f>
        <v>151.29554899999999</v>
      </c>
      <c r="D10" s="44">
        <f>SUM(D8:D9)</f>
        <v>1</v>
      </c>
      <c r="F10" s="220" t="s">
        <v>269</v>
      </c>
      <c r="G10" s="221">
        <v>3.6</v>
      </c>
      <c r="H10" s="221">
        <v>0.745</v>
      </c>
      <c r="I10" s="222">
        <v>0.745</v>
      </c>
      <c r="J10" s="222">
        <v>0</v>
      </c>
      <c r="K10" s="223">
        <f>I10/$N$4</f>
        <v>1.4129584410042435E-3</v>
      </c>
    </row>
    <row r="11" spans="2:14" ht="15.75" thickBot="1" x14ac:dyDescent="0.3">
      <c r="F11" s="224" t="s">
        <v>164</v>
      </c>
      <c r="G11" s="225">
        <f>SUM(G4:G10)</f>
        <v>356.80000000000007</v>
      </c>
      <c r="H11" s="225">
        <f>SUM(H4:H10)</f>
        <v>527.26250000000005</v>
      </c>
      <c r="I11" s="226">
        <f>SUM(I4:I10)</f>
        <v>531.85198765266659</v>
      </c>
      <c r="J11" s="226">
        <f t="shared" ref="J11" si="0">I11-H11</f>
        <v>4.5894876526665485</v>
      </c>
      <c r="K11" s="227">
        <f>SUM(K4:K10)</f>
        <v>0.99681181129450047</v>
      </c>
    </row>
    <row r="12" spans="2:14" ht="15.75" thickBot="1" x14ac:dyDescent="0.3">
      <c r="F12" s="200" t="s">
        <v>182</v>
      </c>
      <c r="G12" s="228"/>
      <c r="H12" s="228"/>
      <c r="I12" s="228"/>
      <c r="J12" s="228"/>
      <c r="K12" s="229"/>
    </row>
    <row r="13" spans="2:14" x14ac:dyDescent="0.25">
      <c r="F13" s="230" t="s">
        <v>270</v>
      </c>
      <c r="G13" s="231"/>
      <c r="H13" s="231">
        <v>9</v>
      </c>
      <c r="I13" s="232">
        <v>9</v>
      </c>
      <c r="J13" s="232">
        <v>0</v>
      </c>
      <c r="K13" s="233">
        <f>I13/$N$4</f>
        <v>1.7069296602735828E-2</v>
      </c>
    </row>
    <row r="14" spans="2:14" x14ac:dyDescent="0.25">
      <c r="F14" s="216" t="s">
        <v>184</v>
      </c>
      <c r="G14" s="217">
        <v>273.7</v>
      </c>
      <c r="H14" s="217">
        <v>451.99505454999996</v>
      </c>
      <c r="I14" s="218">
        <v>461.072</v>
      </c>
      <c r="J14" s="218">
        <v>9.0769454500000393</v>
      </c>
      <c r="K14" s="219">
        <v>0.86699999999999999</v>
      </c>
    </row>
    <row r="15" spans="2:14" x14ac:dyDescent="0.25">
      <c r="F15" s="207" t="s">
        <v>185</v>
      </c>
      <c r="G15" s="208"/>
      <c r="H15" s="208">
        <v>20.189999999999998</v>
      </c>
      <c r="I15" s="209">
        <v>15.724</v>
      </c>
      <c r="J15" s="209">
        <v>-4.4659999999999975</v>
      </c>
      <c r="K15" s="210">
        <f t="shared" ref="K15:K20" si="1">I15/$N$4</f>
        <v>2.9821957753490905E-2</v>
      </c>
    </row>
    <row r="16" spans="2:14" x14ac:dyDescent="0.25">
      <c r="F16" s="216" t="s">
        <v>271</v>
      </c>
      <c r="G16" s="217"/>
      <c r="H16" s="217">
        <v>7.9189999999999996</v>
      </c>
      <c r="I16" s="218">
        <v>7.9189999999999996</v>
      </c>
      <c r="J16" s="218">
        <v>0</v>
      </c>
      <c r="K16" s="219">
        <f t="shared" si="1"/>
        <v>1.5019084421896112E-2</v>
      </c>
    </row>
    <row r="17" spans="6:11" x14ac:dyDescent="0.25">
      <c r="F17" s="207" t="s">
        <v>272</v>
      </c>
      <c r="G17" s="208"/>
      <c r="H17" s="208">
        <v>1.8979999999999999</v>
      </c>
      <c r="I17" s="209">
        <v>1.8979999999999999</v>
      </c>
      <c r="J17" s="209">
        <v>0</v>
      </c>
      <c r="K17" s="210">
        <f t="shared" si="1"/>
        <v>3.5997249946658444E-3</v>
      </c>
    </row>
    <row r="18" spans="6:11" x14ac:dyDescent="0.25">
      <c r="F18" s="216" t="s">
        <v>273</v>
      </c>
      <c r="G18" s="217"/>
      <c r="H18" s="217">
        <v>26.527999999999999</v>
      </c>
      <c r="I18" s="218">
        <v>26.527999999999999</v>
      </c>
      <c r="J18" s="218">
        <v>0</v>
      </c>
      <c r="K18" s="219">
        <f t="shared" si="1"/>
        <v>5.0312700030819557E-2</v>
      </c>
    </row>
    <row r="19" spans="6:11" x14ac:dyDescent="0.25">
      <c r="F19" s="207" t="s">
        <v>274</v>
      </c>
      <c r="G19" s="208">
        <v>29</v>
      </c>
      <c r="H19" s="208">
        <v>6.2119999999999997</v>
      </c>
      <c r="I19" s="209">
        <v>6.2119999999999997</v>
      </c>
      <c r="J19" s="209">
        <v>0</v>
      </c>
      <c r="K19" s="210">
        <f t="shared" si="1"/>
        <v>1.1781607832910551E-2</v>
      </c>
    </row>
    <row r="20" spans="6:11" ht="15.75" thickBot="1" x14ac:dyDescent="0.3">
      <c r="F20" s="220" t="s">
        <v>275</v>
      </c>
      <c r="G20" s="221"/>
      <c r="H20" s="221">
        <v>3.53</v>
      </c>
      <c r="I20" s="222">
        <v>3.53</v>
      </c>
      <c r="J20" s="222">
        <v>0</v>
      </c>
      <c r="K20" s="223">
        <f t="shared" si="1"/>
        <v>6.6949574452952743E-3</v>
      </c>
    </row>
    <row r="21" spans="6:11" ht="15.75" thickBot="1" x14ac:dyDescent="0.3">
      <c r="F21" s="234" t="s">
        <v>164</v>
      </c>
      <c r="G21" s="225">
        <f>SUM(G13:G20)</f>
        <v>302.7</v>
      </c>
      <c r="H21" s="225">
        <f>SUM(H13:H20)</f>
        <v>527.27205454999989</v>
      </c>
      <c r="I21" s="226">
        <f>SUM(I13:I20)</f>
        <v>531.88299999999992</v>
      </c>
      <c r="J21" s="226">
        <f t="shared" ref="J21" si="2">I21-H21</f>
        <v>4.6109454500000311</v>
      </c>
      <c r="K21" s="227">
        <f>SUM(K13:K20)</f>
        <v>1.0012993290818142</v>
      </c>
    </row>
    <row r="23" spans="6:11" x14ac:dyDescent="0.25">
      <c r="F23" t="s">
        <v>276</v>
      </c>
    </row>
  </sheetData>
  <mergeCells count="2">
    <mergeCell ref="B1:D1"/>
    <mergeCell ref="F1:K1"/>
  </mergeCells>
  <pageMargins left="0.7" right="0.7" top="0.75" bottom="0.75" header="0.3" footer="0.3"/>
  <pageSetup orientation="portrait" r:id="rId1"/>
  <ignoredErrors>
    <ignoredError sqref="J11 J21" formula="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2"/>
  <sheetViews>
    <sheetView workbookViewId="0">
      <selection activeCell="B2" sqref="B2"/>
    </sheetView>
  </sheetViews>
  <sheetFormatPr defaultRowHeight="15" x14ac:dyDescent="0.25"/>
  <cols>
    <col min="3" max="3" width="8" customWidth="1"/>
    <col min="4" max="4" width="9.42578125" customWidth="1"/>
  </cols>
  <sheetData>
    <row r="1" spans="2:8" ht="54" customHeight="1" x14ac:dyDescent="0.25">
      <c r="B1" s="371" t="s">
        <v>391</v>
      </c>
      <c r="C1" s="371"/>
      <c r="D1" s="371"/>
      <c r="E1" s="371"/>
      <c r="F1" s="371"/>
      <c r="G1" s="371"/>
      <c r="H1" s="371"/>
    </row>
    <row r="2" spans="2:8" x14ac:dyDescent="0.25">
      <c r="B2" s="307" t="s">
        <v>398</v>
      </c>
      <c r="C2" s="52"/>
      <c r="D2" s="52"/>
      <c r="E2" s="275"/>
      <c r="F2" s="275"/>
      <c r="G2" s="275"/>
      <c r="H2" s="275"/>
    </row>
    <row r="3" spans="2:8" ht="30" x14ac:dyDescent="0.25">
      <c r="B3" s="6" t="s">
        <v>278</v>
      </c>
      <c r="C3" s="6" t="s">
        <v>279</v>
      </c>
      <c r="D3" s="6" t="s">
        <v>280</v>
      </c>
    </row>
    <row r="4" spans="2:8" ht="12.75" customHeight="1" x14ac:dyDescent="0.25">
      <c r="B4">
        <v>2015</v>
      </c>
      <c r="C4" s="5">
        <v>3.7</v>
      </c>
      <c r="D4" s="5">
        <v>0</v>
      </c>
    </row>
    <row r="5" spans="2:8" ht="12.75" customHeight="1" x14ac:dyDescent="0.25">
      <c r="B5">
        <v>2016</v>
      </c>
      <c r="C5" s="5">
        <v>3.3</v>
      </c>
      <c r="D5" s="5">
        <v>0</v>
      </c>
    </row>
    <row r="6" spans="2:8" ht="12.75" customHeight="1" x14ac:dyDescent="0.25">
      <c r="B6">
        <v>2017</v>
      </c>
      <c r="C6" s="5">
        <v>3</v>
      </c>
      <c r="D6" s="5">
        <v>0</v>
      </c>
    </row>
    <row r="7" spans="2:8" ht="12.75" customHeight="1" x14ac:dyDescent="0.25">
      <c r="B7">
        <v>2018</v>
      </c>
      <c r="C7" s="5">
        <v>3.1</v>
      </c>
      <c r="D7" s="5">
        <v>0</v>
      </c>
    </row>
    <row r="8" spans="2:8" ht="12.75" customHeight="1" x14ac:dyDescent="0.25">
      <c r="B8">
        <v>2019</v>
      </c>
      <c r="C8" s="5">
        <v>3.5</v>
      </c>
      <c r="D8" s="5">
        <v>0.1</v>
      </c>
    </row>
    <row r="9" spans="2:8" ht="12.75" customHeight="1" x14ac:dyDescent="0.25">
      <c r="B9">
        <v>2020</v>
      </c>
      <c r="C9" s="5">
        <v>4</v>
      </c>
      <c r="D9" s="5">
        <v>0.2</v>
      </c>
    </row>
    <row r="10" spans="2:8" ht="12.75" customHeight="1" x14ac:dyDescent="0.25">
      <c r="B10">
        <v>2021</v>
      </c>
      <c r="C10" s="5">
        <v>4.0999999999999996</v>
      </c>
      <c r="D10" s="5">
        <v>0.1</v>
      </c>
    </row>
    <row r="11" spans="2:8" ht="12.75" customHeight="1" x14ac:dyDescent="0.25">
      <c r="B11">
        <v>2022</v>
      </c>
      <c r="C11" s="5">
        <v>4.2</v>
      </c>
      <c r="D11" s="5">
        <v>0.2</v>
      </c>
    </row>
    <row r="12" spans="2:8" ht="12.75" customHeight="1" x14ac:dyDescent="0.25">
      <c r="B12">
        <v>2023</v>
      </c>
      <c r="C12" s="5">
        <v>4.3</v>
      </c>
      <c r="D12" s="5">
        <v>0.2</v>
      </c>
    </row>
    <row r="13" spans="2:8" ht="12.75" customHeight="1" x14ac:dyDescent="0.25">
      <c r="B13">
        <v>2024</v>
      </c>
      <c r="C13" s="5">
        <v>4.4000000000000004</v>
      </c>
      <c r="D13" s="5">
        <v>0.1</v>
      </c>
    </row>
    <row r="14" spans="2:8" ht="12.75" customHeight="1" x14ac:dyDescent="0.25">
      <c r="B14">
        <v>2025</v>
      </c>
      <c r="C14" s="5">
        <v>4.5</v>
      </c>
      <c r="D14" s="5">
        <v>0.4</v>
      </c>
    </row>
    <row r="15" spans="2:8" ht="12.75" customHeight="1" x14ac:dyDescent="0.25">
      <c r="B15">
        <v>2026</v>
      </c>
      <c r="C15" s="5">
        <v>4.7</v>
      </c>
      <c r="D15" s="5">
        <v>0.8</v>
      </c>
    </row>
    <row r="16" spans="2:8" ht="12.75" customHeight="1" x14ac:dyDescent="0.25">
      <c r="B16">
        <v>2027</v>
      </c>
      <c r="C16" s="5">
        <v>4.8</v>
      </c>
      <c r="D16" s="5">
        <v>1</v>
      </c>
    </row>
    <row r="17" spans="2:4" ht="12.75" customHeight="1" x14ac:dyDescent="0.25">
      <c r="B17">
        <v>2028</v>
      </c>
      <c r="C17" s="5">
        <v>4.9000000000000004</v>
      </c>
      <c r="D17" s="5">
        <v>0.9</v>
      </c>
    </row>
    <row r="18" spans="2:4" ht="12.75" customHeight="1" x14ac:dyDescent="0.25">
      <c r="B18">
        <v>2029</v>
      </c>
      <c r="C18" s="5">
        <v>5</v>
      </c>
      <c r="D18" s="5">
        <v>1</v>
      </c>
    </row>
    <row r="19" spans="2:4" ht="12.75" customHeight="1" x14ac:dyDescent="0.25">
      <c r="B19">
        <v>2030</v>
      </c>
      <c r="C19" s="5">
        <v>5.0999999999999996</v>
      </c>
      <c r="D19" s="5">
        <v>3.1</v>
      </c>
    </row>
    <row r="20" spans="2:4" ht="12.75" customHeight="1" x14ac:dyDescent="0.25">
      <c r="B20">
        <v>2031</v>
      </c>
      <c r="C20" s="5">
        <v>5.3</v>
      </c>
      <c r="D20" s="5">
        <v>5.5</v>
      </c>
    </row>
    <row r="21" spans="2:4" ht="12.75" customHeight="1" x14ac:dyDescent="0.25">
      <c r="B21">
        <v>2032</v>
      </c>
      <c r="C21" s="5">
        <v>5.4</v>
      </c>
      <c r="D21" s="5">
        <v>6</v>
      </c>
    </row>
    <row r="22" spans="2:4" ht="12.75" customHeight="1" x14ac:dyDescent="0.25">
      <c r="B22">
        <v>2033</v>
      </c>
      <c r="C22" s="5">
        <v>5.5</v>
      </c>
      <c r="D22" s="5">
        <v>6.3</v>
      </c>
    </row>
    <row r="23" spans="2:4" ht="12.75" customHeight="1" x14ac:dyDescent="0.25">
      <c r="B23">
        <v>2034</v>
      </c>
      <c r="C23" s="5">
        <v>5.7</v>
      </c>
      <c r="D23" s="5">
        <v>4.7</v>
      </c>
    </row>
    <row r="24" spans="2:4" ht="12.75" customHeight="1" x14ac:dyDescent="0.25">
      <c r="B24">
        <v>2035</v>
      </c>
      <c r="C24" s="5">
        <v>5.8</v>
      </c>
      <c r="D24" s="5">
        <v>1.8</v>
      </c>
    </row>
    <row r="25" spans="2:4" ht="12.75" customHeight="1" x14ac:dyDescent="0.25">
      <c r="B25">
        <v>2036</v>
      </c>
      <c r="C25" s="5">
        <v>6</v>
      </c>
      <c r="D25" s="5">
        <v>0.9</v>
      </c>
    </row>
    <row r="26" spans="2:4" ht="12.75" customHeight="1" x14ac:dyDescent="0.25">
      <c r="B26">
        <v>2037</v>
      </c>
      <c r="C26" s="5">
        <v>6.1</v>
      </c>
      <c r="D26" s="5">
        <v>0.9</v>
      </c>
    </row>
    <row r="27" spans="2:4" ht="12.75" customHeight="1" x14ac:dyDescent="0.25">
      <c r="B27">
        <v>2038</v>
      </c>
      <c r="C27" s="5">
        <v>6.3</v>
      </c>
      <c r="D27" s="5">
        <v>0.6</v>
      </c>
    </row>
    <row r="28" spans="2:4" ht="12.75" customHeight="1" x14ac:dyDescent="0.25">
      <c r="B28">
        <v>2039</v>
      </c>
      <c r="C28" s="5">
        <v>6.4</v>
      </c>
      <c r="D28" s="5">
        <v>0.6</v>
      </c>
    </row>
    <row r="29" spans="2:4" ht="12.75" customHeight="1" x14ac:dyDescent="0.25">
      <c r="B29">
        <v>2040</v>
      </c>
      <c r="C29" s="5">
        <v>6.6</v>
      </c>
      <c r="D29" s="5">
        <v>0.7</v>
      </c>
    </row>
    <row r="30" spans="2:4" ht="12.75" customHeight="1" x14ac:dyDescent="0.25">
      <c r="B30">
        <v>2041</v>
      </c>
      <c r="C30" s="5">
        <v>6.7</v>
      </c>
      <c r="D30" s="5">
        <v>2.6</v>
      </c>
    </row>
    <row r="31" spans="2:4" ht="12.75" customHeight="1" x14ac:dyDescent="0.25">
      <c r="B31">
        <v>2042</v>
      </c>
      <c r="C31" s="5">
        <v>6.9</v>
      </c>
      <c r="D31" s="5">
        <v>4.5999999999999996</v>
      </c>
    </row>
    <row r="32" spans="2:4" ht="12.75" customHeight="1" x14ac:dyDescent="0.25">
      <c r="B32">
        <v>2043</v>
      </c>
      <c r="C32" s="5">
        <v>7.1</v>
      </c>
      <c r="D32" s="5">
        <v>4.2</v>
      </c>
    </row>
    <row r="33" spans="2:4" ht="12.75" customHeight="1" x14ac:dyDescent="0.25">
      <c r="B33">
        <v>2044</v>
      </c>
      <c r="C33" s="5">
        <v>7.3</v>
      </c>
      <c r="D33" s="5">
        <v>4.8</v>
      </c>
    </row>
    <row r="34" spans="2:4" ht="12.75" customHeight="1" x14ac:dyDescent="0.25">
      <c r="B34">
        <v>2045</v>
      </c>
      <c r="C34" s="5">
        <v>7.4</v>
      </c>
      <c r="D34" s="5">
        <v>4.4000000000000004</v>
      </c>
    </row>
    <row r="35" spans="2:4" ht="12.75" customHeight="1" x14ac:dyDescent="0.25">
      <c r="B35">
        <v>2046</v>
      </c>
      <c r="C35" s="5">
        <v>7.6</v>
      </c>
      <c r="D35" s="5">
        <v>8.9</v>
      </c>
    </row>
    <row r="36" spans="2:4" ht="12.75" customHeight="1" x14ac:dyDescent="0.25">
      <c r="B36">
        <v>2047</v>
      </c>
      <c r="C36" s="5">
        <v>7.8</v>
      </c>
      <c r="D36" s="5">
        <v>15.4</v>
      </c>
    </row>
    <row r="37" spans="2:4" ht="12.75" customHeight="1" x14ac:dyDescent="0.25">
      <c r="B37">
        <v>2048</v>
      </c>
      <c r="C37" s="5">
        <v>8</v>
      </c>
      <c r="D37" s="5">
        <v>15.7</v>
      </c>
    </row>
    <row r="38" spans="2:4" ht="12.75" customHeight="1" x14ac:dyDescent="0.25">
      <c r="B38">
        <v>2049</v>
      </c>
      <c r="C38" s="5">
        <v>8.1999999999999993</v>
      </c>
      <c r="D38" s="5">
        <v>8.9</v>
      </c>
    </row>
    <row r="39" spans="2:4" ht="12.75" customHeight="1" x14ac:dyDescent="0.25">
      <c r="B39">
        <v>2050</v>
      </c>
      <c r="C39" s="5">
        <v>8.4</v>
      </c>
      <c r="D39" s="5">
        <v>1.5</v>
      </c>
    </row>
    <row r="40" spans="2:4" ht="12.75" customHeight="1" x14ac:dyDescent="0.25">
      <c r="B40">
        <v>2051</v>
      </c>
      <c r="C40" s="5">
        <v>8.6</v>
      </c>
      <c r="D40" s="5">
        <v>11.3</v>
      </c>
    </row>
    <row r="41" spans="2:4" ht="12.75" customHeight="1" x14ac:dyDescent="0.25">
      <c r="B41">
        <v>2052</v>
      </c>
      <c r="C41" s="5">
        <v>3.2</v>
      </c>
      <c r="D41" s="5">
        <v>7.3</v>
      </c>
    </row>
    <row r="42" spans="2:4" ht="12.75" customHeight="1" x14ac:dyDescent="0.25">
      <c r="B42" t="s">
        <v>164</v>
      </c>
      <c r="C42" s="5">
        <f t="shared" ref="C42:D42" si="0">SUM(C4:C41)</f>
        <v>212.89999999999998</v>
      </c>
      <c r="D42" s="5">
        <f t="shared" si="0"/>
        <v>125.70000000000002</v>
      </c>
    </row>
  </sheetData>
  <mergeCells count="1">
    <mergeCell ref="B1:H1"/>
  </mergeCells>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1"/>
  <sheetViews>
    <sheetView workbookViewId="0">
      <selection activeCell="P29" sqref="P29"/>
    </sheetView>
  </sheetViews>
  <sheetFormatPr defaultRowHeight="15" x14ac:dyDescent="0.25"/>
  <cols>
    <col min="1" max="1" width="3" customWidth="1"/>
    <col min="2" max="2" width="22.28515625" bestFit="1" customWidth="1"/>
    <col min="3" max="3" width="11.5703125" style="14" customWidth="1"/>
    <col min="4" max="4" width="10.5703125" style="14" bestFit="1" customWidth="1"/>
    <col min="5" max="5" width="10.140625" style="14" customWidth="1"/>
    <col min="6" max="6" width="7" style="14" bestFit="1" customWidth="1"/>
    <col min="7" max="7" width="30.140625" style="14" bestFit="1" customWidth="1"/>
    <col min="8" max="8" width="6.85546875" style="14" bestFit="1" customWidth="1"/>
    <col min="9" max="9" width="9.140625" style="14"/>
    <col min="10" max="10" width="10.28515625" customWidth="1"/>
    <col min="13" max="13" width="9.28515625" bestFit="1" customWidth="1"/>
    <col min="14" max="14" width="9.7109375" bestFit="1" customWidth="1"/>
    <col min="15" max="15" width="9.28515625" bestFit="1" customWidth="1"/>
    <col min="16" max="16" width="15" customWidth="1"/>
    <col min="17" max="17" width="12.5703125" customWidth="1"/>
    <col min="19" max="19" width="9.85546875" customWidth="1"/>
    <col min="20" max="20" width="10.28515625" customWidth="1"/>
    <col min="30" max="30" width="30" customWidth="1"/>
    <col min="31" max="31" width="7.7109375" bestFit="1" customWidth="1"/>
    <col min="32" max="34" width="6.5703125" bestFit="1" customWidth="1"/>
    <col min="35" max="35" width="8" bestFit="1" customWidth="1"/>
    <col min="36" max="36" width="6.5703125" bestFit="1" customWidth="1"/>
    <col min="40" max="40" width="30.140625" bestFit="1" customWidth="1"/>
  </cols>
  <sheetData>
    <row r="1" spans="2:25" ht="42" customHeight="1" x14ac:dyDescent="0.25">
      <c r="B1" s="371" t="s">
        <v>389</v>
      </c>
      <c r="C1" s="371"/>
      <c r="D1" s="371"/>
      <c r="E1" s="371"/>
      <c r="G1" s="384" t="s">
        <v>390</v>
      </c>
      <c r="H1" s="384"/>
      <c r="I1" s="384"/>
      <c r="J1" s="384"/>
      <c r="K1" s="384"/>
      <c r="L1" s="384"/>
      <c r="M1" s="384"/>
      <c r="P1" s="385" t="s">
        <v>399</v>
      </c>
      <c r="Q1" s="385"/>
      <c r="R1" s="385"/>
      <c r="S1" s="385"/>
      <c r="T1" s="385"/>
      <c r="U1" s="385"/>
      <c r="V1" s="385"/>
      <c r="W1" s="385"/>
      <c r="X1" s="385"/>
      <c r="Y1" s="385"/>
    </row>
    <row r="2" spans="2:25" ht="15.75" thickBot="1" x14ac:dyDescent="0.3">
      <c r="B2" s="307" t="s">
        <v>392</v>
      </c>
      <c r="C2" s="52"/>
      <c r="D2" s="52"/>
      <c r="E2" s="52"/>
      <c r="F2" s="329"/>
      <c r="G2" s="332" t="s">
        <v>392</v>
      </c>
      <c r="H2" s="330"/>
      <c r="I2" s="330"/>
      <c r="J2" s="330"/>
      <c r="K2" s="330"/>
      <c r="L2" s="330"/>
      <c r="M2" s="330"/>
      <c r="P2" s="25" t="s">
        <v>397</v>
      </c>
      <c r="Q2" s="14"/>
      <c r="R2" s="14"/>
      <c r="S2" s="14"/>
    </row>
    <row r="3" spans="2:25" ht="24" thickBot="1" x14ac:dyDescent="0.3">
      <c r="B3" s="25" t="s">
        <v>186</v>
      </c>
      <c r="C3" s="45" t="s">
        <v>187</v>
      </c>
      <c r="D3" s="45" t="s">
        <v>169</v>
      </c>
      <c r="E3" s="45" t="s">
        <v>164</v>
      </c>
      <c r="G3" s="236"/>
      <c r="H3" s="331" t="s">
        <v>281</v>
      </c>
      <c r="I3" s="237">
        <v>2014</v>
      </c>
      <c r="J3" s="237">
        <v>2015</v>
      </c>
      <c r="K3" s="237">
        <v>2016</v>
      </c>
      <c r="L3" s="237">
        <v>2017</v>
      </c>
      <c r="M3" s="238" t="s">
        <v>164</v>
      </c>
      <c r="P3" s="341"/>
      <c r="Q3" s="342" t="s">
        <v>395</v>
      </c>
      <c r="R3" s="343">
        <v>2011</v>
      </c>
      <c r="S3" s="343">
        <v>2012</v>
      </c>
      <c r="T3" s="344">
        <v>2013</v>
      </c>
      <c r="U3" s="344">
        <v>2014</v>
      </c>
      <c r="V3" s="344">
        <v>2015</v>
      </c>
      <c r="W3" s="344">
        <v>2016</v>
      </c>
      <c r="X3" s="344">
        <v>2017</v>
      </c>
      <c r="Y3" s="345">
        <v>2018</v>
      </c>
    </row>
    <row r="4" spans="2:25" ht="15.75" thickBot="1" x14ac:dyDescent="0.3">
      <c r="B4" t="s">
        <v>194</v>
      </c>
      <c r="C4" s="14">
        <v>0</v>
      </c>
      <c r="D4" s="14">
        <f>C14</f>
        <v>0</v>
      </c>
      <c r="E4" s="14">
        <f>SUM(C4:D4)</f>
        <v>0</v>
      </c>
      <c r="G4" s="239" t="s">
        <v>186</v>
      </c>
      <c r="H4" s="240"/>
      <c r="I4" s="240"/>
      <c r="J4" s="241"/>
      <c r="K4" s="241"/>
      <c r="L4" s="241"/>
      <c r="M4" s="241"/>
      <c r="P4" s="325" t="s">
        <v>186</v>
      </c>
      <c r="Q4" s="336">
        <v>36</v>
      </c>
      <c r="R4" s="336">
        <v>84</v>
      </c>
      <c r="S4" s="336">
        <v>162</v>
      </c>
      <c r="T4" s="336">
        <v>230</v>
      </c>
      <c r="U4" s="336">
        <v>371</v>
      </c>
      <c r="V4" s="336">
        <v>503</v>
      </c>
      <c r="W4" s="336">
        <v>559</v>
      </c>
      <c r="X4" s="336">
        <v>591</v>
      </c>
      <c r="Y4" s="337">
        <v>593</v>
      </c>
    </row>
    <row r="5" spans="2:25" ht="15.75" thickBot="1" x14ac:dyDescent="0.3">
      <c r="B5" t="s">
        <v>188</v>
      </c>
      <c r="C5" s="14">
        <f>((1899406.68+9000000)/1000000)+(6953.09/1000000)+(21700/1000000)+134</f>
        <v>144.92805977</v>
      </c>
      <c r="D5" s="14">
        <f>+(2276142.32/1000000)+(78300/1000000)+(13046.91/1000000)+4</f>
        <v>6.3674892300000003</v>
      </c>
      <c r="E5" s="14">
        <f>SUM(C5:D5)</f>
        <v>151.29554899999999</v>
      </c>
      <c r="G5" s="242" t="s">
        <v>194</v>
      </c>
      <c r="H5" s="243">
        <v>3.3</v>
      </c>
      <c r="I5" s="243">
        <f>H28</f>
        <v>3.3119999999999976</v>
      </c>
      <c r="J5" s="243">
        <f>I28</f>
        <v>-38.281000000000006</v>
      </c>
      <c r="K5" s="243">
        <f t="shared" ref="K5:L5" si="0">J28</f>
        <v>127.86666333333326</v>
      </c>
      <c r="L5" s="243">
        <f t="shared" si="0"/>
        <v>-6.7328983333335657</v>
      </c>
      <c r="M5" s="243">
        <f t="shared" ref="M5:M11" si="1">SUM(H5:L5)</f>
        <v>89.464764999999687</v>
      </c>
      <c r="P5" s="325" t="s">
        <v>396</v>
      </c>
      <c r="Q5" s="336">
        <v>30</v>
      </c>
      <c r="R5" s="336">
        <v>60.7</v>
      </c>
      <c r="S5" s="336">
        <v>117</v>
      </c>
      <c r="T5" s="336">
        <v>192</v>
      </c>
      <c r="U5" s="336">
        <v>257</v>
      </c>
      <c r="V5" s="336">
        <v>396</v>
      </c>
      <c r="W5" s="336">
        <v>496</v>
      </c>
      <c r="X5" s="336">
        <v>572</v>
      </c>
      <c r="Y5" s="337">
        <v>605.20000000000005</v>
      </c>
    </row>
    <row r="6" spans="2:25" ht="15.75" thickBot="1" x14ac:dyDescent="0.3">
      <c r="B6" s="25" t="s">
        <v>195</v>
      </c>
      <c r="C6" s="32">
        <f>SUM(C4:C5)</f>
        <v>144.92805977</v>
      </c>
      <c r="D6" s="32">
        <f t="shared" ref="D6:E6" si="2">SUM(D4:D5)</f>
        <v>6.3674892300000003</v>
      </c>
      <c r="E6" s="32">
        <f t="shared" si="2"/>
        <v>151.29554899999999</v>
      </c>
      <c r="G6" s="244" t="s">
        <v>282</v>
      </c>
      <c r="H6" s="245">
        <v>0</v>
      </c>
      <c r="I6" s="245">
        <v>0</v>
      </c>
      <c r="J6" s="246">
        <v>10</v>
      </c>
      <c r="K6" s="246">
        <v>30</v>
      </c>
      <c r="L6" s="246">
        <v>20</v>
      </c>
      <c r="M6" s="246">
        <f t="shared" si="1"/>
        <v>60</v>
      </c>
      <c r="P6" s="325" t="s">
        <v>393</v>
      </c>
      <c r="Q6" s="336">
        <v>35.799999999999997</v>
      </c>
      <c r="R6" s="336">
        <v>83.6</v>
      </c>
      <c r="S6" s="336">
        <v>162.30000000000001</v>
      </c>
      <c r="T6" s="336">
        <v>229.2</v>
      </c>
      <c r="U6" s="336">
        <v>371</v>
      </c>
      <c r="V6" s="336">
        <v>502.7</v>
      </c>
      <c r="W6" s="336">
        <v>558.9</v>
      </c>
      <c r="X6" s="336">
        <v>590.79999999999995</v>
      </c>
      <c r="Y6" s="337">
        <v>592.9</v>
      </c>
    </row>
    <row r="7" spans="2:25" ht="15.75" thickBot="1" x14ac:dyDescent="0.3">
      <c r="B7" s="333" t="s">
        <v>189</v>
      </c>
      <c r="C7" s="334"/>
      <c r="D7" s="334"/>
      <c r="E7" s="334"/>
      <c r="G7" s="242" t="s">
        <v>283</v>
      </c>
      <c r="H7" s="243">
        <v>0</v>
      </c>
      <c r="I7" s="243">
        <v>0</v>
      </c>
      <c r="J7" s="243">
        <v>5</v>
      </c>
      <c r="K7" s="243">
        <v>15</v>
      </c>
      <c r="L7" s="243">
        <v>0</v>
      </c>
      <c r="M7" s="243">
        <f t="shared" si="1"/>
        <v>20</v>
      </c>
      <c r="P7" s="338" t="s">
        <v>394</v>
      </c>
      <c r="Q7" s="339">
        <v>29.4</v>
      </c>
      <c r="R7" s="339">
        <v>60.7</v>
      </c>
      <c r="S7" s="339">
        <v>116.8</v>
      </c>
      <c r="T7" s="339">
        <v>191.4</v>
      </c>
      <c r="U7" s="339">
        <v>256.8</v>
      </c>
      <c r="V7" s="339">
        <v>396.1</v>
      </c>
      <c r="W7" s="339">
        <v>495.2</v>
      </c>
      <c r="X7" s="339">
        <v>570.5</v>
      </c>
      <c r="Y7" s="340">
        <v>605.20000000000005</v>
      </c>
    </row>
    <row r="8" spans="2:25" ht="15.75" thickBot="1" x14ac:dyDescent="0.3">
      <c r="B8" t="s">
        <v>190</v>
      </c>
      <c r="C8" s="14">
        <f>(1899406.68/1000000)+9</f>
        <v>10.89940668</v>
      </c>
      <c r="D8" s="14">
        <f>(2276142.32/1000000)</f>
        <v>2.2761423199999999</v>
      </c>
      <c r="E8" s="14">
        <f t="shared" ref="E8:E13" si="3">SUM(C8:D8)</f>
        <v>13.175549</v>
      </c>
      <c r="G8" s="244" t="s">
        <v>284</v>
      </c>
      <c r="H8" s="245">
        <f>18.4-H5</f>
        <v>15.099999999999998</v>
      </c>
      <c r="I8" s="245">
        <v>12.122</v>
      </c>
      <c r="J8" s="245">
        <f>52.51176838-30</f>
        <v>22.511768379999999</v>
      </c>
      <c r="K8" s="247">
        <f>40.14052488-20-5.3-2.6-0.3686+(0.000749999999698048/2)+4.6</f>
        <v>16.472299879999849</v>
      </c>
      <c r="L8" s="247">
        <f>3.333623-0.022</f>
        <v>3.311623</v>
      </c>
      <c r="M8" s="246">
        <f t="shared" si="1"/>
        <v>69.51769125999985</v>
      </c>
    </row>
    <row r="9" spans="2:25" ht="15.75" thickBot="1" x14ac:dyDescent="0.3">
      <c r="B9" t="s">
        <v>191</v>
      </c>
      <c r="C9" s="14">
        <f>21700/1000000</f>
        <v>2.1700000000000001E-2</v>
      </c>
      <c r="D9" s="14">
        <f>78300/1000000</f>
        <v>7.8299999999999995E-2</v>
      </c>
      <c r="E9" s="14">
        <f t="shared" si="3"/>
        <v>9.9999999999999992E-2</v>
      </c>
      <c r="G9" s="242" t="s">
        <v>285</v>
      </c>
      <c r="H9" s="243">
        <v>0</v>
      </c>
      <c r="I9" s="243">
        <v>0</v>
      </c>
      <c r="J9" s="243">
        <v>251.756</v>
      </c>
      <c r="K9" s="243">
        <v>0</v>
      </c>
      <c r="L9" s="243">
        <v>0</v>
      </c>
      <c r="M9" s="243">
        <f t="shared" si="1"/>
        <v>251.756</v>
      </c>
    </row>
    <row r="10" spans="2:25" ht="15.75" thickBot="1" x14ac:dyDescent="0.3">
      <c r="B10" t="s">
        <v>0</v>
      </c>
      <c r="C10" s="14">
        <v>134</v>
      </c>
      <c r="D10" s="14">
        <v>0</v>
      </c>
      <c r="E10" s="14">
        <f t="shared" si="3"/>
        <v>134</v>
      </c>
      <c r="G10" s="244" t="s">
        <v>286</v>
      </c>
      <c r="H10" s="245">
        <v>0</v>
      </c>
      <c r="I10" s="245">
        <v>0</v>
      </c>
      <c r="J10" s="246">
        <v>23.9</v>
      </c>
      <c r="K10" s="246">
        <v>8.3000000000000007</v>
      </c>
      <c r="L10" s="246">
        <v>8.3000000000000007</v>
      </c>
      <c r="M10" s="246">
        <f t="shared" si="1"/>
        <v>40.5</v>
      </c>
    </row>
    <row r="11" spans="2:25" ht="15.75" thickBot="1" x14ac:dyDescent="0.3">
      <c r="B11" t="s">
        <v>192</v>
      </c>
      <c r="C11" s="14">
        <f>6953.09/1000000</f>
        <v>6.9530900000000003E-3</v>
      </c>
      <c r="D11" s="14">
        <f>13046.91/1000000</f>
        <v>1.304691E-2</v>
      </c>
      <c r="E11" s="14">
        <f t="shared" si="3"/>
        <v>0.02</v>
      </c>
      <c r="G11" s="242" t="s">
        <v>287</v>
      </c>
      <c r="H11" s="243">
        <v>0</v>
      </c>
      <c r="I11" s="243">
        <v>0</v>
      </c>
      <c r="J11" s="243">
        <v>0.4</v>
      </c>
      <c r="K11" s="243">
        <v>0.2</v>
      </c>
      <c r="L11" s="243">
        <v>0.1</v>
      </c>
      <c r="M11" s="243">
        <f t="shared" si="1"/>
        <v>0.70000000000000007</v>
      </c>
    </row>
    <row r="12" spans="2:25" ht="15.75" thickBot="1" x14ac:dyDescent="0.3">
      <c r="B12" t="s">
        <v>193</v>
      </c>
      <c r="C12" s="14">
        <v>0</v>
      </c>
      <c r="D12" s="14">
        <v>4</v>
      </c>
      <c r="E12" s="14">
        <f t="shared" si="3"/>
        <v>4</v>
      </c>
      <c r="G12" s="248" t="s">
        <v>164</v>
      </c>
      <c r="H12" s="249">
        <f>SUM(H5:H11)</f>
        <v>18.399999999999999</v>
      </c>
      <c r="I12" s="249">
        <f>SUM(I5:I11)</f>
        <v>15.433999999999997</v>
      </c>
      <c r="J12" s="249">
        <f t="shared" ref="J12:K12" si="4">SUM(J5:J11)</f>
        <v>275.28676837999996</v>
      </c>
      <c r="K12" s="249">
        <f t="shared" si="4"/>
        <v>197.8389632133331</v>
      </c>
      <c r="L12" s="249">
        <f>SUM(L5:L11)</f>
        <v>24.978724666666437</v>
      </c>
      <c r="M12" s="249">
        <f>SUM(M5:M11)</f>
        <v>531.93845625999961</v>
      </c>
    </row>
    <row r="13" spans="2:25" ht="15.75" thickBot="1" x14ac:dyDescent="0.3">
      <c r="B13" s="25" t="s">
        <v>196</v>
      </c>
      <c r="C13" s="32">
        <f>SUM(C8:C12)</f>
        <v>144.92805977</v>
      </c>
      <c r="D13" s="32">
        <f>SUM(D8:D12)</f>
        <v>6.3674892300000003</v>
      </c>
      <c r="E13" s="32">
        <f t="shared" si="3"/>
        <v>151.29554899999999</v>
      </c>
      <c r="G13" s="381" t="s">
        <v>189</v>
      </c>
      <c r="H13" s="382"/>
      <c r="I13" s="382"/>
      <c r="J13" s="382"/>
      <c r="K13" s="382"/>
      <c r="L13" s="382"/>
      <c r="M13" s="383"/>
    </row>
    <row r="14" spans="2:25" ht="15.75" thickBot="1" x14ac:dyDescent="0.3">
      <c r="B14" s="25" t="s">
        <v>197</v>
      </c>
      <c r="C14" s="32">
        <f>C6-C13</f>
        <v>0</v>
      </c>
      <c r="D14" s="32">
        <f>D6-D13</f>
        <v>0</v>
      </c>
      <c r="E14" s="32">
        <f>E6-E13</f>
        <v>0</v>
      </c>
      <c r="G14" s="250" t="s">
        <v>288</v>
      </c>
      <c r="H14" s="251"/>
      <c r="I14" s="251"/>
      <c r="J14" s="251"/>
      <c r="K14" s="251"/>
      <c r="L14" s="251"/>
      <c r="M14" s="251"/>
    </row>
    <row r="15" spans="2:25" ht="15.75" thickBot="1" x14ac:dyDescent="0.3">
      <c r="G15" s="252" t="s">
        <v>190</v>
      </c>
      <c r="H15" s="245">
        <v>14.303000000000001</v>
      </c>
      <c r="I15" s="245">
        <v>23.5</v>
      </c>
      <c r="J15" s="245">
        <v>9.9177567000000035</v>
      </c>
      <c r="K15" s="245">
        <f>10.472441-5.4+10.461</f>
        <v>15.533441</v>
      </c>
      <c r="L15" s="245">
        <v>1</v>
      </c>
      <c r="M15" s="253">
        <f>SUM(H15:L15)</f>
        <v>64.254197700000006</v>
      </c>
    </row>
    <row r="16" spans="2:25" ht="15.75" thickBot="1" x14ac:dyDescent="0.3">
      <c r="G16" s="242" t="s">
        <v>191</v>
      </c>
      <c r="H16" s="243">
        <v>0.71099999999999997</v>
      </c>
      <c r="I16" s="243">
        <v>27.7</v>
      </c>
      <c r="J16" s="243">
        <v>24.819061990000034</v>
      </c>
      <c r="K16" s="243">
        <f>10.120827-7.196</f>
        <v>2.9248270000000005</v>
      </c>
      <c r="L16" s="243">
        <v>0.86362300000000003</v>
      </c>
      <c r="M16" s="243">
        <f t="shared" ref="M16:M20" si="5">SUM(H16:L16)</f>
        <v>57.018511990000029</v>
      </c>
    </row>
    <row r="17" spans="6:13" ht="15.75" thickBot="1" x14ac:dyDescent="0.3">
      <c r="G17" s="252" t="s">
        <v>0</v>
      </c>
      <c r="H17" s="245">
        <v>0.06</v>
      </c>
      <c r="I17" s="245">
        <v>1.8</v>
      </c>
      <c r="J17" s="245">
        <v>4.2530913200000002</v>
      </c>
      <c r="K17" s="245">
        <f>0.98286488+6.644</f>
        <v>7.6268648800000003</v>
      </c>
      <c r="L17" s="245">
        <v>0</v>
      </c>
      <c r="M17" s="253">
        <f t="shared" si="5"/>
        <v>13.739956200000002</v>
      </c>
    </row>
    <row r="18" spans="6:13" ht="15.75" thickBot="1" x14ac:dyDescent="0.3">
      <c r="G18" s="242" t="s">
        <v>289</v>
      </c>
      <c r="H18" s="243">
        <v>0</v>
      </c>
      <c r="I18" s="243">
        <v>0.71499999999999997</v>
      </c>
      <c r="J18" s="243">
        <f>18.50643066-5</f>
        <v>13.506430659999999</v>
      </c>
      <c r="K18" s="243">
        <f>25.769958-15-0.832</f>
        <v>9.9379579999999983</v>
      </c>
      <c r="L18" s="243">
        <v>0</v>
      </c>
      <c r="M18" s="243">
        <f t="shared" si="5"/>
        <v>24.159388659999998</v>
      </c>
    </row>
    <row r="19" spans="6:13" ht="15.75" thickBot="1" x14ac:dyDescent="0.3">
      <c r="G19" s="254" t="s">
        <v>290</v>
      </c>
      <c r="H19" s="245">
        <v>0</v>
      </c>
      <c r="I19" s="245">
        <v>0</v>
      </c>
      <c r="J19" s="245">
        <v>0</v>
      </c>
      <c r="K19" s="245">
        <v>0</v>
      </c>
      <c r="L19" s="245">
        <v>0</v>
      </c>
      <c r="M19" s="253">
        <f t="shared" si="5"/>
        <v>0</v>
      </c>
    </row>
    <row r="20" spans="6:13" ht="15.75" thickBot="1" x14ac:dyDescent="0.3">
      <c r="G20" s="242" t="s">
        <v>193</v>
      </c>
      <c r="H20" s="243">
        <v>1.4E-2</v>
      </c>
      <c r="I20" s="243">
        <v>0</v>
      </c>
      <c r="J20" s="243">
        <v>1.5427710000000002E-2</v>
      </c>
      <c r="K20" s="243">
        <f>7.774434-4.466-0.022</f>
        <v>3.2864340000000003</v>
      </c>
      <c r="L20" s="243">
        <v>1.47</v>
      </c>
      <c r="M20" s="243">
        <f t="shared" si="5"/>
        <v>4.7858617100000007</v>
      </c>
    </row>
    <row r="21" spans="6:13" ht="15.75" thickBot="1" x14ac:dyDescent="0.3">
      <c r="G21" s="255" t="s">
        <v>291</v>
      </c>
      <c r="H21" s="245"/>
      <c r="I21" s="245"/>
      <c r="J21" s="253"/>
      <c r="K21" s="253"/>
      <c r="L21" s="253"/>
      <c r="M21" s="253"/>
    </row>
    <row r="22" spans="6:13" ht="15.75" thickBot="1" x14ac:dyDescent="0.3">
      <c r="G22" s="242" t="s">
        <v>0</v>
      </c>
      <c r="H22" s="243">
        <v>0</v>
      </c>
      <c r="I22" s="243">
        <v>0</v>
      </c>
      <c r="J22" s="243">
        <f>56.4+10+5+5.146</f>
        <v>76.546000000000006</v>
      </c>
      <c r="K22" s="243">
        <f>104.4+30+15.1-2.6</f>
        <v>146.9</v>
      </c>
      <c r="L22" s="243">
        <f>72.1+20-2.6+0.0014999999993961</f>
        <v>89.501499999999396</v>
      </c>
      <c r="M22" s="243">
        <f t="shared" ref="M22:M26" si="6">SUM(H22:L22)</f>
        <v>312.94749999999942</v>
      </c>
    </row>
    <row r="23" spans="6:13" ht="15.75" thickBot="1" x14ac:dyDescent="0.3">
      <c r="G23" s="252" t="s">
        <v>292</v>
      </c>
      <c r="H23" s="245">
        <v>0</v>
      </c>
      <c r="I23" s="245">
        <v>0</v>
      </c>
      <c r="J23" s="253">
        <v>3</v>
      </c>
      <c r="K23" s="253">
        <f>3</f>
        <v>3</v>
      </c>
      <c r="L23" s="253">
        <f>3</f>
        <v>3</v>
      </c>
      <c r="M23" s="253">
        <f t="shared" si="6"/>
        <v>9</v>
      </c>
    </row>
    <row r="24" spans="6:13" ht="15.75" thickBot="1" x14ac:dyDescent="0.3">
      <c r="G24" s="242" t="s">
        <v>293</v>
      </c>
      <c r="H24" s="243">
        <v>0</v>
      </c>
      <c r="I24" s="243">
        <v>0</v>
      </c>
      <c r="J24" s="243">
        <v>8.8426666666666698</v>
      </c>
      <c r="K24" s="243">
        <v>8.8426666666666698</v>
      </c>
      <c r="L24" s="243">
        <v>8.8426666666666698</v>
      </c>
      <c r="M24" s="243">
        <f t="shared" si="6"/>
        <v>26.528000000000009</v>
      </c>
    </row>
    <row r="25" spans="6:13" ht="15.75" thickBot="1" x14ac:dyDescent="0.3">
      <c r="G25" s="252" t="s">
        <v>294</v>
      </c>
      <c r="H25" s="245">
        <v>0</v>
      </c>
      <c r="I25" s="245">
        <v>0</v>
      </c>
      <c r="J25" s="253">
        <v>3.88</v>
      </c>
      <c r="K25" s="253">
        <v>3.88</v>
      </c>
      <c r="L25" s="253">
        <v>3.88</v>
      </c>
      <c r="M25" s="253">
        <f t="shared" si="6"/>
        <v>11.64</v>
      </c>
    </row>
    <row r="26" spans="6:13" ht="15.75" thickBot="1" x14ac:dyDescent="0.3">
      <c r="G26" s="242" t="s">
        <v>295</v>
      </c>
      <c r="H26" s="243">
        <v>0</v>
      </c>
      <c r="I26" s="243">
        <v>0</v>
      </c>
      <c r="J26" s="243">
        <v>2.6396700000000002</v>
      </c>
      <c r="K26" s="243">
        <v>2.6396700000000002</v>
      </c>
      <c r="L26" s="243">
        <v>2.5857000000000001</v>
      </c>
      <c r="M26" s="243">
        <f t="shared" si="6"/>
        <v>7.8650400000000005</v>
      </c>
    </row>
    <row r="27" spans="6:13" ht="15.75" thickBot="1" x14ac:dyDescent="0.3">
      <c r="G27" s="256" t="s">
        <v>164</v>
      </c>
      <c r="H27" s="257">
        <f t="shared" ref="H27:M27" si="7">SUM(H14:H26)</f>
        <v>15.088000000000001</v>
      </c>
      <c r="I27" s="258">
        <f t="shared" si="7"/>
        <v>53.715000000000003</v>
      </c>
      <c r="J27" s="259">
        <f t="shared" si="7"/>
        <v>147.42010504666669</v>
      </c>
      <c r="K27" s="259">
        <f t="shared" si="7"/>
        <v>204.57186154666667</v>
      </c>
      <c r="L27" s="260">
        <f t="shared" si="7"/>
        <v>111.14348966666607</v>
      </c>
      <c r="M27" s="257">
        <f t="shared" si="7"/>
        <v>531.9384562599995</v>
      </c>
    </row>
    <row r="28" spans="6:13" ht="16.5" thickTop="1" thickBot="1" x14ac:dyDescent="0.3">
      <c r="G28" s="261" t="s">
        <v>197</v>
      </c>
      <c r="H28" s="262">
        <f t="shared" ref="H28:M28" si="8">H12-H27</f>
        <v>3.3119999999999976</v>
      </c>
      <c r="I28" s="263">
        <f t="shared" si="8"/>
        <v>-38.281000000000006</v>
      </c>
      <c r="J28" s="264">
        <f t="shared" si="8"/>
        <v>127.86666333333326</v>
      </c>
      <c r="K28" s="264">
        <f t="shared" si="8"/>
        <v>-6.7328983333335657</v>
      </c>
      <c r="L28" s="264">
        <f t="shared" si="8"/>
        <v>-86.164764999999633</v>
      </c>
      <c r="M28" s="249">
        <f t="shared" si="8"/>
        <v>0</v>
      </c>
    </row>
    <row r="31" spans="6:13" x14ac:dyDescent="0.25">
      <c r="F31" s="335"/>
      <c r="G31" s="335"/>
      <c r="H31" s="335"/>
      <c r="I31" s="335"/>
    </row>
  </sheetData>
  <mergeCells count="4">
    <mergeCell ref="G13:M13"/>
    <mergeCell ref="B1:E1"/>
    <mergeCell ref="G1:M1"/>
    <mergeCell ref="P1:Y1"/>
  </mergeCells>
  <pageMargins left="0.7" right="0.7" top="0.75" bottom="0.75" header="0.3" footer="0.3"/>
  <pageSetup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D3" sqref="D3"/>
    </sheetView>
  </sheetViews>
  <sheetFormatPr defaultRowHeight="15" x14ac:dyDescent="0.25"/>
  <cols>
    <col min="2" max="2" width="30.28515625" customWidth="1"/>
    <col min="3" max="3" width="61.42578125" customWidth="1"/>
  </cols>
  <sheetData>
    <row r="1" spans="2:5" ht="35.25" customHeight="1" x14ac:dyDescent="0.25">
      <c r="B1" s="346" t="s">
        <v>402</v>
      </c>
    </row>
    <row r="2" spans="2:5" ht="15.75" thickBot="1" x14ac:dyDescent="0.3">
      <c r="B2" s="25" t="s">
        <v>400</v>
      </c>
      <c r="C2" s="275"/>
    </row>
    <row r="3" spans="2:5" ht="18" customHeight="1" thickBot="1" x14ac:dyDescent="0.3">
      <c r="B3" s="386" t="s">
        <v>34</v>
      </c>
      <c r="C3" s="387"/>
      <c r="D3" s="353" t="s">
        <v>401</v>
      </c>
      <c r="E3" s="347"/>
    </row>
    <row r="4" spans="2:5" ht="25.5" x14ac:dyDescent="0.25">
      <c r="B4" s="46" t="s">
        <v>35</v>
      </c>
      <c r="C4" s="348" t="s">
        <v>36</v>
      </c>
      <c r="D4" s="354"/>
    </row>
    <row r="5" spans="2:5" ht="25.5" x14ac:dyDescent="0.25">
      <c r="B5" s="47" t="s">
        <v>37</v>
      </c>
      <c r="C5" s="349" t="s">
        <v>38</v>
      </c>
      <c r="D5" s="355"/>
    </row>
    <row r="6" spans="2:5" x14ac:dyDescent="0.25">
      <c r="B6" s="388" t="s">
        <v>39</v>
      </c>
      <c r="C6" s="350" t="s">
        <v>40</v>
      </c>
      <c r="D6" s="355"/>
    </row>
    <row r="7" spans="2:5" x14ac:dyDescent="0.25">
      <c r="B7" s="388"/>
      <c r="C7" s="351" t="s">
        <v>41</v>
      </c>
      <c r="D7" s="355"/>
    </row>
    <row r="8" spans="2:5" ht="25.5" x14ac:dyDescent="0.25">
      <c r="B8" s="388" t="s">
        <v>42</v>
      </c>
      <c r="C8" s="350" t="s">
        <v>43</v>
      </c>
      <c r="D8" s="355"/>
    </row>
    <row r="9" spans="2:5" x14ac:dyDescent="0.25">
      <c r="B9" s="388"/>
      <c r="C9" s="351" t="s">
        <v>44</v>
      </c>
      <c r="D9" s="355"/>
    </row>
    <row r="10" spans="2:5" ht="25.5" x14ac:dyDescent="0.25">
      <c r="B10" s="47" t="s">
        <v>45</v>
      </c>
      <c r="C10" s="349" t="s">
        <v>46</v>
      </c>
      <c r="D10" s="355"/>
    </row>
    <row r="11" spans="2:5" ht="25.5" x14ac:dyDescent="0.25">
      <c r="B11" s="388" t="s">
        <v>47</v>
      </c>
      <c r="C11" s="350" t="s">
        <v>48</v>
      </c>
      <c r="D11" s="355"/>
    </row>
    <row r="12" spans="2:5" ht="25.5" x14ac:dyDescent="0.25">
      <c r="B12" s="388"/>
      <c r="C12" s="351" t="s">
        <v>49</v>
      </c>
      <c r="D12" s="355"/>
    </row>
    <row r="13" spans="2:5" ht="26.25" thickBot="1" x14ac:dyDescent="0.3">
      <c r="B13" s="48" t="s">
        <v>50</v>
      </c>
      <c r="C13" s="352" t="s">
        <v>51</v>
      </c>
      <c r="D13" s="356"/>
    </row>
  </sheetData>
  <mergeCells count="4">
    <mergeCell ref="B3:C3"/>
    <mergeCell ref="B6:B7"/>
    <mergeCell ref="B8:B9"/>
    <mergeCell ref="B11:B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workbookViewId="0">
      <selection activeCell="F2" sqref="F2"/>
    </sheetView>
  </sheetViews>
  <sheetFormatPr defaultRowHeight="15" x14ac:dyDescent="0.25"/>
  <cols>
    <col min="1" max="1" width="3.28515625" customWidth="1"/>
    <col min="2" max="2" width="23.5703125" customWidth="1"/>
    <col min="3" max="3" width="77.140625" customWidth="1"/>
  </cols>
  <sheetData>
    <row r="1" spans="2:4" x14ac:dyDescent="0.25">
      <c r="B1" s="346" t="s">
        <v>327</v>
      </c>
    </row>
    <row r="2" spans="2:4" ht="15.75" thickBot="1" x14ac:dyDescent="0.3">
      <c r="B2" s="25" t="s">
        <v>403</v>
      </c>
      <c r="C2" s="52"/>
    </row>
    <row r="3" spans="2:4" ht="15.75" thickBot="1" x14ac:dyDescent="0.3">
      <c r="B3" s="386" t="s">
        <v>52</v>
      </c>
      <c r="C3" s="390"/>
      <c r="D3" s="353" t="s">
        <v>401</v>
      </c>
    </row>
    <row r="4" spans="2:4" ht="25.5" x14ac:dyDescent="0.25">
      <c r="B4" s="391" t="s">
        <v>53</v>
      </c>
      <c r="C4" s="357" t="s">
        <v>54</v>
      </c>
      <c r="D4" s="358"/>
    </row>
    <row r="5" spans="2:4" ht="39" thickBot="1" x14ac:dyDescent="0.3">
      <c r="B5" s="388"/>
      <c r="C5" s="351" t="s">
        <v>55</v>
      </c>
      <c r="D5" s="359"/>
    </row>
    <row r="6" spans="2:4" x14ac:dyDescent="0.25">
      <c r="B6" s="388" t="s">
        <v>56</v>
      </c>
      <c r="C6" s="350" t="s">
        <v>57</v>
      </c>
      <c r="D6" s="358"/>
    </row>
    <row r="7" spans="2:4" ht="25.5" x14ac:dyDescent="0.25">
      <c r="B7" s="388"/>
      <c r="C7" s="360" t="s">
        <v>58</v>
      </c>
      <c r="D7" s="361"/>
    </row>
    <row r="8" spans="2:4" ht="15.75" thickBot="1" x14ac:dyDescent="0.3">
      <c r="B8" s="388"/>
      <c r="C8" s="351" t="s">
        <v>59</v>
      </c>
      <c r="D8" s="359"/>
    </row>
    <row r="9" spans="2:4" x14ac:dyDescent="0.25">
      <c r="B9" s="388" t="s">
        <v>60</v>
      </c>
      <c r="C9" s="350" t="s">
        <v>61</v>
      </c>
      <c r="D9" s="358"/>
    </row>
    <row r="10" spans="2:4" ht="26.25" thickBot="1" x14ac:dyDescent="0.3">
      <c r="B10" s="388"/>
      <c r="C10" s="351" t="s">
        <v>62</v>
      </c>
      <c r="D10" s="359"/>
    </row>
    <row r="11" spans="2:4" ht="15.75" customHeight="1" thickBot="1" x14ac:dyDescent="0.3">
      <c r="B11" s="47" t="s">
        <v>63</v>
      </c>
      <c r="C11" s="349" t="s">
        <v>64</v>
      </c>
      <c r="D11" s="18"/>
    </row>
    <row r="12" spans="2:4" ht="38.25" x14ac:dyDescent="0.25">
      <c r="B12" s="388" t="s">
        <v>65</v>
      </c>
      <c r="C12" s="350" t="s">
        <v>66</v>
      </c>
      <c r="D12" s="358"/>
    </row>
    <row r="13" spans="2:4" ht="25.5" x14ac:dyDescent="0.25">
      <c r="B13" s="388"/>
      <c r="C13" s="360" t="s">
        <v>67</v>
      </c>
      <c r="D13" s="361"/>
    </row>
    <row r="14" spans="2:4" x14ac:dyDescent="0.25">
      <c r="B14" s="388"/>
      <c r="C14" s="360" t="s">
        <v>68</v>
      </c>
      <c r="D14" s="361"/>
    </row>
    <row r="15" spans="2:4" ht="26.25" thickBot="1" x14ac:dyDescent="0.3">
      <c r="B15" s="388"/>
      <c r="C15" s="351" t="s">
        <v>69</v>
      </c>
      <c r="D15" s="359"/>
    </row>
    <row r="16" spans="2:4" ht="26.25" thickBot="1" x14ac:dyDescent="0.3">
      <c r="B16" s="47" t="s">
        <v>70</v>
      </c>
      <c r="C16" s="349" t="s">
        <v>71</v>
      </c>
      <c r="D16" s="18"/>
    </row>
    <row r="17" spans="2:4" ht="38.25" x14ac:dyDescent="0.25">
      <c r="B17" s="388" t="s">
        <v>72</v>
      </c>
      <c r="C17" s="350" t="s">
        <v>73</v>
      </c>
      <c r="D17" s="358"/>
    </row>
    <row r="18" spans="2:4" x14ac:dyDescent="0.25">
      <c r="B18" s="388"/>
      <c r="C18" s="360" t="s">
        <v>74</v>
      </c>
      <c r="D18" s="361"/>
    </row>
    <row r="19" spans="2:4" ht="25.5" x14ac:dyDescent="0.25">
      <c r="B19" s="388"/>
      <c r="C19" s="360" t="s">
        <v>75</v>
      </c>
      <c r="D19" s="361"/>
    </row>
    <row r="20" spans="2:4" ht="15.75" customHeight="1" x14ac:dyDescent="0.25">
      <c r="B20" s="388"/>
      <c r="C20" s="360" t="s">
        <v>76</v>
      </c>
      <c r="D20" s="361"/>
    </row>
    <row r="21" spans="2:4" ht="25.5" x14ac:dyDescent="0.25">
      <c r="B21" s="388"/>
      <c r="C21" s="360" t="s">
        <v>77</v>
      </c>
      <c r="D21" s="361"/>
    </row>
    <row r="22" spans="2:4" ht="26.25" thickBot="1" x14ac:dyDescent="0.3">
      <c r="B22" s="388"/>
      <c r="C22" s="351" t="s">
        <v>78</v>
      </c>
      <c r="D22" s="359"/>
    </row>
    <row r="23" spans="2:4" x14ac:dyDescent="0.25">
      <c r="B23" s="388" t="s">
        <v>79</v>
      </c>
      <c r="C23" s="350" t="s">
        <v>80</v>
      </c>
      <c r="D23" s="358"/>
    </row>
    <row r="24" spans="2:4" ht="26.25" thickBot="1" x14ac:dyDescent="0.3">
      <c r="B24" s="388"/>
      <c r="C24" s="351" t="s">
        <v>81</v>
      </c>
      <c r="D24" s="359"/>
    </row>
    <row r="25" spans="2:4" ht="15.75" thickBot="1" x14ac:dyDescent="0.3">
      <c r="B25" s="47" t="s">
        <v>82</v>
      </c>
      <c r="C25" s="349" t="s">
        <v>83</v>
      </c>
      <c r="D25" s="18"/>
    </row>
    <row r="26" spans="2:4" ht="25.5" x14ac:dyDescent="0.25">
      <c r="B26" s="388" t="s">
        <v>84</v>
      </c>
      <c r="C26" s="350" t="s">
        <v>85</v>
      </c>
      <c r="D26" s="358"/>
    </row>
    <row r="27" spans="2:4" ht="15.75" customHeight="1" thickBot="1" x14ac:dyDescent="0.3">
      <c r="B27" s="388"/>
      <c r="C27" s="351" t="s">
        <v>86</v>
      </c>
      <c r="D27" s="359"/>
    </row>
    <row r="28" spans="2:4" ht="15.75" customHeight="1" x14ac:dyDescent="0.25">
      <c r="B28" s="388" t="s">
        <v>87</v>
      </c>
      <c r="C28" s="350" t="s">
        <v>88</v>
      </c>
      <c r="D28" s="358"/>
    </row>
    <row r="29" spans="2:4" ht="15.75" customHeight="1" x14ac:dyDescent="0.25">
      <c r="B29" s="388"/>
      <c r="C29" s="360" t="s">
        <v>89</v>
      </c>
      <c r="D29" s="361"/>
    </row>
    <row r="30" spans="2:4" ht="15.75" thickBot="1" x14ac:dyDescent="0.3">
      <c r="B30" s="389"/>
      <c r="C30" s="362" t="s">
        <v>90</v>
      </c>
      <c r="D30" s="359"/>
    </row>
  </sheetData>
  <mergeCells count="9">
    <mergeCell ref="B23:B24"/>
    <mergeCell ref="B26:B27"/>
    <mergeCell ref="B28:B30"/>
    <mergeCell ref="B3:C3"/>
    <mergeCell ref="B4:B5"/>
    <mergeCell ref="B6:B8"/>
    <mergeCell ref="B9:B10"/>
    <mergeCell ref="B12:B15"/>
    <mergeCell ref="B17: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
  <sheetViews>
    <sheetView workbookViewId="0">
      <selection activeCell="B2" sqref="B2"/>
    </sheetView>
  </sheetViews>
  <sheetFormatPr defaultRowHeight="15" x14ac:dyDescent="0.25"/>
  <cols>
    <col min="1" max="1" width="4.42578125" customWidth="1"/>
    <col min="2" max="2" width="18.140625" bestFit="1" customWidth="1"/>
    <col min="3" max="4" width="5.5703125" customWidth="1"/>
    <col min="5" max="8" width="5.7109375" customWidth="1"/>
    <col min="9" max="10" width="5.5703125" customWidth="1"/>
    <col min="11" max="12" width="5.7109375" customWidth="1"/>
    <col min="13" max="13" width="10.7109375" customWidth="1"/>
    <col min="15" max="15" width="49.140625" bestFit="1" customWidth="1"/>
    <col min="16" max="16" width="10.7109375" bestFit="1" customWidth="1"/>
  </cols>
  <sheetData>
    <row r="1" spans="2:15" ht="39" customHeight="1" thickBot="1" x14ac:dyDescent="0.3">
      <c r="B1" s="372" t="s">
        <v>418</v>
      </c>
      <c r="C1" s="372"/>
      <c r="D1" s="372"/>
      <c r="E1" s="372"/>
      <c r="F1" s="372"/>
      <c r="G1" s="372"/>
      <c r="H1" s="372"/>
      <c r="I1" s="372"/>
      <c r="J1" s="372"/>
      <c r="K1" s="372"/>
      <c r="L1" s="372"/>
      <c r="O1" s="346" t="s">
        <v>338</v>
      </c>
    </row>
    <row r="2" spans="2:15" ht="15.75" thickBot="1" x14ac:dyDescent="0.3">
      <c r="B2" s="368" t="s">
        <v>417</v>
      </c>
      <c r="C2" s="366"/>
      <c r="D2" s="366"/>
      <c r="E2" s="366"/>
      <c r="F2" s="366"/>
      <c r="G2" s="366"/>
      <c r="H2" s="366"/>
      <c r="I2" s="366"/>
      <c r="J2" s="366"/>
      <c r="K2" s="366"/>
      <c r="L2" s="366"/>
      <c r="O2" s="25" t="s">
        <v>417</v>
      </c>
    </row>
    <row r="3" spans="2:15" ht="30" customHeight="1" thickBot="1" x14ac:dyDescent="0.3">
      <c r="B3" s="23" t="s">
        <v>145</v>
      </c>
      <c r="C3" s="378" t="s">
        <v>146</v>
      </c>
      <c r="D3" s="378"/>
      <c r="E3" s="379">
        <v>2017</v>
      </c>
      <c r="F3" s="379"/>
      <c r="G3" s="379">
        <v>2018</v>
      </c>
      <c r="H3" s="379"/>
      <c r="I3" s="379">
        <v>2019</v>
      </c>
      <c r="J3" s="379"/>
      <c r="K3" s="379">
        <v>2020</v>
      </c>
      <c r="L3" s="379"/>
    </row>
    <row r="4" spans="2:15" ht="15.75" thickBot="1" x14ac:dyDescent="0.3">
      <c r="B4" s="18" t="s">
        <v>147</v>
      </c>
      <c r="C4" s="377" t="s">
        <v>1</v>
      </c>
      <c r="D4" s="377"/>
      <c r="E4" s="377"/>
      <c r="F4" s="19"/>
      <c r="G4" s="21"/>
      <c r="H4" s="22"/>
      <c r="I4" s="21"/>
      <c r="J4" s="22"/>
      <c r="K4" s="21"/>
      <c r="L4" s="22"/>
    </row>
    <row r="5" spans="2:15" ht="15.75" thickBot="1" x14ac:dyDescent="0.3">
      <c r="B5" s="18" t="s">
        <v>148</v>
      </c>
      <c r="C5" s="21"/>
      <c r="D5" s="22"/>
      <c r="E5" s="373" t="s">
        <v>1</v>
      </c>
      <c r="F5" s="373"/>
      <c r="G5" s="21"/>
      <c r="H5" s="22"/>
      <c r="I5" s="21"/>
      <c r="J5" s="22"/>
      <c r="K5" s="21"/>
      <c r="L5" s="22"/>
    </row>
    <row r="6" spans="2:15" ht="15.75" thickBot="1" x14ac:dyDescent="0.3">
      <c r="B6" s="18" t="s">
        <v>149</v>
      </c>
      <c r="C6" s="21"/>
      <c r="D6" s="22"/>
      <c r="E6" s="18"/>
      <c r="F6" s="20" t="s">
        <v>1</v>
      </c>
      <c r="G6" s="21"/>
      <c r="H6" s="22"/>
      <c r="I6" s="21"/>
      <c r="J6" s="22"/>
      <c r="K6" s="21"/>
      <c r="L6" s="22"/>
    </row>
    <row r="7" spans="2:15" ht="15.75" thickBot="1" x14ac:dyDescent="0.3">
      <c r="B7" s="18" t="s">
        <v>150</v>
      </c>
      <c r="C7" s="21"/>
      <c r="D7" s="22"/>
      <c r="E7" s="374" t="s">
        <v>1</v>
      </c>
      <c r="F7" s="374"/>
      <c r="G7" s="21"/>
      <c r="H7" s="22"/>
      <c r="I7" s="21"/>
      <c r="J7" s="22"/>
      <c r="K7" s="21"/>
      <c r="L7" s="22"/>
    </row>
    <row r="8" spans="2:15" ht="15.75" thickBot="1" x14ac:dyDescent="0.3">
      <c r="B8" s="18" t="s">
        <v>151</v>
      </c>
      <c r="C8" s="21"/>
      <c r="D8" s="22"/>
      <c r="E8" s="375" t="s">
        <v>1</v>
      </c>
      <c r="F8" s="375"/>
      <c r="G8" s="375"/>
      <c r="H8" s="18"/>
      <c r="I8" s="21"/>
      <c r="J8" s="22"/>
      <c r="K8" s="21"/>
      <c r="L8" s="22"/>
    </row>
    <row r="9" spans="2:15" ht="15.75" thickBot="1" x14ac:dyDescent="0.3">
      <c r="B9" s="18" t="s">
        <v>0</v>
      </c>
      <c r="C9" s="21"/>
      <c r="D9" s="22"/>
      <c r="E9" s="21"/>
      <c r="F9" s="22"/>
      <c r="G9" s="376" t="s">
        <v>1</v>
      </c>
      <c r="H9" s="376"/>
      <c r="I9" s="376"/>
      <c r="J9" s="376"/>
      <c r="K9" s="376"/>
      <c r="L9" s="18"/>
    </row>
  </sheetData>
  <mergeCells count="11">
    <mergeCell ref="B1:L1"/>
    <mergeCell ref="E5:F5"/>
    <mergeCell ref="E7:F7"/>
    <mergeCell ref="E8:G8"/>
    <mergeCell ref="G9:K9"/>
    <mergeCell ref="C4:E4"/>
    <mergeCell ref="C3:D3"/>
    <mergeCell ref="E3:F3"/>
    <mergeCell ref="G3:H3"/>
    <mergeCell ref="I3:J3"/>
    <mergeCell ref="K3:L3"/>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workbookViewId="0">
      <selection activeCell="C4" sqref="C4"/>
    </sheetView>
  </sheetViews>
  <sheetFormatPr defaultRowHeight="15" x14ac:dyDescent="0.25"/>
  <cols>
    <col min="2" max="2" width="31.28515625" customWidth="1"/>
    <col min="3" max="3" width="44.28515625" customWidth="1"/>
    <col min="4" max="4" width="13.7109375" bestFit="1" customWidth="1"/>
  </cols>
  <sheetData>
    <row r="1" spans="2:4" x14ac:dyDescent="0.25">
      <c r="B1" s="346" t="s">
        <v>326</v>
      </c>
      <c r="C1" s="6"/>
    </row>
    <row r="2" spans="2:4" x14ac:dyDescent="0.25">
      <c r="B2" s="346"/>
      <c r="C2" s="6"/>
    </row>
    <row r="3" spans="2:4" x14ac:dyDescent="0.25">
      <c r="B3" s="49" t="s">
        <v>125</v>
      </c>
      <c r="C3" s="49" t="s">
        <v>440</v>
      </c>
      <c r="D3" s="49" t="s">
        <v>198</v>
      </c>
    </row>
    <row r="4" spans="2:4" ht="25.5" x14ac:dyDescent="0.25">
      <c r="B4" s="50" t="s">
        <v>126</v>
      </c>
      <c r="C4" s="50" t="s">
        <v>127</v>
      </c>
      <c r="D4" s="51" t="s">
        <v>199</v>
      </c>
    </row>
    <row r="5" spans="2:4" ht="25.5" x14ac:dyDescent="0.25">
      <c r="B5" s="50" t="s">
        <v>128</v>
      </c>
      <c r="C5" s="50" t="s">
        <v>129</v>
      </c>
      <c r="D5" s="51" t="s">
        <v>200</v>
      </c>
    </row>
    <row r="6" spans="2:4" ht="25.5" x14ac:dyDescent="0.25">
      <c r="B6" s="50" t="s">
        <v>130</v>
      </c>
      <c r="C6" s="50" t="s">
        <v>131</v>
      </c>
      <c r="D6" s="51" t="s">
        <v>199</v>
      </c>
    </row>
    <row r="7" spans="2:4" ht="25.5" x14ac:dyDescent="0.25">
      <c r="B7" s="50" t="s">
        <v>130</v>
      </c>
      <c r="C7" s="50" t="s">
        <v>132</v>
      </c>
      <c r="D7" s="51" t="s">
        <v>199</v>
      </c>
    </row>
    <row r="8" spans="2:4" ht="25.5" x14ac:dyDescent="0.25">
      <c r="B8" s="50" t="s">
        <v>130</v>
      </c>
      <c r="C8" s="50" t="s">
        <v>133</v>
      </c>
      <c r="D8" s="51" t="s">
        <v>200</v>
      </c>
    </row>
    <row r="9" spans="2:4" ht="25.5" x14ac:dyDescent="0.25">
      <c r="B9" s="50" t="s">
        <v>134</v>
      </c>
      <c r="C9" s="50" t="s">
        <v>135</v>
      </c>
      <c r="D9" s="51" t="s">
        <v>199</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workbookViewId="0">
      <selection activeCell="F5" sqref="F5"/>
    </sheetView>
  </sheetViews>
  <sheetFormatPr defaultRowHeight="15" x14ac:dyDescent="0.25"/>
  <cols>
    <col min="2" max="2" width="36.28515625" customWidth="1"/>
    <col min="3" max="3" width="62.5703125" customWidth="1"/>
    <col min="4" max="4" width="11.42578125" customWidth="1"/>
    <col min="5" max="5" width="15" customWidth="1"/>
  </cols>
  <sheetData>
    <row r="1" spans="2:5" ht="27.75" customHeight="1" x14ac:dyDescent="0.25">
      <c r="B1" s="371" t="s">
        <v>325</v>
      </c>
      <c r="C1" s="371"/>
    </row>
    <row r="2" spans="2:5" x14ac:dyDescent="0.25">
      <c r="B2" s="307" t="s">
        <v>407</v>
      </c>
      <c r="C2" s="52"/>
    </row>
    <row r="3" spans="2:5" s="6" customFormat="1" ht="45" x14ac:dyDescent="0.25">
      <c r="B3" s="54" t="s">
        <v>100</v>
      </c>
      <c r="C3" s="54" t="s">
        <v>404</v>
      </c>
      <c r="D3" s="54" t="s">
        <v>405</v>
      </c>
      <c r="E3" s="54" t="s">
        <v>406</v>
      </c>
    </row>
    <row r="4" spans="2:5" x14ac:dyDescent="0.25">
      <c r="B4" s="54" t="s">
        <v>99</v>
      </c>
      <c r="C4" s="54"/>
      <c r="D4" s="54"/>
      <c r="E4" s="54"/>
    </row>
    <row r="5" spans="2:5" ht="105" x14ac:dyDescent="0.25">
      <c r="B5" s="54" t="s">
        <v>98</v>
      </c>
      <c r="C5" s="54" t="s">
        <v>201</v>
      </c>
      <c r="D5" s="54"/>
      <c r="E5" s="54"/>
    </row>
    <row r="6" spans="2:5" x14ac:dyDescent="0.25">
      <c r="B6" s="54" t="s">
        <v>97</v>
      </c>
      <c r="C6" s="54"/>
      <c r="D6" s="54"/>
      <c r="E6" s="54"/>
    </row>
    <row r="7" spans="2:5" ht="75" x14ac:dyDescent="0.25">
      <c r="B7" s="54" t="s">
        <v>96</v>
      </c>
      <c r="C7" s="54" t="s">
        <v>95</v>
      </c>
      <c r="D7" s="54"/>
      <c r="E7" s="54"/>
    </row>
    <row r="8" spans="2:5" x14ac:dyDescent="0.25">
      <c r="B8" s="54" t="s">
        <v>94</v>
      </c>
      <c r="C8" s="54"/>
      <c r="D8" s="54"/>
      <c r="E8" s="54"/>
    </row>
    <row r="9" spans="2:5" ht="60" x14ac:dyDescent="0.25">
      <c r="B9" s="54" t="s">
        <v>93</v>
      </c>
      <c r="C9" s="54" t="s">
        <v>203</v>
      </c>
      <c r="D9" s="54"/>
      <c r="E9" s="54"/>
    </row>
    <row r="10" spans="2:5" x14ac:dyDescent="0.25">
      <c r="B10" s="54" t="s">
        <v>92</v>
      </c>
      <c r="C10" s="54"/>
      <c r="D10" s="54"/>
      <c r="E10" s="54"/>
    </row>
    <row r="11" spans="2:5" ht="47.25" customHeight="1" x14ac:dyDescent="0.25">
      <c r="B11" s="54" t="s">
        <v>91</v>
      </c>
      <c r="C11" s="54" t="s">
        <v>202</v>
      </c>
      <c r="D11" s="54"/>
      <c r="E11" s="54"/>
    </row>
    <row r="30" spans="3:3" x14ac:dyDescent="0.25">
      <c r="C30" s="7"/>
    </row>
  </sheetData>
  <mergeCells count="1">
    <mergeCell ref="B1:C1"/>
  </mergeCell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workbookViewId="0">
      <selection activeCell="D9" sqref="D9"/>
    </sheetView>
  </sheetViews>
  <sheetFormatPr defaultRowHeight="15" x14ac:dyDescent="0.25"/>
  <cols>
    <col min="2" max="2" width="34.28515625" customWidth="1"/>
    <col min="3" max="3" width="57.28515625" customWidth="1"/>
    <col min="4" max="4" width="13.5703125" customWidth="1"/>
    <col min="5" max="5" width="13.140625" style="8" customWidth="1"/>
    <col min="6" max="6" width="46.42578125" style="8" customWidth="1"/>
  </cols>
  <sheetData>
    <row r="1" spans="2:5" ht="39" customHeight="1" x14ac:dyDescent="0.25">
      <c r="B1" s="371" t="s">
        <v>324</v>
      </c>
      <c r="C1" s="371"/>
    </row>
    <row r="2" spans="2:5" x14ac:dyDescent="0.25">
      <c r="B2" s="307" t="s">
        <v>410</v>
      </c>
      <c r="C2" s="52"/>
    </row>
    <row r="3" spans="2:5" ht="38.25" customHeight="1" x14ac:dyDescent="0.25">
      <c r="B3" s="54" t="s">
        <v>100</v>
      </c>
      <c r="C3" s="54" t="s">
        <v>404</v>
      </c>
      <c r="D3" s="54" t="s">
        <v>405</v>
      </c>
      <c r="E3" s="54" t="s">
        <v>406</v>
      </c>
    </row>
    <row r="4" spans="2:5" x14ac:dyDescent="0.25">
      <c r="B4" s="54" t="s">
        <v>101</v>
      </c>
      <c r="C4" s="54"/>
      <c r="D4" s="54"/>
      <c r="E4" s="363"/>
    </row>
    <row r="5" spans="2:5" ht="92.25" customHeight="1" x14ac:dyDescent="0.25">
      <c r="B5" s="54" t="s">
        <v>102</v>
      </c>
      <c r="C5" s="54" t="s">
        <v>204</v>
      </c>
      <c r="D5" s="54"/>
      <c r="E5" s="363"/>
    </row>
    <row r="6" spans="2:5" x14ac:dyDescent="0.25">
      <c r="B6" s="54" t="s">
        <v>103</v>
      </c>
      <c r="C6" s="54"/>
      <c r="D6" s="54"/>
      <c r="E6" s="363"/>
    </row>
    <row r="7" spans="2:5" ht="90" x14ac:dyDescent="0.25">
      <c r="B7" s="54" t="s">
        <v>104</v>
      </c>
      <c r="C7" s="54" t="s">
        <v>205</v>
      </c>
      <c r="D7" s="54"/>
      <c r="E7" s="363"/>
    </row>
    <row r="8" spans="2:5" x14ac:dyDescent="0.25">
      <c r="B8" s="54" t="s">
        <v>105</v>
      </c>
      <c r="C8" s="54"/>
      <c r="D8" s="54"/>
      <c r="E8" s="363"/>
    </row>
    <row r="9" spans="2:5" ht="120" x14ac:dyDescent="0.25">
      <c r="B9" s="54" t="s">
        <v>106</v>
      </c>
      <c r="C9" s="54" t="s">
        <v>107</v>
      </c>
      <c r="D9" s="54"/>
      <c r="E9" s="363"/>
    </row>
    <row r="10" spans="2:5" x14ac:dyDescent="0.25">
      <c r="B10" s="54" t="s">
        <v>108</v>
      </c>
      <c r="C10" s="54"/>
      <c r="D10" s="54"/>
      <c r="E10" s="363"/>
    </row>
    <row r="11" spans="2:5" ht="75" x14ac:dyDescent="0.25">
      <c r="B11" s="54" t="s">
        <v>109</v>
      </c>
      <c r="C11" s="54" t="s">
        <v>110</v>
      </c>
      <c r="D11" s="54"/>
      <c r="E11" s="363"/>
    </row>
    <row r="12" spans="2:5" x14ac:dyDescent="0.25">
      <c r="B12" s="54" t="s">
        <v>111</v>
      </c>
      <c r="C12" s="54"/>
      <c r="D12" s="54"/>
      <c r="E12" s="363"/>
    </row>
    <row r="13" spans="2:5" ht="60" x14ac:dyDescent="0.25">
      <c r="B13" s="54" t="s">
        <v>112</v>
      </c>
      <c r="C13" s="54" t="s">
        <v>113</v>
      </c>
      <c r="D13" s="54"/>
      <c r="E13" s="363"/>
    </row>
    <row r="14" spans="2:5" x14ac:dyDescent="0.25">
      <c r="B14" s="54" t="s">
        <v>114</v>
      </c>
      <c r="C14" s="54"/>
      <c r="D14" s="54"/>
      <c r="E14" s="363"/>
    </row>
    <row r="15" spans="2:5" ht="60" x14ac:dyDescent="0.25">
      <c r="B15" s="54" t="s">
        <v>115</v>
      </c>
      <c r="C15" s="54" t="s">
        <v>202</v>
      </c>
      <c r="D15" s="54"/>
      <c r="E15" s="363"/>
    </row>
    <row r="16" spans="2:5" x14ac:dyDescent="0.25">
      <c r="B16" s="54" t="s">
        <v>116</v>
      </c>
      <c r="C16" s="54"/>
      <c r="D16" s="54"/>
      <c r="E16" s="363"/>
    </row>
    <row r="17" spans="2:5" ht="90" x14ac:dyDescent="0.25">
      <c r="B17" s="54" t="s">
        <v>117</v>
      </c>
      <c r="C17" s="54" t="s">
        <v>206</v>
      </c>
      <c r="D17" s="54"/>
      <c r="E17" s="363"/>
    </row>
    <row r="18" spans="2:5" x14ac:dyDescent="0.25">
      <c r="B18" s="54" t="s">
        <v>118</v>
      </c>
      <c r="C18" s="54"/>
      <c r="D18" s="54"/>
      <c r="E18" s="363"/>
    </row>
    <row r="19" spans="2:5" ht="75" x14ac:dyDescent="0.25">
      <c r="B19" s="54" t="s">
        <v>207</v>
      </c>
      <c r="C19" s="54" t="s">
        <v>208</v>
      </c>
      <c r="D19" s="54"/>
      <c r="E19" s="363"/>
    </row>
  </sheetData>
  <mergeCells count="1">
    <mergeCell ref="B1:C1"/>
  </mergeCells>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C5" sqref="C5"/>
    </sheetView>
  </sheetViews>
  <sheetFormatPr defaultRowHeight="15" x14ac:dyDescent="0.25"/>
  <cols>
    <col min="2" max="2" width="31.7109375" customWidth="1"/>
    <col min="3" max="3" width="58.5703125" customWidth="1"/>
    <col min="4" max="4" width="13.7109375" customWidth="1"/>
    <col min="5" max="5" width="14.42578125" customWidth="1"/>
  </cols>
  <sheetData>
    <row r="1" spans="2:5" x14ac:dyDescent="0.25">
      <c r="B1" s="371" t="s">
        <v>323</v>
      </c>
      <c r="C1" s="371"/>
    </row>
    <row r="2" spans="2:5" x14ac:dyDescent="0.25">
      <c r="B2" s="307" t="s">
        <v>409</v>
      </c>
      <c r="C2" s="52"/>
    </row>
    <row r="3" spans="2:5" ht="30" x14ac:dyDescent="0.25">
      <c r="B3" s="54" t="s">
        <v>100</v>
      </c>
      <c r="C3" s="54" t="s">
        <v>404</v>
      </c>
      <c r="D3" s="54" t="s">
        <v>405</v>
      </c>
      <c r="E3" s="54" t="s">
        <v>406</v>
      </c>
    </row>
    <row r="4" spans="2:5" x14ac:dyDescent="0.25">
      <c r="B4" s="52" t="s">
        <v>119</v>
      </c>
      <c r="C4" s="52"/>
      <c r="D4" s="54"/>
      <c r="E4" s="54"/>
    </row>
    <row r="5" spans="2:5" ht="105" x14ac:dyDescent="0.25">
      <c r="B5" s="54" t="s">
        <v>120</v>
      </c>
      <c r="C5" s="54" t="s">
        <v>209</v>
      </c>
      <c r="D5" s="54"/>
      <c r="E5" s="54"/>
    </row>
    <row r="6" spans="2:5" x14ac:dyDescent="0.25">
      <c r="B6" s="53" t="s">
        <v>121</v>
      </c>
      <c r="C6" s="54"/>
      <c r="D6" s="54"/>
      <c r="E6" s="54"/>
    </row>
    <row r="7" spans="2:5" ht="105" x14ac:dyDescent="0.25">
      <c r="B7" s="54" t="s">
        <v>122</v>
      </c>
      <c r="C7" s="54" t="s">
        <v>123</v>
      </c>
      <c r="D7" s="54"/>
      <c r="E7" s="54"/>
    </row>
  </sheetData>
  <mergeCells count="1">
    <mergeCell ref="B1:C1"/>
  </mergeCells>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workbookViewId="0">
      <selection activeCell="C5" sqref="C5"/>
    </sheetView>
  </sheetViews>
  <sheetFormatPr defaultRowHeight="15" x14ac:dyDescent="0.25"/>
  <cols>
    <col min="2" max="2" width="26.85546875" customWidth="1"/>
    <col min="3" max="3" width="33.7109375" customWidth="1"/>
    <col min="4" max="4" width="13.85546875" customWidth="1"/>
    <col min="5" max="5" width="11.42578125" customWidth="1"/>
    <col min="6" max="6" width="10.5703125" customWidth="1"/>
  </cols>
  <sheetData>
    <row r="1" spans="2:5" x14ac:dyDescent="0.25">
      <c r="B1" s="371" t="s">
        <v>322</v>
      </c>
      <c r="C1" s="371"/>
    </row>
    <row r="2" spans="2:5" x14ac:dyDescent="0.25">
      <c r="B2" s="307" t="s">
        <v>408</v>
      </c>
      <c r="C2" s="52"/>
    </row>
    <row r="3" spans="2:5" ht="30" x14ac:dyDescent="0.25">
      <c r="B3" s="53" t="s">
        <v>100</v>
      </c>
      <c r="C3" s="53" t="s">
        <v>404</v>
      </c>
      <c r="D3" s="54" t="s">
        <v>405</v>
      </c>
      <c r="E3" s="54" t="s">
        <v>406</v>
      </c>
    </row>
    <row r="4" spans="2:5" x14ac:dyDescent="0.25">
      <c r="B4" s="53" t="s">
        <v>124</v>
      </c>
      <c r="C4" s="53"/>
      <c r="D4" s="53"/>
      <c r="E4" s="53"/>
    </row>
    <row r="5" spans="2:5" ht="60" x14ac:dyDescent="0.25">
      <c r="B5" s="54" t="s">
        <v>210</v>
      </c>
      <c r="C5" s="54" t="s">
        <v>211</v>
      </c>
      <c r="D5" s="53"/>
      <c r="E5" s="53"/>
    </row>
    <row r="16" spans="2:5" x14ac:dyDescent="0.25">
      <c r="C16" s="14">
        <v>153000000</v>
      </c>
    </row>
    <row r="17" spans="3:3" x14ac:dyDescent="0.25">
      <c r="C17" s="14">
        <v>1700000000</v>
      </c>
    </row>
    <row r="18" spans="3:3" x14ac:dyDescent="0.25">
      <c r="C18" s="42">
        <f>C16/C17</f>
        <v>0.09</v>
      </c>
    </row>
  </sheetData>
  <mergeCells count="1">
    <mergeCell ref="B1:C1"/>
  </mergeCells>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tabSelected="1" workbookViewId="0">
      <selection activeCell="C20" sqref="C20"/>
    </sheetView>
  </sheetViews>
  <sheetFormatPr defaultRowHeight="15" x14ac:dyDescent="0.25"/>
  <cols>
    <col min="1" max="1" width="6" customWidth="1"/>
    <col min="2" max="2" width="7.28515625" style="9" bestFit="1" customWidth="1"/>
    <col min="3" max="3" width="44.5703125" style="9" customWidth="1"/>
    <col min="4" max="4" width="10.28515625" style="9" customWidth="1"/>
    <col min="5" max="5" width="9.28515625" style="9" customWidth="1"/>
    <col min="6" max="6" width="15.5703125" style="265" bestFit="1" customWidth="1"/>
  </cols>
  <sheetData>
    <row r="1" spans="2:6" x14ac:dyDescent="0.25">
      <c r="B1" s="346" t="s">
        <v>321</v>
      </c>
    </row>
    <row r="2" spans="2:6" x14ac:dyDescent="0.25">
      <c r="B2" s="364" t="s">
        <v>411</v>
      </c>
    </row>
    <row r="3" spans="2:6" ht="30" x14ac:dyDescent="0.25">
      <c r="B3" s="9" t="s">
        <v>296</v>
      </c>
      <c r="C3" s="9" t="s">
        <v>297</v>
      </c>
      <c r="D3" s="9" t="s">
        <v>298</v>
      </c>
      <c r="E3" s="6" t="s">
        <v>299</v>
      </c>
      <c r="F3" s="265" t="s">
        <v>300</v>
      </c>
    </row>
    <row r="4" spans="2:6" ht="15.75" x14ac:dyDescent="0.25">
      <c r="B4" s="365" t="s">
        <v>413</v>
      </c>
    </row>
    <row r="5" spans="2:6" x14ac:dyDescent="0.25">
      <c r="C5" s="9" t="s">
        <v>414</v>
      </c>
      <c r="D5" s="9" t="s">
        <v>312</v>
      </c>
      <c r="E5" s="9" t="s">
        <v>312</v>
      </c>
      <c r="F5" s="265">
        <v>0</v>
      </c>
    </row>
    <row r="6" spans="2:6" ht="15.75" x14ac:dyDescent="0.25">
      <c r="B6" s="365" t="s">
        <v>412</v>
      </c>
    </row>
    <row r="7" spans="2:6" x14ac:dyDescent="0.25">
      <c r="B7" s="9" t="s">
        <v>301</v>
      </c>
      <c r="C7" s="9" t="s">
        <v>310</v>
      </c>
      <c r="D7" s="9" t="s">
        <v>311</v>
      </c>
      <c r="E7" s="9" t="s">
        <v>312</v>
      </c>
      <c r="F7" s="265">
        <v>-426486</v>
      </c>
    </row>
    <row r="8" spans="2:6" x14ac:dyDescent="0.25">
      <c r="B8" s="9" t="s">
        <v>302</v>
      </c>
      <c r="C8" s="9" t="s">
        <v>313</v>
      </c>
      <c r="D8" s="9" t="s">
        <v>311</v>
      </c>
      <c r="E8" s="9" t="s">
        <v>312</v>
      </c>
      <c r="F8" s="265">
        <v>-1189318</v>
      </c>
    </row>
    <row r="9" spans="2:6" x14ac:dyDescent="0.25">
      <c r="B9" s="9" t="s">
        <v>303</v>
      </c>
      <c r="C9" s="9" t="s">
        <v>314</v>
      </c>
      <c r="D9" s="9" t="s">
        <v>311</v>
      </c>
      <c r="E9" s="9" t="s">
        <v>312</v>
      </c>
      <c r="F9" s="265">
        <v>-302000</v>
      </c>
    </row>
    <row r="10" spans="2:6" x14ac:dyDescent="0.25">
      <c r="B10" s="9" t="s">
        <v>304</v>
      </c>
      <c r="C10" s="9" t="s">
        <v>315</v>
      </c>
      <c r="D10" s="9" t="s">
        <v>311</v>
      </c>
      <c r="E10" s="9" t="s">
        <v>312</v>
      </c>
      <c r="F10" s="265">
        <v>-29669</v>
      </c>
    </row>
    <row r="11" spans="2:6" x14ac:dyDescent="0.25">
      <c r="B11" s="9" t="s">
        <v>305</v>
      </c>
      <c r="C11" s="9" t="s">
        <v>316</v>
      </c>
      <c r="D11" s="9" t="s">
        <v>311</v>
      </c>
      <c r="E11" s="9" t="s">
        <v>312</v>
      </c>
      <c r="F11" s="265">
        <v>-10000</v>
      </c>
    </row>
    <row r="12" spans="2:6" x14ac:dyDescent="0.25">
      <c r="B12" s="9" t="s">
        <v>306</v>
      </c>
      <c r="C12" s="9" t="s">
        <v>317</v>
      </c>
      <c r="D12" s="9" t="s">
        <v>311</v>
      </c>
      <c r="E12" s="9" t="s">
        <v>312</v>
      </c>
      <c r="F12" s="265">
        <v>-108000</v>
      </c>
    </row>
    <row r="13" spans="2:6" x14ac:dyDescent="0.25">
      <c r="B13" s="9" t="s">
        <v>307</v>
      </c>
      <c r="C13" s="9" t="s">
        <v>318</v>
      </c>
      <c r="D13" s="9" t="s">
        <v>311</v>
      </c>
      <c r="E13" s="9" t="s">
        <v>312</v>
      </c>
      <c r="F13" s="265">
        <v>-30000</v>
      </c>
    </row>
    <row r="14" spans="2:6" x14ac:dyDescent="0.25">
      <c r="B14" s="9" t="s">
        <v>308</v>
      </c>
      <c r="C14" s="9" t="s">
        <v>319</v>
      </c>
      <c r="D14" s="9" t="s">
        <v>311</v>
      </c>
      <c r="E14" s="9" t="s">
        <v>312</v>
      </c>
      <c r="F14" s="265">
        <v>-190000</v>
      </c>
    </row>
    <row r="15" spans="2:6" x14ac:dyDescent="0.25">
      <c r="B15" s="9" t="s">
        <v>309</v>
      </c>
      <c r="C15" s="9" t="s">
        <v>320</v>
      </c>
      <c r="D15" s="9" t="s">
        <v>311</v>
      </c>
      <c r="E15" s="9" t="s">
        <v>312</v>
      </c>
      <c r="F15" s="265">
        <v>44100</v>
      </c>
    </row>
    <row r="16" spans="2:6" x14ac:dyDescent="0.25">
      <c r="B16" s="192" t="s">
        <v>164</v>
      </c>
      <c r="C16" s="192"/>
      <c r="D16" s="192"/>
      <c r="E16" s="192"/>
      <c r="F16" s="266">
        <f>SUM(F7:F15)</f>
        <v>-2241373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workbookViewId="0">
      <selection activeCell="E22" sqref="E22"/>
    </sheetView>
  </sheetViews>
  <sheetFormatPr defaultRowHeight="15" x14ac:dyDescent="0.25"/>
  <cols>
    <col min="1" max="1" width="4.7109375" customWidth="1"/>
    <col min="2" max="2" width="49.140625" bestFit="1" customWidth="1"/>
    <col min="3" max="3" width="10.7109375" bestFit="1" customWidth="1"/>
    <col min="6" max="6" width="49.140625" bestFit="1" customWidth="1"/>
    <col min="7" max="7" width="10.7109375" bestFit="1" customWidth="1"/>
    <col min="8" max="8" width="11.140625" bestFit="1" customWidth="1"/>
  </cols>
  <sheetData>
    <row r="1" spans="2:8" ht="58.5" customHeight="1" x14ac:dyDescent="0.25">
      <c r="B1" s="278" t="s">
        <v>332</v>
      </c>
      <c r="F1" s="346" t="s">
        <v>337</v>
      </c>
    </row>
    <row r="2" spans="2:8" ht="23.25" customHeight="1" x14ac:dyDescent="0.25">
      <c r="B2" s="278" t="s">
        <v>340</v>
      </c>
      <c r="F2" s="52"/>
    </row>
    <row r="3" spans="2:8" ht="23.25" customHeight="1" thickBot="1" x14ac:dyDescent="0.3">
      <c r="B3" s="369" t="s">
        <v>419</v>
      </c>
      <c r="F3" s="307" t="s">
        <v>419</v>
      </c>
    </row>
    <row r="4" spans="2:8" ht="17.25" thickTop="1" thickBot="1" x14ac:dyDescent="0.3">
      <c r="B4" s="1" t="s">
        <v>2</v>
      </c>
      <c r="C4" s="10" t="s">
        <v>1</v>
      </c>
      <c r="F4" s="267" t="s">
        <v>2</v>
      </c>
      <c r="G4" s="268" t="s">
        <v>1</v>
      </c>
      <c r="H4" s="268" t="s">
        <v>333</v>
      </c>
    </row>
    <row r="5" spans="2:8" ht="16.5" thickTop="1" thickBot="1" x14ac:dyDescent="0.3">
      <c r="B5" s="2" t="s">
        <v>3</v>
      </c>
      <c r="C5" s="11">
        <v>42530</v>
      </c>
      <c r="F5" s="269" t="s">
        <v>3</v>
      </c>
      <c r="G5" s="270">
        <v>41417</v>
      </c>
      <c r="H5" s="270">
        <v>41417</v>
      </c>
    </row>
    <row r="6" spans="2:8" ht="15.75" thickBot="1" x14ac:dyDescent="0.3">
      <c r="B6" s="3" t="s">
        <v>4</v>
      </c>
      <c r="C6" s="12">
        <v>42563</v>
      </c>
      <c r="F6" s="271" t="s">
        <v>4</v>
      </c>
      <c r="G6" s="272">
        <v>41464</v>
      </c>
      <c r="H6" s="272">
        <v>41464</v>
      </c>
    </row>
    <row r="7" spans="2:8" ht="15.75" thickBot="1" x14ac:dyDescent="0.3">
      <c r="B7" s="2" t="s">
        <v>5</v>
      </c>
      <c r="C7" s="11">
        <v>42580</v>
      </c>
      <c r="F7" s="269" t="s">
        <v>5</v>
      </c>
      <c r="G7" s="270">
        <v>41485</v>
      </c>
      <c r="H7" s="270">
        <v>41485</v>
      </c>
    </row>
    <row r="8" spans="2:8" ht="15.75" thickBot="1" x14ac:dyDescent="0.3">
      <c r="B8" s="3" t="s">
        <v>6</v>
      </c>
      <c r="C8" s="12">
        <v>42648</v>
      </c>
      <c r="F8" s="271" t="s">
        <v>6</v>
      </c>
      <c r="G8" s="272">
        <v>41456</v>
      </c>
      <c r="H8" s="272">
        <v>41456</v>
      </c>
    </row>
    <row r="9" spans="2:8" ht="15.75" thickBot="1" x14ac:dyDescent="0.3">
      <c r="B9" s="4" t="s">
        <v>7</v>
      </c>
      <c r="C9" s="13">
        <v>42732</v>
      </c>
      <c r="F9" s="269" t="s">
        <v>7</v>
      </c>
      <c r="G9" s="270">
        <v>41562</v>
      </c>
      <c r="H9" s="270">
        <v>41562</v>
      </c>
    </row>
    <row r="10" spans="2:8" ht="15.75" thickBot="1" x14ac:dyDescent="0.3">
      <c r="B10" s="3" t="s">
        <v>8</v>
      </c>
      <c r="C10" s="12">
        <v>42882</v>
      </c>
      <c r="F10" s="271" t="s">
        <v>8</v>
      </c>
      <c r="G10" s="272">
        <v>41660</v>
      </c>
      <c r="H10" s="272">
        <v>41660</v>
      </c>
    </row>
    <row r="11" spans="2:8" ht="15.75" thickBot="1" x14ac:dyDescent="0.3">
      <c r="B11" s="4" t="s">
        <v>9</v>
      </c>
      <c r="C11" s="13">
        <v>42917</v>
      </c>
      <c r="F11" s="269" t="s">
        <v>9</v>
      </c>
      <c r="G11" s="270">
        <v>41699</v>
      </c>
      <c r="H11" s="270">
        <v>41699</v>
      </c>
    </row>
    <row r="12" spans="2:8" ht="15.75" thickBot="1" x14ac:dyDescent="0.3">
      <c r="B12" s="3" t="s">
        <v>10</v>
      </c>
      <c r="C12" s="12">
        <v>44104</v>
      </c>
      <c r="F12" s="271" t="s">
        <v>334</v>
      </c>
      <c r="G12" s="272">
        <v>41791</v>
      </c>
      <c r="H12" s="272">
        <v>41791</v>
      </c>
    </row>
    <row r="13" spans="2:8" ht="15.75" thickBot="1" x14ac:dyDescent="0.3">
      <c r="B13" s="16" t="s">
        <v>144</v>
      </c>
      <c r="C13" s="17">
        <v>44346</v>
      </c>
      <c r="F13" s="269" t="s">
        <v>10</v>
      </c>
      <c r="G13" s="270">
        <v>42674</v>
      </c>
      <c r="H13" s="270">
        <v>42674</v>
      </c>
    </row>
    <row r="14" spans="2:8" ht="15.75" thickBot="1" x14ac:dyDescent="0.3">
      <c r="F14" s="271" t="s">
        <v>335</v>
      </c>
      <c r="G14" s="273" t="s">
        <v>336</v>
      </c>
      <c r="H14" s="272">
        <v>42914</v>
      </c>
    </row>
    <row r="15" spans="2:8" ht="15.75" thickBot="1" x14ac:dyDescent="0.3">
      <c r="F15" s="269" t="s">
        <v>144</v>
      </c>
      <c r="G15" s="274" t="s">
        <v>336</v>
      </c>
      <c r="H15" s="270">
        <v>55457</v>
      </c>
    </row>
    <row r="17" spans="2:8" x14ac:dyDescent="0.25">
      <c r="B17" s="277" t="s">
        <v>341</v>
      </c>
    </row>
    <row r="18" spans="2:8" ht="15.75" thickBot="1" x14ac:dyDescent="0.3">
      <c r="B18" s="370" t="s">
        <v>419</v>
      </c>
      <c r="F18" s="25" t="s">
        <v>419</v>
      </c>
    </row>
    <row r="19" spans="2:8" ht="17.25" thickTop="1" thickBot="1" x14ac:dyDescent="0.3">
      <c r="B19" s="1" t="s">
        <v>342</v>
      </c>
      <c r="C19" s="10" t="s">
        <v>1</v>
      </c>
      <c r="F19" s="1" t="s">
        <v>342</v>
      </c>
      <c r="G19" s="10" t="s">
        <v>1</v>
      </c>
      <c r="H19" s="268" t="s">
        <v>347</v>
      </c>
    </row>
    <row r="20" spans="2:8" ht="16.5" thickTop="1" thickBot="1" x14ac:dyDescent="0.3">
      <c r="B20" s="2" t="s">
        <v>343</v>
      </c>
      <c r="C20" s="11">
        <v>41640</v>
      </c>
      <c r="F20" s="2" t="s">
        <v>343</v>
      </c>
      <c r="G20" s="11">
        <v>41640</v>
      </c>
      <c r="H20" s="11">
        <v>41640</v>
      </c>
    </row>
    <row r="21" spans="2:8" ht="15.75" thickBot="1" x14ac:dyDescent="0.3">
      <c r="B21" s="3" t="s">
        <v>344</v>
      </c>
      <c r="C21" s="12">
        <v>43160</v>
      </c>
      <c r="F21" s="3" t="s">
        <v>344</v>
      </c>
      <c r="G21" s="12">
        <v>43160</v>
      </c>
      <c r="H21" s="12">
        <v>43160</v>
      </c>
    </row>
    <row r="22" spans="2:8" ht="15.75" thickBot="1" x14ac:dyDescent="0.3">
      <c r="B22" s="2" t="s">
        <v>345</v>
      </c>
      <c r="C22" s="11">
        <v>43525</v>
      </c>
      <c r="F22" s="2" t="s">
        <v>345</v>
      </c>
      <c r="G22" s="11">
        <v>43525</v>
      </c>
      <c r="H22" s="11">
        <v>43525</v>
      </c>
    </row>
    <row r="23" spans="2:8" ht="15.75" thickBot="1" x14ac:dyDescent="0.3">
      <c r="B23" s="3" t="s">
        <v>346</v>
      </c>
      <c r="C23" s="12">
        <v>43891</v>
      </c>
      <c r="F23" s="3" t="s">
        <v>346</v>
      </c>
      <c r="G23" s="12">
        <v>43891</v>
      </c>
      <c r="H23" s="12">
        <v>43891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1"/>
  <sheetViews>
    <sheetView workbookViewId="0">
      <selection activeCell="C26" sqref="C26"/>
    </sheetView>
  </sheetViews>
  <sheetFormatPr defaultRowHeight="15" x14ac:dyDescent="0.25"/>
  <cols>
    <col min="1" max="1" width="4.42578125" customWidth="1"/>
    <col min="2" max="2" width="19.42578125" bestFit="1" customWidth="1"/>
    <col min="3" max="3" width="9.7109375" customWidth="1"/>
    <col min="4" max="4" width="11.42578125" customWidth="1"/>
    <col min="5" max="5" width="10.5703125" customWidth="1"/>
    <col min="6" max="8" width="10.7109375" customWidth="1"/>
    <col min="9" max="9" width="10" bestFit="1" customWidth="1"/>
    <col min="11" max="11" width="4" customWidth="1"/>
    <col min="12" max="12" width="16.5703125" customWidth="1"/>
    <col min="13" max="13" width="14.28515625" bestFit="1" customWidth="1"/>
    <col min="14" max="15" width="16.28515625" bestFit="1" customWidth="1"/>
    <col min="16" max="16" width="21.5703125" bestFit="1" customWidth="1"/>
    <col min="17" max="17" width="36.140625" bestFit="1" customWidth="1"/>
    <col min="18" max="18" width="17.85546875" bestFit="1" customWidth="1"/>
    <col min="19" max="19" width="4.7109375" customWidth="1"/>
  </cols>
  <sheetData>
    <row r="1" spans="2:15" ht="39.75" customHeight="1" x14ac:dyDescent="0.25">
      <c r="B1" s="371" t="s">
        <v>331</v>
      </c>
      <c r="C1" s="371"/>
      <c r="D1" s="371"/>
      <c r="E1" s="371"/>
      <c r="F1" s="371"/>
      <c r="G1" s="371"/>
    </row>
    <row r="2" spans="2:15" ht="22.5" customHeight="1" x14ac:dyDescent="0.25">
      <c r="B2" s="307" t="s">
        <v>370</v>
      </c>
      <c r="C2" s="275"/>
      <c r="D2" s="275"/>
      <c r="E2" s="275"/>
      <c r="F2" s="275"/>
      <c r="G2" s="275"/>
    </row>
    <row r="3" spans="2:15" ht="30" x14ac:dyDescent="0.25">
      <c r="B3" t="s">
        <v>352</v>
      </c>
      <c r="C3" s="6" t="s">
        <v>155</v>
      </c>
      <c r="L3" t="s">
        <v>140</v>
      </c>
      <c r="M3" t="s">
        <v>142</v>
      </c>
      <c r="N3" t="s">
        <v>143</v>
      </c>
    </row>
    <row r="4" spans="2:15" x14ac:dyDescent="0.25">
      <c r="B4" t="s">
        <v>152</v>
      </c>
      <c r="C4" s="14">
        <f>(4175549+9000000)/1000000</f>
        <v>13.175549</v>
      </c>
      <c r="L4" t="s">
        <v>137</v>
      </c>
      <c r="M4" s="14">
        <v>1899406.6800000002</v>
      </c>
      <c r="N4" s="14">
        <f>4175549-M4</f>
        <v>2276142.3199999998</v>
      </c>
      <c r="O4" s="24">
        <f>M4+N4</f>
        <v>4175549</v>
      </c>
    </row>
    <row r="5" spans="2:15" x14ac:dyDescent="0.25">
      <c r="B5" t="s">
        <v>153</v>
      </c>
      <c r="C5" s="14">
        <f>100000/1000000</f>
        <v>0.1</v>
      </c>
      <c r="L5" t="s">
        <v>141</v>
      </c>
      <c r="M5" s="14">
        <v>6953.09</v>
      </c>
      <c r="N5" s="14">
        <f>20000-M5</f>
        <v>13046.91</v>
      </c>
      <c r="O5" s="24">
        <f t="shared" ref="O5:O9" si="0">M5+N5</f>
        <v>20000</v>
      </c>
    </row>
    <row r="6" spans="2:15" x14ac:dyDescent="0.25">
      <c r="B6" t="s">
        <v>0</v>
      </c>
      <c r="C6" s="14">
        <f>134000000/1000000</f>
        <v>134</v>
      </c>
      <c r="L6" t="s">
        <v>138</v>
      </c>
      <c r="M6" s="14">
        <v>21700</v>
      </c>
      <c r="N6" s="14">
        <f>100000-M6</f>
        <v>78300</v>
      </c>
      <c r="O6" s="24">
        <f t="shared" si="0"/>
        <v>100000</v>
      </c>
    </row>
    <row r="7" spans="2:15" x14ac:dyDescent="0.25">
      <c r="B7" t="s">
        <v>157</v>
      </c>
      <c r="C7" s="14">
        <f>20000/1000000</f>
        <v>0.02</v>
      </c>
      <c r="L7" t="s">
        <v>136</v>
      </c>
      <c r="M7" s="14">
        <v>0</v>
      </c>
      <c r="N7" s="14">
        <v>143000000</v>
      </c>
      <c r="O7" s="24">
        <f t="shared" si="0"/>
        <v>143000000</v>
      </c>
    </row>
    <row r="8" spans="2:15" x14ac:dyDescent="0.25">
      <c r="B8" t="s">
        <v>154</v>
      </c>
      <c r="C8" s="14">
        <f>4000000/1000000</f>
        <v>4</v>
      </c>
      <c r="L8" t="s">
        <v>139</v>
      </c>
      <c r="M8" s="14">
        <v>0</v>
      </c>
      <c r="N8" s="14">
        <v>4000000</v>
      </c>
      <c r="O8" s="24">
        <f t="shared" si="0"/>
        <v>4000000</v>
      </c>
    </row>
    <row r="9" spans="2:15" x14ac:dyDescent="0.25">
      <c r="B9" s="25" t="s">
        <v>156</v>
      </c>
      <c r="C9" s="26">
        <f>SUM(C4:C8)</f>
        <v>151.29554900000002</v>
      </c>
      <c r="M9" s="15">
        <f>SUBTOTAL(9,M4:M8)</f>
        <v>1928059.7700000003</v>
      </c>
      <c r="N9" s="15">
        <f>SUBTOTAL(9,N4:N8)</f>
        <v>149367489.22999999</v>
      </c>
      <c r="O9" s="24">
        <f t="shared" si="0"/>
        <v>151295549</v>
      </c>
    </row>
    <row r="20" spans="2:3" x14ac:dyDescent="0.25">
      <c r="B20" s="27" t="s">
        <v>145</v>
      </c>
      <c r="C20" s="27" t="s">
        <v>158</v>
      </c>
    </row>
    <row r="21" spans="2:3" x14ac:dyDescent="0.25">
      <c r="B21" s="28">
        <v>2017</v>
      </c>
      <c r="C21" s="29">
        <v>2.5000000000000001E-2</v>
      </c>
    </row>
    <row r="22" spans="2:3" x14ac:dyDescent="0.25">
      <c r="B22" s="28">
        <v>2018</v>
      </c>
      <c r="C22" s="29">
        <v>2.5000000000000001E-2</v>
      </c>
    </row>
    <row r="23" spans="2:3" x14ac:dyDescent="0.25">
      <c r="B23" s="28" t="s">
        <v>159</v>
      </c>
      <c r="C23" s="29">
        <v>2.5000000000000001E-2</v>
      </c>
    </row>
    <row r="30" spans="2:3" x14ac:dyDescent="0.25">
      <c r="B30" s="277" t="s">
        <v>363</v>
      </c>
    </row>
    <row r="31" spans="2:3" x14ac:dyDescent="0.25">
      <c r="B31" s="307" t="s">
        <v>371</v>
      </c>
    </row>
  </sheetData>
  <mergeCells count="1">
    <mergeCell ref="B1:G1"/>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opLeftCell="A13" workbookViewId="0">
      <selection activeCell="F15" sqref="F15"/>
    </sheetView>
  </sheetViews>
  <sheetFormatPr defaultRowHeight="15" x14ac:dyDescent="0.25"/>
  <cols>
    <col min="1" max="1" width="14.5703125" customWidth="1"/>
    <col min="2" max="2" width="20.5703125" customWidth="1"/>
    <col min="3" max="3" width="11" customWidth="1"/>
    <col min="4" max="5" width="12.28515625" customWidth="1"/>
    <col min="6" max="6" width="12.140625" customWidth="1"/>
    <col min="7" max="7" width="11.7109375" customWidth="1"/>
    <col min="8" max="8" width="13.85546875" customWidth="1"/>
    <col min="9" max="9" width="11.5703125" customWidth="1"/>
  </cols>
  <sheetData>
    <row r="1" spans="1:7" ht="56.25" customHeight="1" x14ac:dyDescent="0.25">
      <c r="A1" s="371" t="s">
        <v>367</v>
      </c>
      <c r="B1" s="371"/>
      <c r="C1" s="371"/>
      <c r="D1" s="371"/>
      <c r="E1" s="371"/>
      <c r="F1" s="371"/>
    </row>
    <row r="2" spans="1:7" x14ac:dyDescent="0.25">
      <c r="A2" s="277" t="s">
        <v>1</v>
      </c>
    </row>
    <row r="3" spans="1:7" ht="15.75" thickBot="1" x14ac:dyDescent="0.3">
      <c r="A3" s="25" t="s">
        <v>365</v>
      </c>
    </row>
    <row r="4" spans="1:7" x14ac:dyDescent="0.25">
      <c r="A4" s="397" t="s">
        <v>422</v>
      </c>
      <c r="B4" s="399" t="s">
        <v>423</v>
      </c>
      <c r="C4" s="399"/>
      <c r="D4" s="399"/>
      <c r="E4" s="399"/>
      <c r="F4" s="399"/>
      <c r="G4" s="399"/>
    </row>
    <row r="5" spans="1:7" ht="26.25" thickBot="1" x14ac:dyDescent="0.3">
      <c r="A5" s="398"/>
      <c r="B5" s="392" t="s">
        <v>424</v>
      </c>
      <c r="C5" s="392" t="s">
        <v>425</v>
      </c>
      <c r="D5" s="392" t="s">
        <v>426</v>
      </c>
      <c r="E5" s="392" t="s">
        <v>427</v>
      </c>
      <c r="F5" s="392" t="s">
        <v>428</v>
      </c>
      <c r="G5" s="393" t="s">
        <v>164</v>
      </c>
    </row>
    <row r="6" spans="1:7" ht="26.25" thickBot="1" x14ac:dyDescent="0.3">
      <c r="A6" s="394" t="s">
        <v>429</v>
      </c>
      <c r="B6" s="400">
        <v>41.28</v>
      </c>
      <c r="C6" s="401">
        <v>7.1</v>
      </c>
      <c r="D6" s="402">
        <v>13.3</v>
      </c>
      <c r="E6" s="401">
        <v>8</v>
      </c>
      <c r="F6" s="402">
        <v>25.9</v>
      </c>
      <c r="G6" s="403">
        <v>95.58</v>
      </c>
    </row>
    <row r="7" spans="1:7" ht="15.75" thickBot="1" x14ac:dyDescent="0.3">
      <c r="A7" s="395" t="s">
        <v>153</v>
      </c>
      <c r="B7" s="404">
        <v>17.39</v>
      </c>
      <c r="C7" s="401">
        <v>108.9</v>
      </c>
      <c r="D7" s="401">
        <v>46.1</v>
      </c>
      <c r="E7" s="401">
        <v>21.7</v>
      </c>
      <c r="F7" s="401">
        <v>78.3</v>
      </c>
      <c r="G7" s="405">
        <v>272.39</v>
      </c>
    </row>
    <row r="8" spans="1:7" ht="26.25" thickBot="1" x14ac:dyDescent="0.3">
      <c r="A8" s="394" t="s">
        <v>430</v>
      </c>
      <c r="B8" s="400">
        <v>0.57999999999999996</v>
      </c>
      <c r="C8" s="401">
        <v>8.6999999999999993</v>
      </c>
      <c r="D8" s="402">
        <v>13.3</v>
      </c>
      <c r="E8" s="401">
        <v>2.5</v>
      </c>
      <c r="F8" s="402">
        <v>15.4</v>
      </c>
      <c r="G8" s="403">
        <v>40.479999999999997</v>
      </c>
    </row>
    <row r="9" spans="1:7" ht="15.75" thickBot="1" x14ac:dyDescent="0.3">
      <c r="A9" s="395" t="s">
        <v>0</v>
      </c>
      <c r="B9" s="404" t="s">
        <v>431</v>
      </c>
      <c r="C9" s="401">
        <v>137.19999999999999</v>
      </c>
      <c r="D9" s="401">
        <v>258.60000000000002</v>
      </c>
      <c r="E9" s="401">
        <v>154.9</v>
      </c>
      <c r="F9" s="401">
        <v>518.9</v>
      </c>
      <c r="G9" s="405">
        <v>1069.5999999999999</v>
      </c>
    </row>
    <row r="10" spans="1:7" ht="15.75" thickBot="1" x14ac:dyDescent="0.3">
      <c r="A10" s="394" t="s">
        <v>289</v>
      </c>
      <c r="B10" s="400" t="s">
        <v>431</v>
      </c>
      <c r="C10" s="401">
        <v>23.1</v>
      </c>
      <c r="D10" s="402">
        <v>40.299999999999997</v>
      </c>
      <c r="E10" s="401">
        <v>45.5</v>
      </c>
      <c r="F10" s="402">
        <v>47.5</v>
      </c>
      <c r="G10" s="403">
        <v>156.4</v>
      </c>
    </row>
    <row r="11" spans="1:7" ht="15.75" thickBot="1" x14ac:dyDescent="0.3">
      <c r="A11" s="396" t="s">
        <v>257</v>
      </c>
      <c r="B11" s="406">
        <v>59.25</v>
      </c>
      <c r="C11" s="407">
        <v>285</v>
      </c>
      <c r="D11" s="408">
        <v>371.6</v>
      </c>
      <c r="E11" s="407">
        <v>232.6</v>
      </c>
      <c r="F11" s="408">
        <v>686</v>
      </c>
      <c r="G11" s="403">
        <v>1634.45</v>
      </c>
    </row>
    <row r="16" spans="1:7" x14ac:dyDescent="0.25">
      <c r="A16" s="277" t="s">
        <v>364</v>
      </c>
    </row>
    <row r="17" spans="1:25" x14ac:dyDescent="0.25">
      <c r="A17" s="25" t="s">
        <v>366</v>
      </c>
      <c r="P17" s="296"/>
      <c r="Q17" s="296"/>
      <c r="R17" s="296"/>
      <c r="S17" s="296"/>
      <c r="T17" s="296"/>
      <c r="U17" s="296"/>
      <c r="V17" s="296"/>
      <c r="W17" s="296"/>
      <c r="X17" s="296"/>
      <c r="Y17" s="296"/>
    </row>
    <row r="18" spans="1:25" ht="30.75" customHeight="1" x14ac:dyDescent="0.25">
      <c r="A18" t="s">
        <v>352</v>
      </c>
      <c r="B18" t="s">
        <v>432</v>
      </c>
      <c r="C18" t="s">
        <v>1</v>
      </c>
      <c r="D18" t="s">
        <v>434</v>
      </c>
      <c r="E18" t="s">
        <v>433</v>
      </c>
      <c r="F18" s="6" t="s">
        <v>435</v>
      </c>
      <c r="G18" s="6" t="s">
        <v>217</v>
      </c>
      <c r="P18" s="297"/>
      <c r="Q18" s="297"/>
      <c r="R18" s="297"/>
      <c r="S18" s="297"/>
      <c r="T18" s="297"/>
      <c r="U18" s="297"/>
      <c r="V18" s="297"/>
      <c r="W18" s="298"/>
      <c r="X18" s="297"/>
      <c r="Y18" s="296"/>
    </row>
    <row r="19" spans="1:25" x14ac:dyDescent="0.25">
      <c r="A19" s="53" t="s">
        <v>137</v>
      </c>
      <c r="B19" t="s">
        <v>424</v>
      </c>
      <c r="C19" s="14">
        <f>B6</f>
        <v>41.28</v>
      </c>
      <c r="D19" s="14">
        <v>59.36</v>
      </c>
      <c r="E19" s="14">
        <v>61.3</v>
      </c>
      <c r="F19" s="194">
        <f>((E19-D19)/D19)</f>
        <v>3.2681940700808584E-2</v>
      </c>
      <c r="G19" s="194">
        <f>((E19-C19)/C19)</f>
        <v>0.48498062015503868</v>
      </c>
      <c r="P19" s="299"/>
      <c r="Q19" s="296"/>
      <c r="R19" s="300"/>
      <c r="S19" s="300"/>
      <c r="T19" s="300"/>
      <c r="U19" s="300"/>
      <c r="V19" s="300"/>
      <c r="W19" s="300"/>
      <c r="X19" s="300"/>
      <c r="Y19" s="296"/>
    </row>
    <row r="20" spans="1:25" x14ac:dyDescent="0.25">
      <c r="A20" s="53"/>
      <c r="B20" t="s">
        <v>425</v>
      </c>
      <c r="C20" s="14">
        <f>C6</f>
        <v>7.1</v>
      </c>
      <c r="D20" s="14">
        <v>7.85</v>
      </c>
      <c r="E20" s="14">
        <v>8.1199999999999992</v>
      </c>
      <c r="F20" s="194">
        <f t="shared" ref="F20:F48" si="0">((E20-D20)/D20)</f>
        <v>3.439490445859867E-2</v>
      </c>
      <c r="G20" s="194">
        <f t="shared" ref="G20:G48" si="1">((E20-C20)/C20)</f>
        <v>0.14366197183098586</v>
      </c>
      <c r="P20" s="301"/>
      <c r="Q20" s="296"/>
      <c r="R20" s="300"/>
      <c r="S20" s="300"/>
      <c r="T20" s="300"/>
      <c r="U20" s="300"/>
      <c r="V20" s="300"/>
      <c r="W20" s="300"/>
      <c r="X20" s="302"/>
      <c r="Y20" s="296"/>
    </row>
    <row r="21" spans="1:25" x14ac:dyDescent="0.25">
      <c r="A21" s="53"/>
      <c r="B21" t="s">
        <v>426</v>
      </c>
      <c r="C21" s="14">
        <f>D6</f>
        <v>13.3</v>
      </c>
      <c r="D21" s="14">
        <v>13.3</v>
      </c>
      <c r="E21" s="14">
        <v>13.3</v>
      </c>
      <c r="F21" s="194">
        <f t="shared" si="0"/>
        <v>0</v>
      </c>
      <c r="G21" s="194">
        <f t="shared" si="1"/>
        <v>0</v>
      </c>
      <c r="P21" s="301"/>
      <c r="Q21" s="296"/>
      <c r="R21" s="300"/>
      <c r="S21" s="300"/>
      <c r="T21" s="300"/>
      <c r="U21" s="300"/>
      <c r="V21" s="300"/>
      <c r="W21" s="300"/>
      <c r="X21" s="302"/>
      <c r="Y21" s="296"/>
    </row>
    <row r="22" spans="1:25" x14ac:dyDescent="0.25">
      <c r="A22" s="53"/>
      <c r="B22" t="s">
        <v>427</v>
      </c>
      <c r="C22" s="14">
        <f>E6</f>
        <v>8</v>
      </c>
      <c r="D22" s="14">
        <v>8</v>
      </c>
      <c r="E22" s="14">
        <v>8</v>
      </c>
      <c r="F22" s="194">
        <f t="shared" si="0"/>
        <v>0</v>
      </c>
      <c r="G22" s="194">
        <f t="shared" si="1"/>
        <v>0</v>
      </c>
      <c r="P22" s="301"/>
      <c r="Q22" s="296"/>
      <c r="R22" s="300"/>
      <c r="S22" s="300"/>
      <c r="T22" s="300"/>
      <c r="U22" s="300"/>
      <c r="V22" s="300"/>
      <c r="W22" s="300"/>
      <c r="X22" s="302"/>
      <c r="Y22" s="296"/>
    </row>
    <row r="23" spans="1:25" x14ac:dyDescent="0.25">
      <c r="A23" s="53"/>
      <c r="B23" t="s">
        <v>428</v>
      </c>
      <c r="C23" s="14">
        <f>F6</f>
        <v>25.9</v>
      </c>
      <c r="D23" s="14">
        <v>25.9</v>
      </c>
      <c r="E23" s="14">
        <v>25.9</v>
      </c>
      <c r="F23" s="194">
        <f t="shared" si="0"/>
        <v>0</v>
      </c>
      <c r="G23" s="194">
        <f t="shared" si="1"/>
        <v>0</v>
      </c>
      <c r="P23" s="301"/>
      <c r="Q23" s="296"/>
      <c r="R23" s="300"/>
      <c r="S23" s="300"/>
      <c r="T23" s="300"/>
      <c r="U23" s="300"/>
      <c r="V23" s="300"/>
      <c r="W23" s="300"/>
      <c r="X23" s="302"/>
      <c r="Y23" s="296"/>
    </row>
    <row r="24" spans="1:25" s="25" customFormat="1" x14ac:dyDescent="0.25">
      <c r="A24" s="25" t="s">
        <v>436</v>
      </c>
      <c r="C24" s="32">
        <f>SUM(C19:C23)</f>
        <v>95.580000000000013</v>
      </c>
      <c r="D24" s="32">
        <f t="shared" ref="D24:E24" si="2">SUM(D19:D23)</f>
        <v>114.41</v>
      </c>
      <c r="E24" s="32">
        <f t="shared" si="2"/>
        <v>116.62</v>
      </c>
      <c r="F24" s="409">
        <f t="shared" si="0"/>
        <v>1.9316493313521615E-2</v>
      </c>
      <c r="G24" s="409">
        <f t="shared" si="1"/>
        <v>0.22012973425402793</v>
      </c>
      <c r="P24" s="303"/>
      <c r="Q24" s="306"/>
      <c r="R24" s="304"/>
      <c r="S24" s="304"/>
      <c r="T24" s="304"/>
      <c r="U24" s="304"/>
      <c r="V24" s="304"/>
      <c r="W24" s="304"/>
      <c r="X24" s="304"/>
      <c r="Y24" s="306"/>
    </row>
    <row r="25" spans="1:25" x14ac:dyDescent="0.25">
      <c r="A25" s="53" t="s">
        <v>138</v>
      </c>
      <c r="B25" t="s">
        <v>424</v>
      </c>
      <c r="C25" s="14">
        <f>B7</f>
        <v>17.39</v>
      </c>
      <c r="D25" s="14">
        <v>20</v>
      </c>
      <c r="E25" s="14">
        <v>21.75</v>
      </c>
      <c r="F25" s="194">
        <f t="shared" si="0"/>
        <v>8.7499999999999994E-2</v>
      </c>
      <c r="G25" s="194">
        <f t="shared" si="1"/>
        <v>0.25071880391029322</v>
      </c>
      <c r="P25" s="303"/>
      <c r="Q25" s="296"/>
      <c r="R25" s="300"/>
      <c r="S25" s="300"/>
      <c r="T25" s="300"/>
      <c r="U25" s="300"/>
      <c r="V25" s="300"/>
      <c r="W25" s="300"/>
      <c r="X25" s="304"/>
      <c r="Y25" s="296"/>
    </row>
    <row r="26" spans="1:25" x14ac:dyDescent="0.25">
      <c r="A26" s="53"/>
      <c r="B26" t="s">
        <v>425</v>
      </c>
      <c r="C26" s="14">
        <f>C7</f>
        <v>108.9</v>
      </c>
      <c r="D26" s="14">
        <v>89.9</v>
      </c>
      <c r="E26" s="14">
        <v>102.56</v>
      </c>
      <c r="F26" s="194">
        <f t="shared" si="0"/>
        <v>0.14082313681868738</v>
      </c>
      <c r="G26" s="194">
        <f t="shared" si="1"/>
        <v>-5.8218549127640067E-2</v>
      </c>
      <c r="P26" s="297"/>
      <c r="Q26" s="296"/>
      <c r="R26" s="300"/>
      <c r="S26" s="300"/>
      <c r="T26" s="300"/>
      <c r="U26" s="300"/>
      <c r="V26" s="300"/>
      <c r="W26" s="300"/>
      <c r="X26" s="300"/>
      <c r="Y26" s="296"/>
    </row>
    <row r="27" spans="1:25" x14ac:dyDescent="0.25">
      <c r="A27" s="53"/>
      <c r="B27" t="s">
        <v>426</v>
      </c>
      <c r="C27" s="14">
        <f>D7</f>
        <v>46.1</v>
      </c>
      <c r="D27" s="14">
        <v>46.1</v>
      </c>
      <c r="E27" s="14">
        <v>46.1</v>
      </c>
      <c r="F27" s="194">
        <f t="shared" si="0"/>
        <v>0</v>
      </c>
      <c r="G27" s="194">
        <f t="shared" si="1"/>
        <v>0</v>
      </c>
      <c r="P27" s="297"/>
      <c r="Q27" s="296"/>
      <c r="R27" s="300"/>
      <c r="S27" s="300"/>
      <c r="T27" s="300"/>
      <c r="U27" s="300"/>
      <c r="V27" s="300"/>
      <c r="W27" s="300"/>
      <c r="X27" s="300"/>
      <c r="Y27" s="296"/>
    </row>
    <row r="28" spans="1:25" x14ac:dyDescent="0.25">
      <c r="A28" s="53"/>
      <c r="B28" t="s">
        <v>427</v>
      </c>
      <c r="C28" s="14">
        <f>E7</f>
        <v>21.7</v>
      </c>
      <c r="D28" s="14">
        <v>21.7</v>
      </c>
      <c r="E28" s="14">
        <v>21.7</v>
      </c>
      <c r="F28" s="194">
        <f t="shared" si="0"/>
        <v>0</v>
      </c>
      <c r="G28" s="194">
        <f t="shared" si="1"/>
        <v>0</v>
      </c>
      <c r="P28" s="297"/>
      <c r="Q28" s="296"/>
      <c r="R28" s="300"/>
      <c r="S28" s="300"/>
      <c r="T28" s="300"/>
      <c r="U28" s="300"/>
      <c r="V28" s="300"/>
      <c r="W28" s="300"/>
      <c r="X28" s="300"/>
      <c r="Y28" s="296"/>
    </row>
    <row r="29" spans="1:25" x14ac:dyDescent="0.25">
      <c r="A29" s="53"/>
      <c r="B29" t="s">
        <v>428</v>
      </c>
      <c r="C29" s="14">
        <f>F7</f>
        <v>78.3</v>
      </c>
      <c r="D29" s="14">
        <v>78.3</v>
      </c>
      <c r="E29" s="14">
        <v>78.3</v>
      </c>
      <c r="F29" s="194">
        <f t="shared" si="0"/>
        <v>0</v>
      </c>
      <c r="G29" s="194">
        <f t="shared" si="1"/>
        <v>0</v>
      </c>
      <c r="P29" s="297"/>
      <c r="Q29" s="296"/>
      <c r="R29" s="300"/>
      <c r="S29" s="300"/>
      <c r="T29" s="300"/>
      <c r="U29" s="300"/>
      <c r="V29" s="300"/>
      <c r="W29" s="300"/>
      <c r="X29" s="300"/>
      <c r="Y29" s="296"/>
    </row>
    <row r="30" spans="1:25" s="25" customFormat="1" x14ac:dyDescent="0.25">
      <c r="A30" s="25" t="s">
        <v>436</v>
      </c>
      <c r="C30" s="32">
        <f>SUM(C25:C29)</f>
        <v>272.39</v>
      </c>
      <c r="D30" s="32">
        <f t="shared" ref="D30:E30" si="3">SUM(D25:D29)</f>
        <v>256</v>
      </c>
      <c r="E30" s="32">
        <f t="shared" si="3"/>
        <v>270.40999999999997</v>
      </c>
      <c r="F30" s="409">
        <f t="shared" si="0"/>
        <v>5.6289062499999876E-2</v>
      </c>
      <c r="G30" s="409">
        <f t="shared" si="1"/>
        <v>-7.2689893167884956E-3</v>
      </c>
      <c r="P30" s="410"/>
      <c r="Q30" s="306"/>
      <c r="R30" s="304"/>
      <c r="S30" s="304"/>
      <c r="T30" s="304"/>
      <c r="U30" s="304"/>
      <c r="V30" s="304"/>
      <c r="W30" s="304"/>
      <c r="X30" s="304"/>
      <c r="Y30" s="306"/>
    </row>
    <row r="31" spans="1:25" ht="30" x14ac:dyDescent="0.25">
      <c r="A31" s="54" t="s">
        <v>430</v>
      </c>
      <c r="B31" t="s">
        <v>424</v>
      </c>
      <c r="C31" s="14">
        <f>B8</f>
        <v>0.57999999999999996</v>
      </c>
      <c r="D31" s="14">
        <v>0.72</v>
      </c>
      <c r="E31" s="14">
        <v>0.89</v>
      </c>
      <c r="F31" s="194">
        <f t="shared" si="0"/>
        <v>0.23611111111111119</v>
      </c>
      <c r="G31" s="194">
        <f t="shared" si="1"/>
        <v>0.53448275862068984</v>
      </c>
      <c r="P31" s="297"/>
      <c r="Q31" s="296"/>
      <c r="R31" s="300"/>
      <c r="S31" s="300"/>
      <c r="T31" s="300"/>
      <c r="U31" s="300"/>
      <c r="V31" s="300"/>
      <c r="W31" s="300"/>
      <c r="X31" s="300"/>
      <c r="Y31" s="296"/>
    </row>
    <row r="32" spans="1:25" x14ac:dyDescent="0.25">
      <c r="A32" s="54"/>
      <c r="B32" t="s">
        <v>425</v>
      </c>
      <c r="C32" s="14">
        <f>C8</f>
        <v>8.6999999999999993</v>
      </c>
      <c r="D32" s="14">
        <v>8.6999999999999993</v>
      </c>
      <c r="E32" s="14">
        <v>8.35</v>
      </c>
      <c r="F32" s="194">
        <f t="shared" si="0"/>
        <v>-4.0229885057471229E-2</v>
      </c>
      <c r="G32" s="194">
        <f t="shared" si="1"/>
        <v>-4.0229885057471229E-2</v>
      </c>
      <c r="P32" s="297"/>
      <c r="Q32" s="296"/>
      <c r="R32" s="300"/>
      <c r="S32" s="300"/>
      <c r="T32" s="300"/>
      <c r="U32" s="300"/>
      <c r="V32" s="300"/>
      <c r="W32" s="300"/>
      <c r="X32" s="300"/>
      <c r="Y32" s="296"/>
    </row>
    <row r="33" spans="1:25" x14ac:dyDescent="0.25">
      <c r="A33" s="54"/>
      <c r="B33" t="s">
        <v>426</v>
      </c>
      <c r="C33" s="14">
        <f>D8</f>
        <v>13.3</v>
      </c>
      <c r="D33" s="14">
        <v>13.3</v>
      </c>
      <c r="E33" s="14">
        <v>13.3</v>
      </c>
      <c r="F33" s="194">
        <f t="shared" si="0"/>
        <v>0</v>
      </c>
      <c r="G33" s="194">
        <f t="shared" si="1"/>
        <v>0</v>
      </c>
      <c r="P33" s="301"/>
      <c r="Q33" s="296"/>
      <c r="R33" s="300"/>
      <c r="S33" s="300"/>
      <c r="T33" s="300"/>
      <c r="U33" s="300"/>
      <c r="V33" s="300"/>
      <c r="W33" s="300"/>
      <c r="X33" s="302"/>
      <c r="Y33" s="296"/>
    </row>
    <row r="34" spans="1:25" x14ac:dyDescent="0.25">
      <c r="A34" s="54"/>
      <c r="B34" t="s">
        <v>427</v>
      </c>
      <c r="C34" s="14">
        <f>E8</f>
        <v>2.5</v>
      </c>
      <c r="D34" s="14">
        <v>2.5</v>
      </c>
      <c r="E34" s="14">
        <v>2.5</v>
      </c>
      <c r="F34" s="194">
        <f t="shared" si="0"/>
        <v>0</v>
      </c>
      <c r="G34" s="194">
        <f t="shared" si="1"/>
        <v>0</v>
      </c>
      <c r="P34" s="303"/>
      <c r="Q34" s="296"/>
      <c r="R34" s="300"/>
      <c r="S34" s="300"/>
      <c r="T34" s="300"/>
      <c r="U34" s="300"/>
      <c r="V34" s="300"/>
      <c r="W34" s="300"/>
      <c r="X34" s="304"/>
      <c r="Y34" s="296"/>
    </row>
    <row r="35" spans="1:25" x14ac:dyDescent="0.25">
      <c r="A35" s="54"/>
      <c r="B35" t="s">
        <v>428</v>
      </c>
      <c r="C35" s="14">
        <f>F8</f>
        <v>15.4</v>
      </c>
      <c r="D35" s="14">
        <v>15.4</v>
      </c>
      <c r="E35" s="14">
        <v>15.4</v>
      </c>
      <c r="F35" s="194">
        <f t="shared" si="0"/>
        <v>0</v>
      </c>
      <c r="G35" s="194">
        <f t="shared" si="1"/>
        <v>0</v>
      </c>
      <c r="P35" s="297"/>
      <c r="Q35" s="296"/>
      <c r="R35" s="300"/>
      <c r="S35" s="300"/>
      <c r="T35" s="300"/>
      <c r="U35" s="300"/>
      <c r="V35" s="300"/>
      <c r="W35" s="300"/>
      <c r="X35" s="300"/>
      <c r="Y35" s="296"/>
    </row>
    <row r="36" spans="1:25" s="25" customFormat="1" x14ac:dyDescent="0.25">
      <c r="A36" s="25" t="s">
        <v>436</v>
      </c>
      <c r="C36" s="32">
        <f>SUM(C31:C35)</f>
        <v>40.479999999999997</v>
      </c>
      <c r="D36" s="32">
        <f t="shared" ref="D36:E36" si="4">SUM(D31:D35)</f>
        <v>40.619999999999997</v>
      </c>
      <c r="E36" s="32">
        <f t="shared" si="4"/>
        <v>40.44</v>
      </c>
      <c r="F36" s="409">
        <f t="shared" si="0"/>
        <v>-4.4313146233382504E-3</v>
      </c>
      <c r="G36" s="409">
        <f t="shared" si="1"/>
        <v>-9.8814229249009769E-4</v>
      </c>
      <c r="P36" s="410"/>
      <c r="Q36" s="306"/>
      <c r="R36" s="304"/>
      <c r="S36" s="304"/>
      <c r="T36" s="304"/>
      <c r="U36" s="304"/>
      <c r="V36" s="304"/>
      <c r="W36" s="304"/>
      <c r="X36" s="304"/>
      <c r="Y36" s="306"/>
    </row>
    <row r="37" spans="1:25" x14ac:dyDescent="0.25">
      <c r="A37" s="53" t="s">
        <v>0</v>
      </c>
      <c r="B37" t="s">
        <v>424</v>
      </c>
      <c r="C37" s="14">
        <v>0</v>
      </c>
      <c r="D37" s="14">
        <v>0</v>
      </c>
      <c r="E37" s="14">
        <v>0</v>
      </c>
      <c r="F37" s="194">
        <v>0</v>
      </c>
      <c r="G37" s="194">
        <v>0</v>
      </c>
      <c r="P37" s="297"/>
      <c r="Q37" s="296"/>
      <c r="R37" s="300"/>
      <c r="S37" s="300"/>
      <c r="T37" s="300"/>
      <c r="U37" s="300"/>
      <c r="V37" s="300"/>
      <c r="W37" s="300"/>
      <c r="X37" s="300"/>
      <c r="Y37" s="296"/>
    </row>
    <row r="38" spans="1:25" x14ac:dyDescent="0.25">
      <c r="A38" s="53"/>
      <c r="B38" t="s">
        <v>425</v>
      </c>
      <c r="C38" s="14">
        <f>C9</f>
        <v>137.19999999999999</v>
      </c>
      <c r="D38" s="14">
        <v>137.19999999999999</v>
      </c>
      <c r="E38" s="14">
        <v>125.35</v>
      </c>
      <c r="F38" s="194">
        <f t="shared" si="0"/>
        <v>-8.6370262390670513E-2</v>
      </c>
      <c r="G38" s="194">
        <f t="shared" si="1"/>
        <v>-8.6370262390670513E-2</v>
      </c>
      <c r="P38" s="297"/>
      <c r="Q38" s="296"/>
      <c r="R38" s="300"/>
      <c r="S38" s="300"/>
      <c r="T38" s="300"/>
      <c r="U38" s="300"/>
      <c r="V38" s="300"/>
      <c r="W38" s="300"/>
      <c r="X38" s="300"/>
      <c r="Y38" s="296"/>
    </row>
    <row r="39" spans="1:25" x14ac:dyDescent="0.25">
      <c r="A39" s="53"/>
      <c r="B39" t="s">
        <v>426</v>
      </c>
      <c r="C39" s="14">
        <f>D9</f>
        <v>258.60000000000002</v>
      </c>
      <c r="D39" s="14">
        <v>258.60000000000002</v>
      </c>
      <c r="E39" s="14">
        <v>258.60000000000002</v>
      </c>
      <c r="F39" s="194">
        <f t="shared" si="0"/>
        <v>0</v>
      </c>
      <c r="G39" s="194">
        <f t="shared" si="1"/>
        <v>0</v>
      </c>
      <c r="P39" s="297"/>
      <c r="Q39" s="296"/>
      <c r="R39" s="300"/>
      <c r="S39" s="300"/>
      <c r="T39" s="300"/>
      <c r="U39" s="300"/>
      <c r="V39" s="300"/>
      <c r="W39" s="300"/>
      <c r="X39" s="300"/>
      <c r="Y39" s="296"/>
    </row>
    <row r="40" spans="1:25" x14ac:dyDescent="0.25">
      <c r="A40" s="53"/>
      <c r="B40" t="s">
        <v>427</v>
      </c>
      <c r="C40" s="14">
        <f>E9</f>
        <v>154.9</v>
      </c>
      <c r="D40" s="14">
        <v>154.9</v>
      </c>
      <c r="E40" s="14">
        <v>154.9</v>
      </c>
      <c r="F40" s="194">
        <f t="shared" si="0"/>
        <v>0</v>
      </c>
      <c r="G40" s="194">
        <f t="shared" si="1"/>
        <v>0</v>
      </c>
      <c r="P40" s="297"/>
      <c r="Q40" s="296"/>
      <c r="R40" s="300"/>
      <c r="S40" s="300"/>
      <c r="T40" s="300"/>
      <c r="U40" s="300"/>
      <c r="V40" s="300"/>
      <c r="W40" s="300"/>
      <c r="X40" s="300"/>
      <c r="Y40" s="296"/>
    </row>
    <row r="41" spans="1:25" x14ac:dyDescent="0.25">
      <c r="A41" s="53"/>
      <c r="B41" t="s">
        <v>428</v>
      </c>
      <c r="C41" s="14">
        <f>F9</f>
        <v>518.9</v>
      </c>
      <c r="D41" s="14">
        <v>518.9</v>
      </c>
      <c r="E41" s="14">
        <v>518.9</v>
      </c>
      <c r="F41" s="194">
        <f t="shared" si="0"/>
        <v>0</v>
      </c>
      <c r="G41" s="194">
        <f t="shared" si="1"/>
        <v>0</v>
      </c>
      <c r="P41" s="297"/>
      <c r="Q41" s="296"/>
      <c r="R41" s="300"/>
      <c r="S41" s="300"/>
      <c r="T41" s="300"/>
      <c r="U41" s="300"/>
      <c r="V41" s="300"/>
      <c r="W41" s="300"/>
      <c r="X41" s="300"/>
      <c r="Y41" s="296"/>
    </row>
    <row r="42" spans="1:25" s="25" customFormat="1" x14ac:dyDescent="0.25">
      <c r="A42" s="25" t="s">
        <v>436</v>
      </c>
      <c r="C42" s="32">
        <f>SUM(C38:C41)</f>
        <v>1069.5999999999999</v>
      </c>
      <c r="D42" s="32">
        <f t="shared" ref="D42:E42" si="5">SUM(D38:D41)</f>
        <v>1069.5999999999999</v>
      </c>
      <c r="E42" s="32">
        <f t="shared" si="5"/>
        <v>1057.75</v>
      </c>
      <c r="F42" s="409">
        <f t="shared" si="0"/>
        <v>-1.1078908002991689E-2</v>
      </c>
      <c r="G42" s="409">
        <f t="shared" si="1"/>
        <v>-1.1078908002991689E-2</v>
      </c>
      <c r="P42" s="410"/>
      <c r="Q42" s="306"/>
      <c r="R42" s="304"/>
      <c r="S42" s="304"/>
      <c r="T42" s="304"/>
      <c r="U42" s="304"/>
      <c r="V42" s="304"/>
      <c r="W42" s="304"/>
      <c r="X42" s="304"/>
      <c r="Y42" s="306"/>
    </row>
    <row r="43" spans="1:25" x14ac:dyDescent="0.25">
      <c r="A43" s="53" t="s">
        <v>289</v>
      </c>
      <c r="B43" t="s">
        <v>424</v>
      </c>
      <c r="C43" s="14" t="str">
        <f>B10</f>
        <v xml:space="preserve"> $               -   </v>
      </c>
      <c r="D43" s="14">
        <v>0</v>
      </c>
      <c r="E43" s="14">
        <v>0</v>
      </c>
      <c r="F43" s="194">
        <v>0</v>
      </c>
      <c r="G43" s="194">
        <v>0</v>
      </c>
      <c r="P43" s="297"/>
      <c r="Q43" s="296"/>
      <c r="R43" s="300"/>
      <c r="S43" s="300"/>
      <c r="T43" s="300"/>
      <c r="U43" s="300"/>
      <c r="V43" s="300"/>
      <c r="W43" s="300"/>
      <c r="X43" s="300"/>
      <c r="Y43" s="296"/>
    </row>
    <row r="44" spans="1:25" x14ac:dyDescent="0.25">
      <c r="A44" s="53"/>
      <c r="B44" t="s">
        <v>425</v>
      </c>
      <c r="C44" s="14">
        <f>C10</f>
        <v>23.1</v>
      </c>
      <c r="D44" s="14">
        <v>25.43</v>
      </c>
      <c r="E44" s="14">
        <v>25.76</v>
      </c>
      <c r="F44" s="194">
        <f t="shared" si="0"/>
        <v>1.2976799056232868E-2</v>
      </c>
      <c r="G44" s="194">
        <f t="shared" si="1"/>
        <v>0.11515151515151516</v>
      </c>
      <c r="P44" s="301"/>
      <c r="Q44" s="296"/>
      <c r="R44" s="300"/>
      <c r="S44" s="300"/>
      <c r="T44" s="300"/>
      <c r="U44" s="300"/>
      <c r="V44" s="300"/>
      <c r="W44" s="300"/>
      <c r="X44" s="302"/>
      <c r="Y44" s="296"/>
    </row>
    <row r="45" spans="1:25" x14ac:dyDescent="0.25">
      <c r="A45" s="53"/>
      <c r="B45" t="s">
        <v>426</v>
      </c>
      <c r="C45" s="14">
        <f>D10</f>
        <v>40.299999999999997</v>
      </c>
      <c r="D45" s="14">
        <v>40.299999999999997</v>
      </c>
      <c r="E45" s="14">
        <v>40.299999999999997</v>
      </c>
      <c r="F45" s="194">
        <f t="shared" si="0"/>
        <v>0</v>
      </c>
      <c r="G45" s="194">
        <f t="shared" si="1"/>
        <v>0</v>
      </c>
      <c r="P45" s="301"/>
      <c r="Q45" s="296"/>
      <c r="R45" s="300"/>
      <c r="S45" s="300"/>
      <c r="T45" s="300"/>
      <c r="U45" s="300"/>
      <c r="V45" s="300"/>
      <c r="W45" s="300"/>
      <c r="X45" s="302"/>
      <c r="Y45" s="296"/>
    </row>
    <row r="46" spans="1:25" x14ac:dyDescent="0.25">
      <c r="A46" s="53"/>
      <c r="B46" t="s">
        <v>427</v>
      </c>
      <c r="C46" s="14">
        <f>E10</f>
        <v>45.5</v>
      </c>
      <c r="D46" s="14">
        <v>45.5</v>
      </c>
      <c r="E46" s="14">
        <v>45.5</v>
      </c>
      <c r="F46" s="194">
        <f t="shared" si="0"/>
        <v>0</v>
      </c>
      <c r="G46" s="194">
        <f t="shared" si="1"/>
        <v>0</v>
      </c>
      <c r="P46" s="303"/>
      <c r="Q46" s="296"/>
      <c r="R46" s="300"/>
      <c r="S46" s="300"/>
      <c r="T46" s="300"/>
      <c r="U46" s="300"/>
      <c r="V46" s="300"/>
      <c r="W46" s="300"/>
      <c r="X46" s="305"/>
      <c r="Y46" s="296"/>
    </row>
    <row r="47" spans="1:25" x14ac:dyDescent="0.25">
      <c r="A47" s="53"/>
      <c r="B47" t="s">
        <v>428</v>
      </c>
      <c r="C47" s="14">
        <f>F10</f>
        <v>47.5</v>
      </c>
      <c r="D47" s="14">
        <v>47.5</v>
      </c>
      <c r="E47" s="14">
        <v>47.5</v>
      </c>
      <c r="F47" s="194">
        <f t="shared" si="0"/>
        <v>0</v>
      </c>
      <c r="G47" s="194">
        <f t="shared" si="1"/>
        <v>0</v>
      </c>
      <c r="P47" s="306"/>
      <c r="Q47" s="296"/>
      <c r="R47" s="302"/>
      <c r="S47" s="302"/>
      <c r="T47" s="302"/>
      <c r="U47" s="302"/>
      <c r="V47" s="302"/>
      <c r="W47" s="302"/>
      <c r="X47" s="304"/>
      <c r="Y47" s="296"/>
    </row>
    <row r="48" spans="1:25" s="25" customFormat="1" x14ac:dyDescent="0.25">
      <c r="A48" s="25" t="s">
        <v>436</v>
      </c>
      <c r="C48" s="32">
        <f>SUM(C44:C47)</f>
        <v>156.4</v>
      </c>
      <c r="D48" s="32">
        <f t="shared" ref="D48:E48" si="6">SUM(D44:D47)</f>
        <v>158.72999999999999</v>
      </c>
      <c r="E48" s="32">
        <f t="shared" si="6"/>
        <v>159.06</v>
      </c>
      <c r="F48" s="409">
        <f t="shared" si="0"/>
        <v>2.079002079002158E-3</v>
      </c>
      <c r="G48" s="409">
        <f t="shared" si="1"/>
        <v>1.7007672634271078E-2</v>
      </c>
      <c r="P48" s="306"/>
      <c r="Q48" s="306"/>
      <c r="R48" s="306"/>
      <c r="S48" s="306"/>
      <c r="T48" s="306"/>
      <c r="U48" s="306"/>
      <c r="V48" s="306"/>
      <c r="W48" s="306"/>
      <c r="X48" s="306"/>
      <c r="Y48" s="306"/>
    </row>
    <row r="49" spans="1:7" s="25" customFormat="1" x14ac:dyDescent="0.25">
      <c r="A49" s="25" t="s">
        <v>164</v>
      </c>
      <c r="C49" s="32">
        <f>C24+C30+C36+C42+C48</f>
        <v>1634.45</v>
      </c>
      <c r="D49" s="32">
        <f t="shared" ref="D49:G49" si="7">D24+D30+D36+D42+D48</f>
        <v>1639.36</v>
      </c>
      <c r="E49" s="32">
        <f t="shared" si="7"/>
        <v>1644.28</v>
      </c>
      <c r="F49" s="409">
        <f t="shared" ref="F49" si="8">((E49-D49)/D49)</f>
        <v>3.0011711887566327E-3</v>
      </c>
      <c r="G49" s="409">
        <f t="shared" ref="G49" si="9">((E49-C49)/C49)</f>
        <v>6.0142555599742584E-3</v>
      </c>
    </row>
  </sheetData>
  <dataConsolidate/>
  <mergeCells count="3">
    <mergeCell ref="A4:A5"/>
    <mergeCell ref="B4:G4"/>
    <mergeCell ref="A1:F1"/>
  </mergeCell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
  <sheetViews>
    <sheetView workbookViewId="0">
      <selection activeCell="B1" sqref="B1"/>
    </sheetView>
  </sheetViews>
  <sheetFormatPr defaultRowHeight="15" x14ac:dyDescent="0.25"/>
  <cols>
    <col min="2" max="2" width="81.140625" style="6" customWidth="1"/>
  </cols>
  <sheetData>
    <row r="1" spans="2:2" ht="42" customHeight="1" x14ac:dyDescent="0.25">
      <c r="B1" s="293" t="s">
        <v>330</v>
      </c>
    </row>
    <row r="2" spans="2:2" ht="15.75" customHeight="1" thickBot="1" x14ac:dyDescent="0.3">
      <c r="B2" s="324" t="s">
        <v>362</v>
      </c>
    </row>
    <row r="3" spans="2:2" ht="16.5" thickTop="1" thickBot="1" x14ac:dyDescent="0.3">
      <c r="B3" s="35" t="s">
        <v>11</v>
      </c>
    </row>
    <row r="4" spans="2:2" ht="15.75" thickBot="1" x14ac:dyDescent="0.3">
      <c r="B4" s="36" t="s">
        <v>12</v>
      </c>
    </row>
    <row r="5" spans="2:2" ht="15.75" thickBot="1" x14ac:dyDescent="0.3">
      <c r="B5" s="37" t="s">
        <v>13</v>
      </c>
    </row>
    <row r="6" spans="2:2" ht="26.25" thickBot="1" x14ac:dyDescent="0.3">
      <c r="B6" s="38" t="s">
        <v>160</v>
      </c>
    </row>
    <row r="7" spans="2:2" ht="15.75" thickBot="1" x14ac:dyDescent="0.3">
      <c r="B7" s="39" t="s">
        <v>14</v>
      </c>
    </row>
    <row r="8" spans="2:2" ht="26.25" thickBot="1" x14ac:dyDescent="0.3">
      <c r="B8" s="40" t="s">
        <v>15</v>
      </c>
    </row>
    <row r="9" spans="2:2" ht="26.25" thickBot="1" x14ac:dyDescent="0.3">
      <c r="B9" s="41" t="s">
        <v>16</v>
      </c>
    </row>
    <row r="10" spans="2:2" ht="15.75" thickBot="1" x14ac:dyDescent="0.3">
      <c r="B10" s="36" t="s">
        <v>17</v>
      </c>
    </row>
    <row r="11" spans="2:2" ht="26.25" thickBot="1" x14ac:dyDescent="0.3">
      <c r="B11" s="37" t="s">
        <v>18</v>
      </c>
    </row>
    <row r="12" spans="2:2" ht="15.75" customHeight="1" thickBot="1" x14ac:dyDescent="0.3">
      <c r="B12" s="38" t="s">
        <v>161</v>
      </c>
    </row>
    <row r="13" spans="2:2" ht="15.75" thickBot="1" x14ac:dyDescent="0.3">
      <c r="B13" s="39" t="s">
        <v>0</v>
      </c>
    </row>
    <row r="14" spans="2:2" ht="15.75" thickBot="1" x14ac:dyDescent="0.3">
      <c r="B14" s="40" t="s">
        <v>19</v>
      </c>
    </row>
    <row r="15" spans="2:2" ht="26.25" thickBot="1" x14ac:dyDescent="0.3">
      <c r="B15" s="41" t="s">
        <v>20</v>
      </c>
    </row>
    <row r="16" spans="2:2" ht="15.75" thickBot="1" x14ac:dyDescent="0.3">
      <c r="B16" s="36" t="s">
        <v>21</v>
      </c>
    </row>
    <row r="17" spans="2:2" ht="26.25" thickBot="1" x14ac:dyDescent="0.3">
      <c r="B17" s="37" t="s">
        <v>22</v>
      </c>
    </row>
    <row r="18" spans="2:2" ht="64.5" thickBot="1" x14ac:dyDescent="0.3">
      <c r="B18" s="38" t="s">
        <v>172</v>
      </c>
    </row>
    <row r="19" spans="2:2" ht="15.75" thickBot="1" x14ac:dyDescent="0.3">
      <c r="B19" s="39" t="s">
        <v>173</v>
      </c>
    </row>
    <row r="20" spans="2:2" ht="15.75" thickBot="1" x14ac:dyDescent="0.3">
      <c r="B20" s="40" t="s">
        <v>174</v>
      </c>
    </row>
    <row r="21" spans="2:2" ht="26.25" thickBot="1" x14ac:dyDescent="0.3">
      <c r="B21" s="41" t="s">
        <v>175</v>
      </c>
    </row>
    <row r="22" spans="2:2" ht="15.75" thickBot="1" x14ac:dyDescent="0.3">
      <c r="B22" s="36" t="s">
        <v>23</v>
      </c>
    </row>
    <row r="23" spans="2:2" ht="15.75" thickBot="1" x14ac:dyDescent="0.3">
      <c r="B23" s="37" t="s">
        <v>24</v>
      </c>
    </row>
    <row r="24" spans="2:2" ht="26.25" thickBot="1" x14ac:dyDescent="0.3">
      <c r="B24" s="38" t="s">
        <v>25</v>
      </c>
    </row>
    <row r="25" spans="2:2" ht="15.75" thickBot="1" x14ac:dyDescent="0.3">
      <c r="B25" s="39" t="s">
        <v>26</v>
      </c>
    </row>
    <row r="26" spans="2:2" ht="15.75" thickBot="1" x14ac:dyDescent="0.3">
      <c r="B26" s="40" t="s">
        <v>176</v>
      </c>
    </row>
    <row r="27" spans="2:2" ht="26.25" thickBot="1" x14ac:dyDescent="0.3">
      <c r="B27" s="41" t="s">
        <v>177</v>
      </c>
    </row>
    <row r="28" spans="2:2" ht="15.75" thickBot="1" x14ac:dyDescent="0.3">
      <c r="B28" s="36" t="s">
        <v>27</v>
      </c>
    </row>
    <row r="29" spans="2:2" ht="15.75" thickBot="1" x14ac:dyDescent="0.3">
      <c r="B29" s="37" t="s">
        <v>28</v>
      </c>
    </row>
    <row r="30" spans="2:2" ht="26.25" thickBot="1" x14ac:dyDescent="0.3">
      <c r="B30" s="38" t="s">
        <v>29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K27"/>
  <sheetViews>
    <sheetView workbookViewId="0">
      <selection activeCell="B1" sqref="B1:E1"/>
    </sheetView>
  </sheetViews>
  <sheetFormatPr defaultRowHeight="15" x14ac:dyDescent="0.25"/>
  <cols>
    <col min="1" max="1" width="3.5703125" customWidth="1"/>
    <col min="2" max="2" width="32.7109375" customWidth="1"/>
    <col min="3" max="3" width="10" customWidth="1"/>
    <col min="4" max="5" width="9.140625" bestFit="1" customWidth="1"/>
    <col min="6" max="6" width="8.140625" bestFit="1" customWidth="1"/>
    <col min="7" max="7" width="11.140625" customWidth="1"/>
    <col min="8" max="8" width="8" bestFit="1" customWidth="1"/>
    <col min="9" max="9" width="9.42578125" customWidth="1"/>
    <col min="10" max="10" width="14.42578125" bestFit="1" customWidth="1"/>
    <col min="11" max="11" width="15.5703125" customWidth="1"/>
    <col min="12" max="13" width="9.7109375" customWidth="1"/>
  </cols>
  <sheetData>
    <row r="1" spans="2:11" ht="40.5" customHeight="1" x14ac:dyDescent="0.25">
      <c r="B1" s="371" t="s">
        <v>368</v>
      </c>
      <c r="C1" s="371"/>
      <c r="D1" s="371"/>
      <c r="E1" s="371"/>
    </row>
    <row r="2" spans="2:11" ht="40.5" customHeight="1" x14ac:dyDescent="0.25">
      <c r="B2" s="294" t="s">
        <v>360</v>
      </c>
      <c r="C2" s="275"/>
      <c r="D2" s="275"/>
      <c r="E2" s="275"/>
    </row>
    <row r="3" spans="2:11" ht="15.75" customHeight="1" x14ac:dyDescent="0.25">
      <c r="B3" s="25" t="s">
        <v>369</v>
      </c>
      <c r="C3" s="275"/>
      <c r="D3" s="275"/>
      <c r="E3" s="275"/>
    </row>
    <row r="4" spans="2:11" ht="30" x14ac:dyDescent="0.25">
      <c r="B4" s="31" t="s">
        <v>162</v>
      </c>
      <c r="C4" s="30" t="s">
        <v>163</v>
      </c>
      <c r="D4" s="31" t="s">
        <v>169</v>
      </c>
      <c r="E4" s="33" t="s">
        <v>164</v>
      </c>
    </row>
    <row r="5" spans="2:11" x14ac:dyDescent="0.25">
      <c r="B5" t="s">
        <v>165</v>
      </c>
      <c r="C5" s="14">
        <f>(1899406.68+9000000)/1000000</f>
        <v>10.89940668</v>
      </c>
      <c r="D5" s="14">
        <f>2276142.32/1000000</f>
        <v>2.2761423199999999</v>
      </c>
      <c r="E5" s="32">
        <f>C5+D5</f>
        <v>13.175549</v>
      </c>
    </row>
    <row r="6" spans="2:11" x14ac:dyDescent="0.25">
      <c r="B6" t="s">
        <v>153</v>
      </c>
      <c r="C6" s="14">
        <f>21700/1000000</f>
        <v>2.1700000000000001E-2</v>
      </c>
      <c r="D6" s="14">
        <f>78300/1000000</f>
        <v>7.8299999999999995E-2</v>
      </c>
      <c r="E6" s="32">
        <f>C6+D6</f>
        <v>9.9999999999999992E-2</v>
      </c>
    </row>
    <row r="7" spans="2:11" x14ac:dyDescent="0.25">
      <c r="B7" t="s">
        <v>0</v>
      </c>
      <c r="C7" s="14">
        <v>134</v>
      </c>
      <c r="D7" s="14">
        <v>0</v>
      </c>
      <c r="E7" s="32">
        <f>C7+D7</f>
        <v>134</v>
      </c>
    </row>
    <row r="8" spans="2:11" x14ac:dyDescent="0.25">
      <c r="B8" t="s">
        <v>166</v>
      </c>
      <c r="C8" s="14">
        <f>6953.09/1000000</f>
        <v>6.9530900000000003E-3</v>
      </c>
      <c r="D8" s="14">
        <f>13046.91/1000000</f>
        <v>1.304691E-2</v>
      </c>
      <c r="E8" s="32">
        <f>C8+D8</f>
        <v>0.02</v>
      </c>
    </row>
    <row r="9" spans="2:11" x14ac:dyDescent="0.25">
      <c r="B9" t="s">
        <v>167</v>
      </c>
      <c r="C9" s="14">
        <v>0</v>
      </c>
      <c r="D9" s="14">
        <f>4000000/1000000</f>
        <v>4</v>
      </c>
      <c r="E9" s="32">
        <f>C9+D9</f>
        <v>4</v>
      </c>
    </row>
    <row r="10" spans="2:11" x14ac:dyDescent="0.25">
      <c r="B10" s="25" t="s">
        <v>168</v>
      </c>
      <c r="C10" s="26">
        <f>SUM(C5:C9)</f>
        <v>144.92805977</v>
      </c>
      <c r="D10" s="26">
        <f t="shared" ref="D10:E10" si="0">SUM(D5:D9)</f>
        <v>6.3674892300000003</v>
      </c>
      <c r="E10" s="26">
        <f t="shared" si="0"/>
        <v>151.29554900000002</v>
      </c>
    </row>
    <row r="12" spans="2:11" ht="34.5" customHeight="1" x14ac:dyDescent="0.25">
      <c r="B12" s="295" t="s">
        <v>361</v>
      </c>
    </row>
    <row r="13" spans="2:11" x14ac:dyDescent="0.25">
      <c r="B13" s="25" t="s">
        <v>369</v>
      </c>
    </row>
    <row r="14" spans="2:11" x14ac:dyDescent="0.25">
      <c r="B14" s="284" t="s">
        <v>348</v>
      </c>
      <c r="C14" s="283" t="s">
        <v>215</v>
      </c>
      <c r="D14" s="283" t="s">
        <v>221</v>
      </c>
      <c r="E14" s="283" t="s">
        <v>169</v>
      </c>
      <c r="F14" s="283" t="s">
        <v>353</v>
      </c>
      <c r="G14" s="283" t="s">
        <v>354</v>
      </c>
      <c r="H14" s="283" t="s">
        <v>355</v>
      </c>
      <c r="I14" s="283" t="s">
        <v>356</v>
      </c>
      <c r="J14" s="283" t="s">
        <v>164</v>
      </c>
      <c r="K14" s="282" t="s">
        <v>359</v>
      </c>
    </row>
    <row r="15" spans="2:11" x14ac:dyDescent="0.25">
      <c r="B15" s="285" t="s">
        <v>349</v>
      </c>
      <c r="C15" s="308">
        <f>SUM(C16:C18)</f>
        <v>1</v>
      </c>
      <c r="D15" s="308">
        <f t="shared" ref="D15:I15" si="1">SUM(D16:D18)</f>
        <v>2.1</v>
      </c>
      <c r="E15" s="308">
        <f t="shared" si="1"/>
        <v>1</v>
      </c>
      <c r="F15" s="308">
        <f t="shared" si="1"/>
        <v>6.49</v>
      </c>
      <c r="G15" s="308">
        <f t="shared" si="1"/>
        <v>0</v>
      </c>
      <c r="H15" s="308">
        <f t="shared" si="1"/>
        <v>0</v>
      </c>
      <c r="I15" s="308">
        <f t="shared" si="1"/>
        <v>0</v>
      </c>
      <c r="J15" s="286"/>
      <c r="K15" s="291">
        <f>SUM(J15:J18)</f>
        <v>10.59</v>
      </c>
    </row>
    <row r="16" spans="2:11" x14ac:dyDescent="0.25">
      <c r="B16" s="279" t="s">
        <v>357</v>
      </c>
      <c r="C16" s="287">
        <v>1</v>
      </c>
      <c r="D16" s="287">
        <v>0.1</v>
      </c>
      <c r="E16" s="287"/>
      <c r="F16" s="287"/>
      <c r="G16" s="287"/>
      <c r="H16" s="287"/>
      <c r="I16" s="287"/>
      <c r="J16" s="287">
        <f>SUM(C16:I16)</f>
        <v>1.1000000000000001</v>
      </c>
      <c r="K16" s="281"/>
    </row>
    <row r="17" spans="2:11" x14ac:dyDescent="0.25">
      <c r="B17" s="279" t="s">
        <v>153</v>
      </c>
      <c r="C17" s="280"/>
      <c r="D17" s="280">
        <v>2</v>
      </c>
      <c r="E17" s="280">
        <v>1</v>
      </c>
      <c r="F17" s="280"/>
      <c r="G17" s="280"/>
      <c r="H17" s="280"/>
      <c r="I17" s="280"/>
      <c r="J17" s="280">
        <f>SUM(C17:I17)</f>
        <v>3</v>
      </c>
      <c r="K17" s="281"/>
    </row>
    <row r="18" spans="2:11" x14ac:dyDescent="0.25">
      <c r="B18" s="279" t="s">
        <v>358</v>
      </c>
      <c r="C18" s="288"/>
      <c r="D18" s="288"/>
      <c r="E18" s="288"/>
      <c r="F18" s="288">
        <v>6.49</v>
      </c>
      <c r="G18" s="288"/>
      <c r="H18" s="288"/>
      <c r="I18" s="288"/>
      <c r="J18" s="288">
        <f t="shared" ref="J18:J26" si="2">SUM(C18:I18)</f>
        <v>6.49</v>
      </c>
      <c r="K18" s="292"/>
    </row>
    <row r="19" spans="2:11" x14ac:dyDescent="0.25">
      <c r="B19" s="285" t="s">
        <v>350</v>
      </c>
      <c r="C19" s="308">
        <f t="shared" ref="C19:I19" si="3">SUM(C20:C22)</f>
        <v>1</v>
      </c>
      <c r="D19" s="308">
        <f t="shared" si="3"/>
        <v>2</v>
      </c>
      <c r="E19" s="308">
        <f t="shared" si="3"/>
        <v>0.3</v>
      </c>
      <c r="F19" s="308">
        <f t="shared" si="3"/>
        <v>22.9</v>
      </c>
      <c r="G19" s="308">
        <f t="shared" si="3"/>
        <v>17.5</v>
      </c>
      <c r="H19" s="308">
        <f t="shared" si="3"/>
        <v>1.8</v>
      </c>
      <c r="I19" s="308">
        <f t="shared" si="3"/>
        <v>1</v>
      </c>
      <c r="J19" s="289"/>
      <c r="K19" s="291">
        <f>SUM(J20:J22)</f>
        <v>46.5</v>
      </c>
    </row>
    <row r="20" spans="2:11" x14ac:dyDescent="0.25">
      <c r="B20" s="279" t="s">
        <v>357</v>
      </c>
      <c r="C20" s="287">
        <v>1</v>
      </c>
      <c r="D20" s="287">
        <v>2</v>
      </c>
      <c r="E20" s="287">
        <v>0.3</v>
      </c>
      <c r="F20" s="287"/>
      <c r="G20" s="287"/>
      <c r="H20" s="287"/>
      <c r="I20" s="287"/>
      <c r="J20" s="287">
        <f t="shared" si="2"/>
        <v>3.3</v>
      </c>
      <c r="K20" s="281"/>
    </row>
    <row r="21" spans="2:11" x14ac:dyDescent="0.25">
      <c r="B21" s="279" t="s">
        <v>153</v>
      </c>
      <c r="C21" s="280"/>
      <c r="D21" s="280"/>
      <c r="E21" s="280"/>
      <c r="F21" s="280">
        <v>5.4</v>
      </c>
      <c r="G21" s="280"/>
      <c r="H21" s="280"/>
      <c r="I21" s="280"/>
      <c r="J21" s="280">
        <f t="shared" si="2"/>
        <v>5.4</v>
      </c>
      <c r="K21" s="281"/>
    </row>
    <row r="22" spans="2:11" x14ac:dyDescent="0.25">
      <c r="B22" s="279" t="s">
        <v>358</v>
      </c>
      <c r="C22" s="288"/>
      <c r="D22" s="288"/>
      <c r="E22" s="288"/>
      <c r="F22" s="288">
        <v>17.5</v>
      </c>
      <c r="G22" s="288">
        <v>17.5</v>
      </c>
      <c r="H22" s="288">
        <v>1.8</v>
      </c>
      <c r="I22" s="288">
        <v>1</v>
      </c>
      <c r="J22" s="288">
        <f t="shared" si="2"/>
        <v>37.799999999999997</v>
      </c>
      <c r="K22" s="292"/>
    </row>
    <row r="23" spans="2:11" x14ac:dyDescent="0.25">
      <c r="B23" s="285" t="s">
        <v>351</v>
      </c>
      <c r="C23" s="308">
        <f>SUM(C24:C26)</f>
        <v>1</v>
      </c>
      <c r="D23" s="308">
        <f t="shared" ref="D23:J23" si="4">SUM(D24:D26)</f>
        <v>3</v>
      </c>
      <c r="E23" s="308">
        <f t="shared" si="4"/>
        <v>4</v>
      </c>
      <c r="F23" s="308">
        <f t="shared" si="4"/>
        <v>1</v>
      </c>
      <c r="G23" s="308">
        <f t="shared" si="4"/>
        <v>39.5</v>
      </c>
      <c r="H23" s="308">
        <f t="shared" si="4"/>
        <v>43.8</v>
      </c>
      <c r="I23" s="308">
        <f t="shared" si="4"/>
        <v>0.57999999999999996</v>
      </c>
      <c r="J23" s="308">
        <f t="shared" si="4"/>
        <v>92.88</v>
      </c>
      <c r="K23" s="291">
        <f>SUM(J24:J26)</f>
        <v>92.88</v>
      </c>
    </row>
    <row r="24" spans="2:11" x14ac:dyDescent="0.25">
      <c r="B24" s="279" t="s">
        <v>357</v>
      </c>
      <c r="C24" s="287">
        <v>1</v>
      </c>
      <c r="D24" s="287">
        <v>3</v>
      </c>
      <c r="E24" s="287">
        <v>4</v>
      </c>
      <c r="F24" s="287">
        <v>1</v>
      </c>
      <c r="G24" s="287">
        <v>0.7</v>
      </c>
      <c r="H24" s="287">
        <v>0.3</v>
      </c>
      <c r="I24" s="287"/>
      <c r="J24" s="287">
        <f t="shared" si="2"/>
        <v>10</v>
      </c>
      <c r="K24" s="281"/>
    </row>
    <row r="25" spans="2:11" x14ac:dyDescent="0.25">
      <c r="B25" s="279" t="s">
        <v>153</v>
      </c>
      <c r="C25" s="280"/>
      <c r="D25" s="280"/>
      <c r="E25" s="280"/>
      <c r="F25" s="280"/>
      <c r="G25" s="280"/>
      <c r="H25" s="280"/>
      <c r="I25" s="280"/>
      <c r="J25" s="280">
        <f t="shared" si="2"/>
        <v>0</v>
      </c>
      <c r="K25" s="281"/>
    </row>
    <row r="26" spans="2:11" x14ac:dyDescent="0.25">
      <c r="B26" s="279" t="s">
        <v>358</v>
      </c>
      <c r="C26" s="280"/>
      <c r="D26" s="280"/>
      <c r="E26" s="280"/>
      <c r="F26" s="280"/>
      <c r="G26" s="280">
        <v>38.799999999999997</v>
      </c>
      <c r="H26" s="280">
        <v>43.5</v>
      </c>
      <c r="I26" s="280">
        <v>0.57999999999999996</v>
      </c>
      <c r="J26" s="280">
        <f t="shared" si="2"/>
        <v>82.88</v>
      </c>
      <c r="K26" s="292"/>
    </row>
    <row r="27" spans="2:11" x14ac:dyDescent="0.25">
      <c r="B27" s="290" t="s">
        <v>164</v>
      </c>
      <c r="C27" s="291">
        <f>SUM(C15:C26)</f>
        <v>6</v>
      </c>
      <c r="D27" s="291">
        <f t="shared" ref="D27:J27" si="5">SUM(D15:D26)</f>
        <v>14.2</v>
      </c>
      <c r="E27" s="291">
        <f t="shared" si="5"/>
        <v>10.6</v>
      </c>
      <c r="F27" s="291">
        <f t="shared" si="5"/>
        <v>60.779999999999994</v>
      </c>
      <c r="G27" s="291">
        <f t="shared" si="5"/>
        <v>114</v>
      </c>
      <c r="H27" s="291">
        <f t="shared" si="5"/>
        <v>91.199999999999989</v>
      </c>
      <c r="I27" s="291">
        <f t="shared" si="5"/>
        <v>3.16</v>
      </c>
      <c r="J27" s="291">
        <f t="shared" si="5"/>
        <v>242.85</v>
      </c>
      <c r="K27" s="291">
        <f>SUM(K15:K25)</f>
        <v>149.97</v>
      </c>
    </row>
  </sheetData>
  <mergeCells count="1">
    <mergeCell ref="B1:E1"/>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workbookViewId="0">
      <selection activeCell="B1" sqref="B1:H1"/>
    </sheetView>
  </sheetViews>
  <sheetFormatPr defaultRowHeight="15" x14ac:dyDescent="0.25"/>
  <cols>
    <col min="7" max="7" width="9.85546875" customWidth="1"/>
  </cols>
  <sheetData>
    <row r="1" spans="2:8" ht="48.75" customHeight="1" x14ac:dyDescent="0.25">
      <c r="B1" s="371" t="s">
        <v>374</v>
      </c>
      <c r="C1" s="371"/>
      <c r="D1" s="371"/>
      <c r="E1" s="371"/>
      <c r="F1" s="371"/>
      <c r="G1" s="371"/>
      <c r="H1" s="371"/>
    </row>
    <row r="2" spans="2:8" ht="35.25" customHeight="1" x14ac:dyDescent="0.25">
      <c r="B2" s="278"/>
      <c r="C2" s="278"/>
      <c r="D2" s="278"/>
      <c r="E2" s="278"/>
      <c r="F2" s="278"/>
      <c r="G2" s="278"/>
      <c r="H2" s="278"/>
    </row>
    <row r="3" spans="2:8" ht="20.25" customHeight="1" x14ac:dyDescent="0.25">
      <c r="B3" s="307" t="s">
        <v>372</v>
      </c>
      <c r="C3" s="275"/>
      <c r="D3" s="275"/>
      <c r="E3" s="275"/>
      <c r="F3" s="275"/>
      <c r="G3" s="275"/>
      <c r="H3" s="275"/>
    </row>
    <row r="4" spans="2:8" ht="30" x14ac:dyDescent="0.25">
      <c r="B4" s="309" t="s">
        <v>212</v>
      </c>
      <c r="C4" s="309" t="s">
        <v>1</v>
      </c>
      <c r="D4" s="6" t="s">
        <v>373</v>
      </c>
      <c r="E4" s="6" t="s">
        <v>261</v>
      </c>
      <c r="F4" s="6" t="s">
        <v>262</v>
      </c>
      <c r="G4" s="6" t="s">
        <v>216</v>
      </c>
      <c r="H4" s="6" t="s">
        <v>217</v>
      </c>
    </row>
    <row r="5" spans="2:8" x14ac:dyDescent="0.25">
      <c r="B5" t="s">
        <v>218</v>
      </c>
      <c r="C5" s="5">
        <v>15.087999999999999</v>
      </c>
      <c r="D5" s="5">
        <v>15.087999999999999</v>
      </c>
      <c r="E5" s="5">
        <v>15.087999999999999</v>
      </c>
      <c r="F5" s="5">
        <v>15.087999999999999</v>
      </c>
      <c r="G5" s="5">
        <f>F5-E5</f>
        <v>0</v>
      </c>
      <c r="H5" s="43">
        <f>F5-C5</f>
        <v>0</v>
      </c>
    </row>
    <row r="6" spans="2:8" x14ac:dyDescent="0.25">
      <c r="B6" s="55">
        <v>2014</v>
      </c>
      <c r="C6" s="5">
        <v>30.1</v>
      </c>
      <c r="D6" s="5">
        <v>53.715000000000003</v>
      </c>
      <c r="E6" s="5">
        <v>53.715000000000003</v>
      </c>
      <c r="F6" s="5">
        <v>53.715000000000003</v>
      </c>
      <c r="G6" s="5">
        <f t="shared" ref="G6:G9" si="0">F6-E6</f>
        <v>0</v>
      </c>
      <c r="H6" s="43">
        <f t="shared" ref="H6:H9" si="1">F6-C6</f>
        <v>23.615000000000002</v>
      </c>
    </row>
    <row r="7" spans="2:8" x14ac:dyDescent="0.25">
      <c r="B7" s="55">
        <v>2015</v>
      </c>
      <c r="C7" s="5">
        <v>129.30000000000001</v>
      </c>
      <c r="D7" s="5">
        <v>128</v>
      </c>
      <c r="E7" s="5">
        <v>123.91200000000001</v>
      </c>
      <c r="F7" s="5">
        <v>123.91200000000001</v>
      </c>
      <c r="G7" s="5">
        <f t="shared" si="0"/>
        <v>0</v>
      </c>
      <c r="H7" s="43">
        <f t="shared" si="1"/>
        <v>-5.3880000000000052</v>
      </c>
    </row>
    <row r="8" spans="2:8" x14ac:dyDescent="0.25">
      <c r="B8" s="55">
        <v>2016</v>
      </c>
      <c r="C8" s="5">
        <v>123.6</v>
      </c>
      <c r="D8" s="5">
        <v>160.1</v>
      </c>
      <c r="E8" s="5">
        <v>184.12100000000001</v>
      </c>
      <c r="F8" s="5">
        <v>168.05099999999999</v>
      </c>
      <c r="G8" s="5">
        <f t="shared" si="0"/>
        <v>-16.070000000000022</v>
      </c>
      <c r="H8" s="43">
        <f t="shared" si="1"/>
        <v>44.450999999999993</v>
      </c>
    </row>
    <row r="9" spans="2:8" x14ac:dyDescent="0.25">
      <c r="B9" s="55">
        <v>2017</v>
      </c>
      <c r="C9" s="5">
        <v>108.6</v>
      </c>
      <c r="D9" s="5">
        <v>108.9</v>
      </c>
      <c r="E9" s="5">
        <v>95.433999999999997</v>
      </c>
      <c r="F9" s="5">
        <v>116.145</v>
      </c>
      <c r="G9" s="5">
        <f t="shared" si="0"/>
        <v>20.710999999999999</v>
      </c>
      <c r="H9" s="43">
        <f t="shared" si="1"/>
        <v>7.5450000000000017</v>
      </c>
    </row>
    <row r="10" spans="2:8" x14ac:dyDescent="0.25">
      <c r="B10" s="25" t="s">
        <v>219</v>
      </c>
      <c r="C10" s="43">
        <f>SUM(C5:C9)</f>
        <v>406.68799999999999</v>
      </c>
      <c r="D10" s="43">
        <f t="shared" ref="D10:H10" si="2">SUM(D5:D9)</f>
        <v>465.803</v>
      </c>
      <c r="E10" s="43">
        <f t="shared" si="2"/>
        <v>472.27</v>
      </c>
      <c r="F10" s="43">
        <f t="shared" si="2"/>
        <v>476.91099999999994</v>
      </c>
      <c r="G10" s="43">
        <f t="shared" si="2"/>
        <v>4.6409999999999769</v>
      </c>
      <c r="H10" s="43">
        <f t="shared" si="2"/>
        <v>70.222999999999985</v>
      </c>
    </row>
  </sheetData>
  <mergeCells count="1">
    <mergeCell ref="B1:H1"/>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9"/>
  <sheetViews>
    <sheetView topLeftCell="B1" zoomScaleNormal="100" workbookViewId="0">
      <selection activeCell="S4" sqref="S4"/>
    </sheetView>
  </sheetViews>
  <sheetFormatPr defaultRowHeight="15" x14ac:dyDescent="0.25"/>
  <cols>
    <col min="1" max="1" width="4.42578125" customWidth="1"/>
    <col min="2" max="2" width="50.42578125" bestFit="1" customWidth="1"/>
    <col min="3" max="3" width="7.7109375" customWidth="1"/>
    <col min="4" max="4" width="6.7109375" bestFit="1" customWidth="1"/>
    <col min="5" max="6" width="7.7109375" bestFit="1" customWidth="1"/>
    <col min="7" max="7" width="9" bestFit="1" customWidth="1"/>
    <col min="8" max="8" width="7.7109375" customWidth="1"/>
    <col min="10" max="10" width="36.140625" customWidth="1"/>
    <col min="11" max="11" width="9.5703125" customWidth="1"/>
    <col min="12" max="12" width="7" customWidth="1"/>
    <col min="13" max="13" width="9" bestFit="1" customWidth="1"/>
    <col min="14" max="15" width="8" customWidth="1"/>
    <col min="16" max="16" width="7.7109375" customWidth="1"/>
    <col min="17" max="17" width="8.85546875" customWidth="1"/>
  </cols>
  <sheetData>
    <row r="1" spans="2:17" ht="49.5" customHeight="1" x14ac:dyDescent="0.25">
      <c r="B1" s="371" t="s">
        <v>329</v>
      </c>
      <c r="C1" s="371"/>
      <c r="D1" s="371"/>
      <c r="E1" s="371"/>
      <c r="F1" s="371"/>
      <c r="G1" s="371"/>
      <c r="H1" s="371"/>
      <c r="J1" s="371" t="s">
        <v>376</v>
      </c>
      <c r="K1" s="371"/>
      <c r="L1" s="371"/>
      <c r="M1" s="371"/>
      <c r="N1" s="371"/>
      <c r="O1" s="371"/>
      <c r="P1" s="371"/>
      <c r="Q1" s="371"/>
    </row>
    <row r="2" spans="2:17" ht="14.25" customHeight="1" x14ac:dyDescent="0.25">
      <c r="B2" s="324" t="s">
        <v>375</v>
      </c>
      <c r="C2" s="275"/>
      <c r="D2" s="275"/>
      <c r="E2" s="275"/>
      <c r="F2" s="275"/>
      <c r="G2" s="275"/>
      <c r="H2" s="275"/>
      <c r="J2" s="307" t="s">
        <v>375</v>
      </c>
      <c r="K2" s="275"/>
      <c r="L2" s="275"/>
      <c r="M2" s="275"/>
      <c r="N2" s="275"/>
      <c r="O2" s="275"/>
      <c r="P2" s="275"/>
      <c r="Q2" s="275"/>
    </row>
    <row r="3" spans="2:17" ht="30.75" thickBot="1" x14ac:dyDescent="0.3">
      <c r="B3" s="96" t="s">
        <v>220</v>
      </c>
      <c r="C3" s="97" t="s">
        <v>218</v>
      </c>
      <c r="D3" s="96" t="s">
        <v>213</v>
      </c>
      <c r="E3" s="96" t="s">
        <v>214</v>
      </c>
      <c r="F3" s="96" t="s">
        <v>215</v>
      </c>
      <c r="G3" s="96" t="s">
        <v>221</v>
      </c>
      <c r="H3" s="96" t="s">
        <v>164</v>
      </c>
      <c r="J3" s="98" t="s">
        <v>220</v>
      </c>
      <c r="K3" s="99" t="s">
        <v>234</v>
      </c>
      <c r="L3" s="99" t="s">
        <v>218</v>
      </c>
      <c r="M3" s="98" t="s">
        <v>213</v>
      </c>
      <c r="N3" s="98" t="s">
        <v>214</v>
      </c>
      <c r="O3" s="98" t="s">
        <v>215</v>
      </c>
      <c r="P3" s="98" t="s">
        <v>221</v>
      </c>
      <c r="Q3" s="98" t="s">
        <v>164</v>
      </c>
    </row>
    <row r="4" spans="2:17" ht="16.5" thickTop="1" thickBot="1" x14ac:dyDescent="0.3">
      <c r="B4" s="56" t="s">
        <v>170</v>
      </c>
      <c r="C4" s="57"/>
      <c r="D4" s="56"/>
      <c r="E4" s="56"/>
      <c r="F4" s="56"/>
      <c r="G4" s="58"/>
      <c r="H4" s="56"/>
      <c r="J4" s="100" t="s">
        <v>170</v>
      </c>
      <c r="K4" s="100"/>
      <c r="L4" s="101"/>
      <c r="M4" s="100"/>
      <c r="N4" s="100"/>
      <c r="O4" s="100"/>
      <c r="P4" s="102"/>
      <c r="Q4" s="100"/>
    </row>
    <row r="5" spans="2:17" ht="16.5" thickTop="1" thickBot="1" x14ac:dyDescent="0.3">
      <c r="B5" s="59" t="s">
        <v>222</v>
      </c>
      <c r="C5" s="60">
        <v>8.4309999999999992</v>
      </c>
      <c r="D5" s="60">
        <v>3.6</v>
      </c>
      <c r="E5" s="61">
        <v>2.3215292800000005</v>
      </c>
      <c r="F5" s="61">
        <v>0.73461978399999994</v>
      </c>
      <c r="G5" s="61">
        <f>0.00129675</f>
        <v>1.2967499999999999E-3</v>
      </c>
      <c r="H5" s="62">
        <f>SUM(C5:G5)</f>
        <v>15.088445813999998</v>
      </c>
      <c r="J5" s="103" t="s">
        <v>222</v>
      </c>
      <c r="K5" s="104">
        <v>2016</v>
      </c>
      <c r="L5" s="105">
        <v>8.4309999999999992</v>
      </c>
      <c r="M5" s="105">
        <v>3.6</v>
      </c>
      <c r="N5" s="106">
        <v>2.3215292800000005</v>
      </c>
      <c r="O5" s="106">
        <v>0.73461978399999994</v>
      </c>
      <c r="P5" s="106">
        <v>1.2967499999999999E-3</v>
      </c>
      <c r="Q5" s="107">
        <f>SUM(L5:P5)</f>
        <v>15.088445813999998</v>
      </c>
    </row>
    <row r="6" spans="2:17" ht="15.75" thickBot="1" x14ac:dyDescent="0.3">
      <c r="B6" s="59" t="s">
        <v>223</v>
      </c>
      <c r="C6" s="60">
        <v>2.76</v>
      </c>
      <c r="D6" s="60">
        <v>0.7</v>
      </c>
      <c r="E6" s="63">
        <v>0</v>
      </c>
      <c r="F6" s="63">
        <v>0</v>
      </c>
      <c r="G6" s="64">
        <v>1.06E-5</v>
      </c>
      <c r="H6" s="65">
        <f t="shared" ref="H6:H10" si="0">SUM(C6:G6)</f>
        <v>3.4600105999999999</v>
      </c>
      <c r="J6" s="108"/>
      <c r="K6" s="109">
        <v>2015</v>
      </c>
      <c r="L6" s="110">
        <v>8.4309999999999992</v>
      </c>
      <c r="M6" s="110">
        <v>3.6</v>
      </c>
      <c r="N6" s="111">
        <v>2.3215292800000005</v>
      </c>
      <c r="O6" s="111">
        <v>0.65664075759999985</v>
      </c>
      <c r="P6" s="111">
        <v>0</v>
      </c>
      <c r="Q6" s="112">
        <f>SUM(L6:P6)</f>
        <v>15.009170037599999</v>
      </c>
    </row>
    <row r="7" spans="2:17" ht="15.75" thickBot="1" x14ac:dyDescent="0.3">
      <c r="B7" s="59" t="s">
        <v>224</v>
      </c>
      <c r="C7" s="60">
        <v>2.7E-2</v>
      </c>
      <c r="D7" s="60">
        <v>8</v>
      </c>
      <c r="E7" s="63">
        <v>4.0157518799999998</v>
      </c>
      <c r="F7" s="66">
        <v>2.3193495999999997E-2</v>
      </c>
      <c r="G7" s="67">
        <v>0.85392080799999992</v>
      </c>
      <c r="H7" s="65">
        <f t="shared" si="0"/>
        <v>12.919866183999998</v>
      </c>
      <c r="J7" s="108"/>
      <c r="K7" s="113" t="s">
        <v>235</v>
      </c>
      <c r="L7" s="114">
        <f>L5-L6</f>
        <v>0</v>
      </c>
      <c r="M7" s="114">
        <f t="shared" ref="M7:Q7" si="1">M5-M6</f>
        <v>0</v>
      </c>
      <c r="N7" s="115">
        <f t="shared" si="1"/>
        <v>0</v>
      </c>
      <c r="O7" s="115">
        <f t="shared" si="1"/>
        <v>7.7979026400000095E-2</v>
      </c>
      <c r="P7" s="115">
        <f t="shared" si="1"/>
        <v>1.2967499999999999E-3</v>
      </c>
      <c r="Q7" s="116">
        <f t="shared" si="1"/>
        <v>7.9275776399999387E-2</v>
      </c>
    </row>
    <row r="8" spans="2:17" ht="15.75" thickBot="1" x14ac:dyDescent="0.3">
      <c r="B8" s="68" t="s">
        <v>225</v>
      </c>
      <c r="C8" s="69">
        <v>0.247</v>
      </c>
      <c r="D8" s="69">
        <v>29.12</v>
      </c>
      <c r="E8" s="70">
        <v>44.388894536000031</v>
      </c>
      <c r="F8" s="71">
        <v>43.217092294400004</v>
      </c>
      <c r="G8" s="71">
        <v>35.072030146000003</v>
      </c>
      <c r="H8" s="65">
        <f t="shared" si="0"/>
        <v>152.04501697640003</v>
      </c>
      <c r="J8" s="117" t="s">
        <v>223</v>
      </c>
      <c r="K8" s="118">
        <v>2016</v>
      </c>
      <c r="L8" s="110">
        <v>2.76</v>
      </c>
      <c r="M8" s="110">
        <v>0.7</v>
      </c>
      <c r="N8" s="119">
        <v>0</v>
      </c>
      <c r="O8" s="119">
        <v>0</v>
      </c>
      <c r="P8" s="120">
        <v>1.06E-5</v>
      </c>
      <c r="Q8" s="121">
        <f>SUM(L8:O8)</f>
        <v>3.46</v>
      </c>
    </row>
    <row r="9" spans="2:17" ht="15.75" thickBot="1" x14ac:dyDescent="0.3">
      <c r="B9" s="59" t="s">
        <v>226</v>
      </c>
      <c r="C9" s="60">
        <v>0</v>
      </c>
      <c r="D9" s="60">
        <v>0</v>
      </c>
      <c r="E9" s="63">
        <v>0.5220175600000001</v>
      </c>
      <c r="F9" s="66">
        <v>0.97781183999999999</v>
      </c>
      <c r="G9" s="67">
        <v>0</v>
      </c>
      <c r="H9" s="65">
        <f t="shared" si="0"/>
        <v>1.4998294000000001</v>
      </c>
      <c r="J9" s="117"/>
      <c r="K9" s="118">
        <v>2015</v>
      </c>
      <c r="L9" s="110">
        <v>2.76</v>
      </c>
      <c r="M9" s="110">
        <v>0.7</v>
      </c>
      <c r="N9" s="119">
        <v>0</v>
      </c>
      <c r="O9" s="119">
        <v>0</v>
      </c>
      <c r="P9" s="120">
        <v>0</v>
      </c>
      <c r="Q9" s="121">
        <f>SUM(L9:P9)</f>
        <v>3.46</v>
      </c>
    </row>
    <row r="10" spans="2:17" ht="15.75" thickBot="1" x14ac:dyDescent="0.3">
      <c r="B10" s="68" t="s">
        <v>227</v>
      </c>
      <c r="C10" s="69">
        <v>0</v>
      </c>
      <c r="D10" s="69">
        <v>0</v>
      </c>
      <c r="E10" s="70">
        <v>0</v>
      </c>
      <c r="F10" s="71">
        <v>0</v>
      </c>
      <c r="G10" s="71">
        <v>0</v>
      </c>
      <c r="H10" s="65">
        <f t="shared" si="0"/>
        <v>0</v>
      </c>
      <c r="J10" s="117"/>
      <c r="K10" s="122" t="s">
        <v>235</v>
      </c>
      <c r="L10" s="123">
        <f>L8-L9</f>
        <v>0</v>
      </c>
      <c r="M10" s="123">
        <f t="shared" ref="M10:Q10" si="2">M8-M9</f>
        <v>0</v>
      </c>
      <c r="N10" s="124">
        <f t="shared" si="2"/>
        <v>0</v>
      </c>
      <c r="O10" s="124">
        <f t="shared" si="2"/>
        <v>0</v>
      </c>
      <c r="P10" s="125">
        <f t="shared" si="2"/>
        <v>1.06E-5</v>
      </c>
      <c r="Q10" s="126">
        <f t="shared" si="2"/>
        <v>0</v>
      </c>
    </row>
    <row r="11" spans="2:17" ht="15.75" thickBot="1" x14ac:dyDescent="0.3">
      <c r="B11" s="72" t="s">
        <v>228</v>
      </c>
      <c r="C11" s="73">
        <f>SUM(C5:C10)</f>
        <v>11.464999999999998</v>
      </c>
      <c r="D11" s="73">
        <f t="shared" ref="D11:G11" si="3">SUM(D5:D10)</f>
        <v>41.42</v>
      </c>
      <c r="E11" s="74">
        <f t="shared" si="3"/>
        <v>51.248193256000029</v>
      </c>
      <c r="F11" s="74">
        <f t="shared" si="3"/>
        <v>44.952717414400006</v>
      </c>
      <c r="G11" s="74">
        <f t="shared" si="3"/>
        <v>35.927258304000006</v>
      </c>
      <c r="H11" s="75">
        <f>SUM(H5:H10)</f>
        <v>185.01316897440003</v>
      </c>
      <c r="J11" s="117" t="s">
        <v>224</v>
      </c>
      <c r="K11" s="118">
        <v>2016</v>
      </c>
      <c r="L11" s="110">
        <v>2.7E-2</v>
      </c>
      <c r="M11" s="110">
        <v>8</v>
      </c>
      <c r="N11" s="119">
        <v>4.0157518799999998</v>
      </c>
      <c r="O11" s="119">
        <v>2.3193495999999997E-2</v>
      </c>
      <c r="P11" s="120">
        <v>0.85392080799999992</v>
      </c>
      <c r="Q11" s="121">
        <f>SUM(L11:P11)</f>
        <v>12.919866183999998</v>
      </c>
    </row>
    <row r="12" spans="2:17" ht="16.5" thickTop="1" thickBot="1" x14ac:dyDescent="0.3">
      <c r="B12" s="56" t="s">
        <v>171</v>
      </c>
      <c r="C12" s="76"/>
      <c r="D12" s="76"/>
      <c r="E12" s="77"/>
      <c r="F12" s="77"/>
      <c r="G12" s="78"/>
      <c r="H12" s="77"/>
      <c r="J12" s="117"/>
      <c r="K12" s="118">
        <v>2015</v>
      </c>
      <c r="L12" s="110">
        <v>2.7E-2</v>
      </c>
      <c r="M12" s="110">
        <v>8</v>
      </c>
      <c r="N12" s="119">
        <v>4.0157518799999998</v>
      </c>
      <c r="O12" s="119">
        <v>0.83540877600000008</v>
      </c>
      <c r="P12" s="120">
        <v>0</v>
      </c>
      <c r="Q12" s="121">
        <f>SUM(L12:P12)</f>
        <v>12.878160655999999</v>
      </c>
    </row>
    <row r="13" spans="2:17" ht="16.5" thickTop="1" thickBot="1" x14ac:dyDescent="0.3">
      <c r="B13" s="59" t="s">
        <v>229</v>
      </c>
      <c r="C13" s="79">
        <v>3.27</v>
      </c>
      <c r="D13" s="80">
        <f>12.3-0.005</f>
        <v>12.295</v>
      </c>
      <c r="E13" s="81">
        <v>72.663575124000005</v>
      </c>
      <c r="F13" s="82">
        <v>123.09397935359999</v>
      </c>
      <c r="G13" s="83">
        <v>80.217814576000009</v>
      </c>
      <c r="H13" s="65">
        <f>SUM(C13:G13)</f>
        <v>291.54036905359999</v>
      </c>
      <c r="J13" s="117"/>
      <c r="K13" s="122" t="s">
        <v>235</v>
      </c>
      <c r="L13" s="123">
        <f>L11-L12</f>
        <v>0</v>
      </c>
      <c r="M13" s="123">
        <f t="shared" ref="M13:Q13" si="4">M11-M12</f>
        <v>0</v>
      </c>
      <c r="N13" s="124">
        <f t="shared" si="4"/>
        <v>0</v>
      </c>
      <c r="O13" s="124">
        <f t="shared" si="4"/>
        <v>-0.81221528000000009</v>
      </c>
      <c r="P13" s="125">
        <f t="shared" si="4"/>
        <v>0.85392080799999992</v>
      </c>
      <c r="Q13" s="126">
        <f t="shared" si="4"/>
        <v>4.1705527999999603E-2</v>
      </c>
    </row>
    <row r="14" spans="2:17" ht="15.75" thickBot="1" x14ac:dyDescent="0.3">
      <c r="B14" s="59" t="s">
        <v>230</v>
      </c>
      <c r="C14" s="79">
        <v>0.35299999999999998</v>
      </c>
      <c r="D14" s="84">
        <v>0</v>
      </c>
      <c r="E14" s="64">
        <v>0</v>
      </c>
      <c r="F14" s="85">
        <v>4.7564799999999996E-3</v>
      </c>
      <c r="G14" s="86">
        <v>0</v>
      </c>
      <c r="H14" s="65">
        <f>SUM(C14:G14)</f>
        <v>0.35775647999999999</v>
      </c>
      <c r="J14" s="117" t="s">
        <v>225</v>
      </c>
      <c r="K14" s="118">
        <v>2016</v>
      </c>
      <c r="L14" s="110">
        <v>0.247</v>
      </c>
      <c r="M14" s="110">
        <v>29.12</v>
      </c>
      <c r="N14" s="127">
        <v>44.388894536000031</v>
      </c>
      <c r="O14" s="128">
        <v>43.217092294400004</v>
      </c>
      <c r="P14" s="128">
        <v>35.072030146000003</v>
      </c>
      <c r="Q14" s="121">
        <f>SUM(L14:P14)</f>
        <v>152.04501697640003</v>
      </c>
    </row>
    <row r="15" spans="2:17" ht="15.75" thickBot="1" x14ac:dyDescent="0.3">
      <c r="B15" s="87" t="s">
        <v>231</v>
      </c>
      <c r="C15" s="88">
        <f t="shared" ref="C15:D15" si="5">SUM(C13:C14)</f>
        <v>3.6230000000000002</v>
      </c>
      <c r="D15" s="88">
        <f t="shared" si="5"/>
        <v>12.295</v>
      </c>
      <c r="E15" s="89">
        <v>72.663575124000005</v>
      </c>
      <c r="F15" s="89">
        <v>123.09873583359999</v>
      </c>
      <c r="G15" s="90">
        <v>80.217814576000009</v>
      </c>
      <c r="H15" s="91">
        <f t="shared" ref="H15" si="6">SUM(H13:H14)</f>
        <v>291.89812553359997</v>
      </c>
      <c r="J15" s="117"/>
      <c r="K15" s="118">
        <v>2015</v>
      </c>
      <c r="L15" s="110">
        <v>0.247</v>
      </c>
      <c r="M15" s="110">
        <v>29.12</v>
      </c>
      <c r="N15" s="127">
        <v>44.388894536000031</v>
      </c>
      <c r="O15" s="128">
        <f>68.8387146522481-4.32</f>
        <v>64.518714652248093</v>
      </c>
      <c r="P15" s="128">
        <v>19.473308410879998</v>
      </c>
      <c r="Q15" s="121">
        <f>SUM(L15:P15)</f>
        <v>157.74791759912813</v>
      </c>
    </row>
    <row r="16" spans="2:17" x14ac:dyDescent="0.25">
      <c r="B16" s="92" t="s">
        <v>164</v>
      </c>
      <c r="C16" s="93">
        <f>SUM(C11,C15)</f>
        <v>15.087999999999997</v>
      </c>
      <c r="D16" s="93">
        <f>SUM(D11,D15)</f>
        <v>53.715000000000003</v>
      </c>
      <c r="E16" s="94">
        <f>SUM(E11,E15)</f>
        <v>123.91176838000004</v>
      </c>
      <c r="F16" s="94">
        <f>SUM(F11,F15)</f>
        <v>168.051453248</v>
      </c>
      <c r="G16" s="94">
        <f>SUM(G11,G15)</f>
        <v>116.14507288000001</v>
      </c>
      <c r="H16" s="95">
        <f>H11+H15</f>
        <v>476.91129450799997</v>
      </c>
      <c r="J16" s="117"/>
      <c r="K16" s="122" t="s">
        <v>235</v>
      </c>
      <c r="L16" s="123">
        <f>L14-L15</f>
        <v>0</v>
      </c>
      <c r="M16" s="123">
        <f t="shared" ref="M16:Q16" si="7">M14-M15</f>
        <v>0</v>
      </c>
      <c r="N16" s="129">
        <f t="shared" si="7"/>
        <v>0</v>
      </c>
      <c r="O16" s="130">
        <f t="shared" si="7"/>
        <v>-21.301622357848089</v>
      </c>
      <c r="P16" s="130">
        <f t="shared" si="7"/>
        <v>15.598721735120005</v>
      </c>
      <c r="Q16" s="126">
        <f t="shared" si="7"/>
        <v>-5.7029006227280945</v>
      </c>
    </row>
    <row r="17" spans="2:17" x14ac:dyDescent="0.25">
      <c r="J17" s="117" t="s">
        <v>226</v>
      </c>
      <c r="K17" s="118">
        <v>2016</v>
      </c>
      <c r="L17" s="110">
        <v>0</v>
      </c>
      <c r="M17" s="110">
        <v>0</v>
      </c>
      <c r="N17" s="119">
        <v>0.5220175600000001</v>
      </c>
      <c r="O17" s="119">
        <v>0.97781183999999999</v>
      </c>
      <c r="P17" s="120">
        <v>0</v>
      </c>
      <c r="Q17" s="121">
        <f t="shared" ref="Q17" si="8">SUM(L17:P17)</f>
        <v>1.4998294000000001</v>
      </c>
    </row>
    <row r="18" spans="2:17" x14ac:dyDescent="0.25">
      <c r="B18" t="s">
        <v>232</v>
      </c>
      <c r="J18" s="131"/>
      <c r="K18" s="132">
        <v>2015</v>
      </c>
      <c r="L18" s="110">
        <v>0</v>
      </c>
      <c r="M18" s="110">
        <v>0</v>
      </c>
      <c r="N18" s="119">
        <v>0.5220175600000001</v>
      </c>
      <c r="O18" s="119">
        <v>1.0039127179999998</v>
      </c>
      <c r="P18" s="120">
        <v>0</v>
      </c>
      <c r="Q18" s="133">
        <f>SUM(L18:P18)</f>
        <v>1.5259302779999999</v>
      </c>
    </row>
    <row r="19" spans="2:17" x14ac:dyDescent="0.25">
      <c r="B19" t="s">
        <v>233</v>
      </c>
      <c r="J19" s="131"/>
      <c r="K19" s="134" t="s">
        <v>235</v>
      </c>
      <c r="L19" s="135">
        <f>L17-L18</f>
        <v>0</v>
      </c>
      <c r="M19" s="135">
        <f t="shared" ref="M19:Q19" si="9">M17-M18</f>
        <v>0</v>
      </c>
      <c r="N19" s="136">
        <f t="shared" si="9"/>
        <v>0</v>
      </c>
      <c r="O19" s="136">
        <f t="shared" si="9"/>
        <v>-2.6100877999999827E-2</v>
      </c>
      <c r="P19" s="137">
        <f t="shared" si="9"/>
        <v>0</v>
      </c>
      <c r="Q19" s="138">
        <f t="shared" si="9"/>
        <v>-2.6100877999999827E-2</v>
      </c>
    </row>
    <row r="20" spans="2:17" x14ac:dyDescent="0.25">
      <c r="C20" s="14"/>
      <c r="D20" s="14"/>
      <c r="E20" s="14"/>
      <c r="J20" s="117" t="s">
        <v>227</v>
      </c>
      <c r="K20" s="118">
        <v>2016</v>
      </c>
      <c r="L20" s="110">
        <v>0</v>
      </c>
      <c r="M20" s="110">
        <v>0</v>
      </c>
      <c r="N20" s="127">
        <v>0</v>
      </c>
      <c r="O20" s="128">
        <v>0</v>
      </c>
      <c r="P20" s="128">
        <v>0</v>
      </c>
      <c r="Q20" s="121">
        <f t="shared" ref="Q20" si="10">SUM(L20:P20)</f>
        <v>0</v>
      </c>
    </row>
    <row r="21" spans="2:17" x14ac:dyDescent="0.25">
      <c r="C21" s="14"/>
      <c r="D21" s="14"/>
      <c r="E21" s="14"/>
      <c r="J21" s="139"/>
      <c r="K21" s="140">
        <v>2015</v>
      </c>
      <c r="L21" s="110">
        <v>0</v>
      </c>
      <c r="M21" s="110">
        <v>0</v>
      </c>
      <c r="N21" s="127">
        <v>0</v>
      </c>
      <c r="O21" s="128">
        <v>0.139523024</v>
      </c>
      <c r="P21" s="128">
        <v>0</v>
      </c>
      <c r="Q21" s="121">
        <f>SUM(L21:P21)</f>
        <v>0.139523024</v>
      </c>
    </row>
    <row r="22" spans="2:17" ht="15.75" thickBot="1" x14ac:dyDescent="0.3">
      <c r="C22" s="14"/>
      <c r="D22" s="14"/>
      <c r="E22" s="14"/>
      <c r="J22" s="139"/>
      <c r="K22" s="141" t="s">
        <v>235</v>
      </c>
      <c r="L22" s="142">
        <f>L20-L21</f>
        <v>0</v>
      </c>
      <c r="M22" s="142">
        <f t="shared" ref="M22:Q22" si="11">M20-M21</f>
        <v>0</v>
      </c>
      <c r="N22" s="143">
        <f t="shared" si="11"/>
        <v>0</v>
      </c>
      <c r="O22" s="144">
        <f t="shared" si="11"/>
        <v>-0.139523024</v>
      </c>
      <c r="P22" s="144">
        <f t="shared" si="11"/>
        <v>0</v>
      </c>
      <c r="Q22" s="145">
        <f t="shared" si="11"/>
        <v>-0.139523024</v>
      </c>
    </row>
    <row r="23" spans="2:17" x14ac:dyDescent="0.25">
      <c r="C23" s="14"/>
      <c r="D23" s="14"/>
      <c r="E23" s="14"/>
      <c r="J23" s="159" t="s">
        <v>228</v>
      </c>
      <c r="K23" s="160">
        <v>2016</v>
      </c>
      <c r="L23" s="161">
        <f>SUM(L5,L8,L11,L14,L17,L20)</f>
        <v>11.464999999999998</v>
      </c>
      <c r="M23" s="161">
        <f t="shared" ref="M23:Q23" si="12">SUM(M5,M8,M11,M14,M17,M20)</f>
        <v>41.42</v>
      </c>
      <c r="N23" s="162">
        <f t="shared" si="12"/>
        <v>51.248193256000029</v>
      </c>
      <c r="O23" s="162">
        <f t="shared" si="12"/>
        <v>44.952717414400006</v>
      </c>
      <c r="P23" s="162">
        <f t="shared" si="12"/>
        <v>35.927258304000006</v>
      </c>
      <c r="Q23" s="163">
        <f t="shared" si="12"/>
        <v>185.01315837440004</v>
      </c>
    </row>
    <row r="24" spans="2:17" x14ac:dyDescent="0.25">
      <c r="C24" s="14"/>
      <c r="D24" s="14"/>
      <c r="E24" s="14"/>
      <c r="J24" s="314"/>
      <c r="K24" s="315" t="s">
        <v>1</v>
      </c>
      <c r="L24" s="316"/>
      <c r="M24" s="316"/>
      <c r="N24" s="317"/>
      <c r="O24" s="317"/>
      <c r="P24" s="317"/>
      <c r="Q24" s="317"/>
    </row>
    <row r="25" spans="2:17" x14ac:dyDescent="0.25">
      <c r="C25" s="14"/>
      <c r="D25" s="14"/>
      <c r="E25" s="14"/>
      <c r="J25" s="314"/>
      <c r="K25" s="315" t="s">
        <v>235</v>
      </c>
      <c r="L25" s="316">
        <f>L23-L24</f>
        <v>11.464999999999998</v>
      </c>
      <c r="M25" s="316">
        <f t="shared" ref="M25:Q25" si="13">M23-M24</f>
        <v>41.42</v>
      </c>
      <c r="N25" s="316">
        <f t="shared" si="13"/>
        <v>51.248193256000029</v>
      </c>
      <c r="O25" s="316">
        <f t="shared" si="13"/>
        <v>44.952717414400006</v>
      </c>
      <c r="P25" s="316">
        <f t="shared" si="13"/>
        <v>35.927258304000006</v>
      </c>
      <c r="Q25" s="316">
        <f t="shared" si="13"/>
        <v>185.01315837440004</v>
      </c>
    </row>
    <row r="26" spans="2:17" ht="15.75" thickBot="1" x14ac:dyDescent="0.3">
      <c r="C26" s="14"/>
      <c r="D26" s="14"/>
      <c r="E26" s="14"/>
      <c r="J26" s="310" t="s">
        <v>171</v>
      </c>
      <c r="K26" s="311"/>
      <c r="L26" s="312"/>
      <c r="M26" s="312"/>
      <c r="N26" s="313"/>
      <c r="O26" s="313"/>
      <c r="P26" s="146"/>
      <c r="Q26" s="313"/>
    </row>
    <row r="27" spans="2:17" ht="17.25" thickTop="1" x14ac:dyDescent="0.25">
      <c r="C27" s="14"/>
      <c r="D27" s="14"/>
      <c r="E27" s="14"/>
      <c r="J27" s="103" t="s">
        <v>236</v>
      </c>
      <c r="K27" s="104">
        <v>2016</v>
      </c>
      <c r="L27" s="147">
        <v>3.27</v>
      </c>
      <c r="M27" s="147">
        <f>12.3-0.005</f>
        <v>12.295</v>
      </c>
      <c r="N27" s="148">
        <v>72.663575124000005</v>
      </c>
      <c r="O27" s="149">
        <v>123.09397935359999</v>
      </c>
      <c r="P27" s="149">
        <v>80.217814576000009</v>
      </c>
      <c r="Q27" s="107">
        <f>SUM(L27:P27)</f>
        <v>291.54036905359999</v>
      </c>
    </row>
    <row r="28" spans="2:17" x14ac:dyDescent="0.25">
      <c r="C28" s="14"/>
      <c r="D28" s="14"/>
      <c r="E28" s="14"/>
      <c r="J28" s="108"/>
      <c r="K28" s="109">
        <v>2015</v>
      </c>
      <c r="L28" s="150">
        <v>3.27</v>
      </c>
      <c r="M28" s="150">
        <f>12.3-0.005</f>
        <v>12.295</v>
      </c>
      <c r="N28" s="151">
        <v>72.663575124000005</v>
      </c>
      <c r="O28" s="128">
        <v>118.04632495215189</v>
      </c>
      <c r="P28" s="128">
        <v>75.960314589120003</v>
      </c>
      <c r="Q28" s="112">
        <f>SUM(L28:P28)</f>
        <v>282.23521466527188</v>
      </c>
    </row>
    <row r="29" spans="2:17" x14ac:dyDescent="0.25">
      <c r="C29" s="14"/>
      <c r="D29" s="14"/>
      <c r="E29" s="14"/>
      <c r="J29" s="108"/>
      <c r="K29" s="113" t="s">
        <v>235</v>
      </c>
      <c r="L29" s="152">
        <f>L27-L28</f>
        <v>0</v>
      </c>
      <c r="M29" s="152">
        <f t="shared" ref="M29:Q29" si="14">M27-M28</f>
        <v>0</v>
      </c>
      <c r="N29" s="153">
        <v>0</v>
      </c>
      <c r="O29" s="154">
        <v>5.0476544014480993</v>
      </c>
      <c r="P29" s="154">
        <v>4.2574999868800063</v>
      </c>
      <c r="Q29" s="116">
        <f t="shared" si="14"/>
        <v>9.3051543883281056</v>
      </c>
    </row>
    <row r="30" spans="2:17" x14ac:dyDescent="0.25">
      <c r="J30" s="117" t="s">
        <v>230</v>
      </c>
      <c r="K30" s="118">
        <v>2016</v>
      </c>
      <c r="L30" s="150">
        <v>0.35299999999999998</v>
      </c>
      <c r="M30" s="150">
        <v>0</v>
      </c>
      <c r="N30" s="120">
        <v>0</v>
      </c>
      <c r="O30" s="111">
        <v>4.7564799999999996E-3</v>
      </c>
      <c r="P30" s="111">
        <v>0</v>
      </c>
      <c r="Q30" s="121">
        <f>SUM(L30:P30)</f>
        <v>0.35775647999999999</v>
      </c>
    </row>
    <row r="31" spans="2:17" x14ac:dyDescent="0.25">
      <c r="J31" s="131"/>
      <c r="K31" s="132">
        <v>2015</v>
      </c>
      <c r="L31" s="150">
        <v>0.35299999999999998</v>
      </c>
      <c r="M31" s="150">
        <v>0</v>
      </c>
      <c r="N31" s="120">
        <v>0</v>
      </c>
      <c r="O31" s="111">
        <v>0</v>
      </c>
      <c r="P31" s="111">
        <v>0</v>
      </c>
      <c r="Q31" s="133">
        <f>SUM(L31:P31)</f>
        <v>0.35299999999999998</v>
      </c>
    </row>
    <row r="32" spans="2:17" ht="15.75" thickBot="1" x14ac:dyDescent="0.3">
      <c r="J32" s="322"/>
      <c r="K32" s="155" t="s">
        <v>235</v>
      </c>
      <c r="L32" s="156">
        <f>L30-L31</f>
        <v>0</v>
      </c>
      <c r="M32" s="156">
        <f t="shared" ref="M32:Q32" si="15">M30-M31</f>
        <v>0</v>
      </c>
      <c r="N32" s="323">
        <v>0</v>
      </c>
      <c r="O32" s="157">
        <v>4.7564799999999996E-3</v>
      </c>
      <c r="P32" s="157">
        <v>0</v>
      </c>
      <c r="Q32" s="158">
        <f t="shared" si="15"/>
        <v>4.7564800000000074E-3</v>
      </c>
    </row>
    <row r="33" spans="10:17" x14ac:dyDescent="0.25">
      <c r="J33" s="320" t="s">
        <v>231</v>
      </c>
      <c r="K33" s="321">
        <v>2016</v>
      </c>
      <c r="L33" s="152">
        <f>SUM(L27,L30)</f>
        <v>3.6230000000000002</v>
      </c>
      <c r="M33" s="152">
        <f t="shared" ref="M33:Q33" si="16">SUM(M27,M30)</f>
        <v>12.295</v>
      </c>
      <c r="N33" s="115">
        <f t="shared" si="16"/>
        <v>72.663575124000005</v>
      </c>
      <c r="O33" s="115">
        <f t="shared" si="16"/>
        <v>123.09873583359999</v>
      </c>
      <c r="P33" s="115">
        <f t="shared" si="16"/>
        <v>80.217814576000009</v>
      </c>
      <c r="Q33" s="115">
        <f t="shared" si="16"/>
        <v>291.89812553359997</v>
      </c>
    </row>
    <row r="34" spans="10:17" x14ac:dyDescent="0.25">
      <c r="J34" s="314"/>
      <c r="K34" s="315" t="s">
        <v>1</v>
      </c>
      <c r="L34" s="316"/>
      <c r="M34" s="316"/>
      <c r="N34" s="317"/>
      <c r="O34" s="317"/>
      <c r="P34" s="317"/>
      <c r="Q34" s="317"/>
    </row>
    <row r="35" spans="10:17" ht="15.75" thickBot="1" x14ac:dyDescent="0.3">
      <c r="J35" s="318"/>
      <c r="K35" s="141" t="s">
        <v>235</v>
      </c>
      <c r="L35" s="319">
        <f>L33-L34</f>
        <v>3.6230000000000002</v>
      </c>
      <c r="M35" s="319">
        <f t="shared" ref="M35:P35" si="17">M33-M34</f>
        <v>12.295</v>
      </c>
      <c r="N35" s="319">
        <f t="shared" si="17"/>
        <v>72.663575124000005</v>
      </c>
      <c r="O35" s="319">
        <f t="shared" si="17"/>
        <v>123.09873583359999</v>
      </c>
      <c r="P35" s="319">
        <f t="shared" si="17"/>
        <v>80.217814576000009</v>
      </c>
      <c r="Q35" s="319">
        <f>Q33-Q34</f>
        <v>291.89812553359997</v>
      </c>
    </row>
    <row r="36" spans="10:17" x14ac:dyDescent="0.25">
      <c r="J36" s="159" t="s">
        <v>164</v>
      </c>
      <c r="K36" s="160">
        <v>2016</v>
      </c>
      <c r="L36" s="161">
        <f>SUM(L23,L33)</f>
        <v>15.087999999999997</v>
      </c>
      <c r="M36" s="161">
        <f>SUM(M23,M33)</f>
        <v>53.715000000000003</v>
      </c>
      <c r="N36" s="162">
        <f>SUM(N23,N33)</f>
        <v>123.91176838000004</v>
      </c>
      <c r="O36" s="162">
        <f>SUM(O23,O33)</f>
        <v>168.051453248</v>
      </c>
      <c r="P36" s="162">
        <f>SUM(P23,P33)</f>
        <v>116.14507288000001</v>
      </c>
      <c r="Q36" s="163">
        <f>Q23+Q33</f>
        <v>476.91128390799997</v>
      </c>
    </row>
    <row r="38" spans="10:17" x14ac:dyDescent="0.25">
      <c r="J38" t="s">
        <v>232</v>
      </c>
    </row>
    <row r="39" spans="10:17" x14ac:dyDescent="0.25">
      <c r="J39" t="s">
        <v>233</v>
      </c>
    </row>
  </sheetData>
  <mergeCells count="2">
    <mergeCell ref="B1:H1"/>
    <mergeCell ref="J1:Q1"/>
  </mergeCells>
  <pageMargins left="0.7" right="0.7" top="0.75" bottom="0.75" header="0.3" footer="0.3"/>
  <pageSetup orientation="portrait" r:id="rId1"/>
  <ignoredErrors>
    <ignoredError sqref="Q5:Q6 Q8:Q9 Q11:Q12 Q14 Q17:Q18 Q20:Q21 Q30:Q31" formulaRange="1"/>
    <ignoredError sqref="Q10 Q13 Q16 Q19 Q29" formula="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Figure 1-1</vt:lpstr>
      <vt:lpstr>Table 2-1</vt:lpstr>
      <vt:lpstr>Fig 2-2</vt:lpstr>
      <vt:lpstr>Table 3-1 P3</vt:lpstr>
      <vt:lpstr>Table 3-1 Trad</vt:lpstr>
      <vt:lpstr> Table 3-2</vt:lpstr>
      <vt:lpstr>Table 3-3</vt:lpstr>
      <vt:lpstr>Table 3-4</vt:lpstr>
      <vt:lpstr>Table 4-1</vt:lpstr>
      <vt:lpstr>Table 4-2</vt:lpstr>
      <vt:lpstr>Table 4-3</vt:lpstr>
      <vt:lpstr>Table 4-4</vt:lpstr>
      <vt:lpstr>Table 5-1</vt:lpstr>
      <vt:lpstr>Table 5-2</vt:lpstr>
      <vt:lpstr>Table 6-1</vt:lpstr>
      <vt:lpstr>Table 6-2</vt:lpstr>
      <vt:lpstr>Table 6-3</vt:lpstr>
      <vt:lpstr>Table 7-1</vt:lpstr>
      <vt:lpstr>Table 7-2</vt:lpstr>
      <vt:lpstr>Table7-3</vt:lpstr>
      <vt:lpstr>Table 8-1</vt:lpstr>
      <vt:lpstr>Table 8-2</vt:lpstr>
      <vt:lpstr>Table 8-3</vt:lpstr>
      <vt:lpstr>Table 8-4</vt:lpstr>
      <vt:lpstr>Table 11-1</vt:lpstr>
      <vt:lpstr>'Fig 2-2'!_Toc485293190</vt:lpstr>
      <vt:lpstr>'Table 4-3'!_Toc485293198</vt:lpstr>
      <vt:lpstr>'Table 6-2'!Print_Titles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MHopper</dc:creator>
  <cp:lastModifiedBy>BRood</cp:lastModifiedBy>
  <dcterms:created xsi:type="dcterms:W3CDTF">2016-07-11T14:30:55Z</dcterms:created>
  <dcterms:modified xsi:type="dcterms:W3CDTF">2018-08-09T21:12:47Z</dcterms:modified>
</cp:coreProperties>
</file>