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06"/>
  <workbookPr codeName="ThisWorkbook" defaultThemeVersion="124226"/>
  <mc:AlternateContent xmlns:mc="http://schemas.openxmlformats.org/markup-compatibility/2006">
    <mc:Choice Requires="x15">
      <x15ac:absPath xmlns:x15ac="http://schemas.microsoft.com/office/spreadsheetml/2010/11/ac" url="https://ingov.sharepoint.com/sites/INDOTTrafficEngineering/Shared Documents/Office of Traffic Safety/Scoping Blank Templates/Tools/"/>
    </mc:Choice>
  </mc:AlternateContent>
  <xr:revisionPtr revIDLastSave="0" documentId="8_{A9621572-32B4-4396-B641-946934397506}" xr6:coauthVersionLast="47" xr6:coauthVersionMax="47" xr10:uidLastSave="{00000000-0000-0000-0000-000000000000}"/>
  <bookViews>
    <workbookView xWindow="28680" yWindow="-5775" windowWidth="29040" windowHeight="15720" tabRatio="903" xr2:uid="{00000000-000D-0000-FFFF-FFFF00000000}"/>
  </bookViews>
  <sheets>
    <sheet name="Introduction" sheetId="41" r:id="rId1"/>
    <sheet name="Abbreviations" sheetId="103" r:id="rId2"/>
    <sheet name="Input Worksheet" sheetId="1" r:id="rId3"/>
    <sheet name="Results Worksheet" sheetId="94" r:id="rId4"/>
    <sheet name="Conventional" sheetId="53" r:id="rId5"/>
    <sheet name="Conventional Shared RT LT" sheetId="48" r:id="rId6"/>
    <sheet name="QR S-W" sheetId="52" r:id="rId7"/>
    <sheet name="QR N-E" sheetId="57" r:id="rId8"/>
    <sheet name="QR S-E" sheetId="54" r:id="rId9"/>
    <sheet name="QR N-W" sheetId="56" r:id="rId10"/>
    <sheet name="P DLT N-S" sheetId="59" r:id="rId11"/>
    <sheet name="P DLT E-W" sheetId="60" r:id="rId12"/>
    <sheet name="Full DLT" sheetId="61" r:id="rId13"/>
    <sheet name="RCUT N-S" sheetId="58" r:id="rId14"/>
    <sheet name="RCUT E-W" sheetId="63" r:id="rId15"/>
    <sheet name="MUT N-S " sheetId="55" r:id="rId16"/>
    <sheet name="MUT E-W" sheetId="64" r:id="rId17"/>
    <sheet name="PMUT N-S" sheetId="65" r:id="rId18"/>
    <sheet name="PMUT E-W" sheetId="87" r:id="rId19"/>
    <sheet name="50 Mini-Rndabt" sheetId="99" r:id="rId20"/>
    <sheet name="75 Mini-Rndabt" sheetId="100" r:id="rId21"/>
    <sheet name="1x1 Rndabt " sheetId="69" r:id="rId22"/>
    <sheet name="1NS x 2 EW Rndabt" sheetId="96" r:id="rId23"/>
    <sheet name="2 NS x 1 EW Rndabt" sheetId="97" r:id="rId24"/>
    <sheet name="2x2 Rndabt" sheetId="95" r:id="rId25"/>
    <sheet name="3x3 Rndabt" sheetId="67" r:id="rId26"/>
    <sheet name="TD N-S" sheetId="86" r:id="rId27"/>
    <sheet name="TD E-W" sheetId="75" r:id="rId28"/>
    <sheet name="PCL N-S" sheetId="73" r:id="rId29"/>
    <sheet name="PCL E-W" sheetId="74" r:id="rId30"/>
    <sheet name="DLTI N-S" sheetId="76" r:id="rId31"/>
    <sheet name="DLTI E-W " sheetId="84" r:id="rId32"/>
    <sheet name="DCD N-S" sheetId="88" r:id="rId33"/>
    <sheet name="DCD E-W" sheetId="83" r:id="rId34"/>
    <sheet name="SPI N-S " sheetId="79" r:id="rId35"/>
    <sheet name="SPI E-W" sheetId="82" r:id="rId36"/>
  </sheets>
  <definedNames>
    <definedName name="CLV_Limit" localSheetId="1">Abbreviations!#REF!</definedName>
    <definedName name="CLV_Limit" localSheetId="0">Introduction!#REF!</definedName>
    <definedName name="CLV_Limit">'Input Worksheet'!$AI$42</definedName>
    <definedName name="Date" localSheetId="1">Abbreviations!#REF!</definedName>
    <definedName name="Date" localSheetId="0">Introduction!#REF!</definedName>
    <definedName name="Date">'Input Worksheet'!$M$14</definedName>
    <definedName name="EB_Growth_Factor" localSheetId="1">Abbreviations!#REF!</definedName>
    <definedName name="EB_Growth_Factor" localSheetId="0">Introduction!#REF!</definedName>
    <definedName name="EB_Growth_Factor">'Input Worksheet'!$AY$28</definedName>
    <definedName name="EB_Truck_Percentage" localSheetId="1">Abbreviations!#REF!</definedName>
    <definedName name="EB_Truck_Percentage" localSheetId="0">Introduction!#REF!</definedName>
    <definedName name="EB_Truck_Percentage">'Input Worksheet'!$AQ$28</definedName>
    <definedName name="EBL_Master" localSheetId="1">Abbreviations!#REF!</definedName>
    <definedName name="EBL_Master" localSheetId="0">Introduction!#REF!</definedName>
    <definedName name="EBL_Master">'Input Worksheet'!$AA$56</definedName>
    <definedName name="EBR_Master" localSheetId="1">Abbreviations!#REF!</definedName>
    <definedName name="EBR_Master" localSheetId="0">Introduction!#REF!</definedName>
    <definedName name="EBR_Master">'Input Worksheet'!$AQ$56</definedName>
    <definedName name="EBT_Master" localSheetId="1">Abbreviations!#REF!</definedName>
    <definedName name="EBT_Master" localSheetId="0">Introduction!#REF!</definedName>
    <definedName name="EBT_Master">'Input Worksheet'!$AI$56</definedName>
    <definedName name="EBU_Master" localSheetId="1">Abbreviations!#REF!</definedName>
    <definedName name="EBU_Master" localSheetId="0">Introduction!#REF!</definedName>
    <definedName name="EBU_Master">'Input Worksheet'!$S$56</definedName>
    <definedName name="Location" localSheetId="1">Abbreviations!#REF!</definedName>
    <definedName name="Location" localSheetId="0">Introduction!#REF!</definedName>
    <definedName name="Location">'Input Worksheet'!$M$12</definedName>
    <definedName name="LTAF" localSheetId="1">Abbreviations!#REF!</definedName>
    <definedName name="LTAF" localSheetId="0">Introduction!#REF!</definedName>
    <definedName name="LTAF">'Input Worksheet'!$S$36</definedName>
    <definedName name="NB_Growth_Factor" localSheetId="1">Abbreviations!#REF!</definedName>
    <definedName name="NB_Growth_Factor" localSheetId="0">Introduction!#REF!</definedName>
    <definedName name="NB_Growth_Factor">'Input Worksheet'!$AY$34</definedName>
    <definedName name="NB_Truck_Percentage" localSheetId="1">Abbreviations!#REF!</definedName>
    <definedName name="NB_Truck_Percentage" localSheetId="0">Introduction!#REF!</definedName>
    <definedName name="NB_Truck_Percentage">'Input Worksheet'!$AQ$34</definedName>
    <definedName name="NBL_Master" localSheetId="1">Abbreviations!#REF!</definedName>
    <definedName name="NBL_Master" localSheetId="0">Introduction!#REF!</definedName>
    <definedName name="NBL_Master">'Input Worksheet'!$AA$62</definedName>
    <definedName name="NBR_Master" localSheetId="1">Abbreviations!#REF!</definedName>
    <definedName name="NBR_Master" localSheetId="0">Introduction!#REF!</definedName>
    <definedName name="NBR_Master">'Input Worksheet'!$AQ$62</definedName>
    <definedName name="NBT_Master" localSheetId="1">Abbreviations!#REF!</definedName>
    <definedName name="NBT_Master" localSheetId="0">Introduction!#REF!</definedName>
    <definedName name="NBT_Master">'Input Worksheet'!$AI$62</definedName>
    <definedName name="NBU_Master" localSheetId="1">Abbreviations!#REF!</definedName>
    <definedName name="NBU_Master" localSheetId="0">Introduction!#REF!</definedName>
    <definedName name="NBU_Master">'Input Worksheet'!$S$62</definedName>
    <definedName name="P_Name" localSheetId="1">Abbreviations!#REF!</definedName>
    <definedName name="P_Name" localSheetId="0">Introduction!#REF!</definedName>
    <definedName name="P_Name">'Input Worksheet'!$M$8</definedName>
    <definedName name="P_Number" localSheetId="1">Abbreviations!#REF!</definedName>
    <definedName name="P_Number" localSheetId="0">Introduction!#REF!</definedName>
    <definedName name="P_Number">'Input Worksheet'!$M$10</definedName>
    <definedName name="_xlnm.Print_Area" localSheetId="22">'1NS x 2 EW Rndabt'!$B$1:$BI$74,'1NS x 2 EW Rndabt'!$BL:$DS</definedName>
    <definedName name="_xlnm.Print_Area" localSheetId="21">'1x1 Rndabt '!$B$1:$BI$74,'1x1 Rndabt '!$BL$1:$DS$74</definedName>
    <definedName name="_xlnm.Print_Area" localSheetId="23">'2 NS x 1 EW Rndabt'!$B$1:$BI$74,'2 NS x 1 EW Rndabt'!$BL:$DS</definedName>
    <definedName name="_xlnm.Print_Area" localSheetId="24">'2x2 Rndabt'!$B:$BI,'2x2 Rndabt'!$BL:$DS</definedName>
    <definedName name="_xlnm.Print_Area" localSheetId="25">'3x3 Rndabt'!$B$1:$BI$75,'3x3 Rndabt'!$BL:$DS</definedName>
    <definedName name="_xlnm.Print_Area" localSheetId="19">'50 Mini-Rndabt'!$B$1:$BI$74,'50 Mini-Rndabt'!$BL$1:$DS$74</definedName>
    <definedName name="_xlnm.Print_Area" localSheetId="20">'75 Mini-Rndabt'!$B$1:$BI$74,'75 Mini-Rndabt'!$BL:$DS</definedName>
    <definedName name="_xlnm.Print_Area" localSheetId="4">Conventional!$B$1:$BI$74,Conventional!$BL$1:$DS$74</definedName>
    <definedName name="_xlnm.Print_Area" localSheetId="5">'Conventional Shared RT LT'!$B$1:$BI$74,'Conventional Shared RT LT'!$BL$1:$DS$74</definedName>
    <definedName name="_xlnm.Print_Area" localSheetId="33">'DCD E-W'!$B$1:$CB$55,'DCD E-W'!$B$57:$CB$111</definedName>
    <definedName name="_xlnm.Print_Area" localSheetId="32">'DCD N-S'!$B$1:$BI$74,'DCD N-S'!$BL$1:$DS$74</definedName>
    <definedName name="_xlnm.Print_Area" localSheetId="31">'DLTI E-W '!$B$1:$CB$55,'DLTI E-W '!$B$57:$CB$111</definedName>
    <definedName name="_xlnm.Print_Area" localSheetId="30">'DLTI N-S'!$B:$BI,'DLTI N-S'!$BL:$DS</definedName>
    <definedName name="_xlnm.Print_Area" localSheetId="12">'Full DLT'!$B$1:$BI$74,'Full DLT'!$BL$1:$DS$74</definedName>
    <definedName name="_xlnm.Print_Area" localSheetId="2">'Input Worksheet'!$B$1:$BI$74</definedName>
    <definedName name="_xlnm.Print_Area" localSheetId="16">'MUT E-W'!$B$1:$CB$55,'MUT E-W'!$B$57:$CB$112</definedName>
    <definedName name="_xlnm.Print_Area" localSheetId="15">'MUT N-S '!$B$1:$BI$74,'MUT N-S '!$BL$1:$DS$74</definedName>
    <definedName name="_xlnm.Print_Area" localSheetId="11">'P DLT E-W'!$B$1:$BI$74,'P DLT E-W'!$BL:$DS</definedName>
    <definedName name="_xlnm.Print_Area" localSheetId="10">'P DLT N-S'!$B$1:$BI$74,'P DLT N-S'!$BL$1:$DS$74</definedName>
    <definedName name="_xlnm.Print_Area" localSheetId="29">'PCL E-W'!$B$1:$BI$74,'PCL E-W'!$BL$1:$DS$74</definedName>
    <definedName name="_xlnm.Print_Area" localSheetId="28">'PCL N-S'!$B$1:$BI$74,'PCL N-S'!$BL$1:$DS$74</definedName>
    <definedName name="_xlnm.Print_Area" localSheetId="18">'PMUT E-W'!$B$1:$CB$55,'PMUT E-W'!$B$57:$CB$1048576</definedName>
    <definedName name="_xlnm.Print_Area" localSheetId="17">'PMUT N-S'!$B$1:$BI$74,'PMUT N-S'!$BL$1:$DS$74</definedName>
    <definedName name="_xlnm.Print_Area" localSheetId="7">'QR N-E'!$B$1:$BI$74,'QR N-E'!$BL$1:$DS$74</definedName>
    <definedName name="_xlnm.Print_Area" localSheetId="9">'QR N-W'!$B$1:$BI$74,'QR N-W'!$BL$1:$DS$74</definedName>
    <definedName name="_xlnm.Print_Area" localSheetId="8">'QR S-E'!$B$1:$BI$74,'QR S-E'!$BL$1:$DS$74</definedName>
    <definedName name="_xlnm.Print_Area" localSheetId="6">'QR S-W'!$B$1:$BI$74,'QR S-W'!$BL$1:$DS$74</definedName>
    <definedName name="_xlnm.Print_Area" localSheetId="14">'RCUT E-W'!$B$1:$CB$55,'RCUT E-W'!$B$57:$CB$111</definedName>
    <definedName name="_xlnm.Print_Area" localSheetId="13">'RCUT N-S'!$B$1:$BI$75,'RCUT N-S'!$BL$1:$DS$74</definedName>
    <definedName name="_xlnm.Print_Area" localSheetId="3">'Results Worksheet'!$B$1:$CB$55,'Results Worksheet'!$A$57:$CB$111</definedName>
    <definedName name="_xlnm.Print_Area" localSheetId="35">'SPI E-W'!$B$1:$CB$55,'SPI E-W'!$B$57:$CB$1048576</definedName>
    <definedName name="_xlnm.Print_Area" localSheetId="34">'SPI N-S '!$B$1:$BI$75,'SPI N-S '!$BL$1:$DS$75</definedName>
    <definedName name="_xlnm.Print_Area" localSheetId="27">'TD E-W'!$B:$BI,'TD E-W'!$BL$1:$DS$74</definedName>
    <definedName name="_xlnm.Print_Area" localSheetId="26">'TD N-S'!$B$1:$CB$55,'TD N-S'!$B$57:$CB$111</definedName>
    <definedName name="RTAF" localSheetId="1">Abbreviations!#REF!</definedName>
    <definedName name="RTAF" localSheetId="0">Introduction!#REF!</definedName>
    <definedName name="RTAF">'Input Worksheet'!$AI$36</definedName>
    <definedName name="SB_Growth_Factor" localSheetId="1">Abbreviations!#REF!</definedName>
    <definedName name="SB_Growth_Factor" localSheetId="0">Introduction!#REF!</definedName>
    <definedName name="SB_Growth_Factor">'Input Worksheet'!$AY$32</definedName>
    <definedName name="SB_Truck_Percentage" localSheetId="1">Abbreviations!#REF!</definedName>
    <definedName name="SB_Truck_Percentage" localSheetId="0">Introduction!#REF!</definedName>
    <definedName name="SB_Truck_Percentage">'Input Worksheet'!$AQ$32</definedName>
    <definedName name="SBL_Master" localSheetId="1">Abbreviations!#REF!</definedName>
    <definedName name="SBL_Master" localSheetId="0">Introduction!#REF!</definedName>
    <definedName name="SBL_Master">'Input Worksheet'!$AA$60</definedName>
    <definedName name="SBR_Master" localSheetId="1">Abbreviations!#REF!</definedName>
    <definedName name="SBR_Master" localSheetId="0">Introduction!#REF!</definedName>
    <definedName name="SBR_Master">'Input Worksheet'!$AQ$60</definedName>
    <definedName name="SBT_Master" localSheetId="1">Abbreviations!#REF!</definedName>
    <definedName name="SBT_Master" localSheetId="0">Introduction!#REF!</definedName>
    <definedName name="SBT_Master">'Input Worksheet'!$AI$60</definedName>
    <definedName name="SBU_Master" localSheetId="1">Abbreviations!#REF!</definedName>
    <definedName name="SBU_Master" localSheetId="0">Introduction!#REF!</definedName>
    <definedName name="SBU_Master">'Input Worksheet'!$S$60</definedName>
    <definedName name="Truck_Adjustment_Factor" localSheetId="1">Abbreviations!#REF!</definedName>
    <definedName name="Truck_Adjustment_Factor" localSheetId="0">Introduction!#REF!</definedName>
    <definedName name="Truck_Adjustment_Factor">'Input Worksheet'!$AU$40</definedName>
    <definedName name="UTAF" localSheetId="1">Abbreviations!#REF!</definedName>
    <definedName name="UTAF" localSheetId="0">Introduction!#REF!</definedName>
    <definedName name="UTAF">'Input Worksheet'!$K$36</definedName>
    <definedName name="WB_Growth_Factor" localSheetId="1">Abbreviations!#REF!</definedName>
    <definedName name="WB_Growth_Factor" localSheetId="0">Introduction!#REF!</definedName>
    <definedName name="WB_Growth_Factor">'Input Worksheet'!$AY$30</definedName>
    <definedName name="WB_Truck_Percentage" localSheetId="1">Abbreviations!#REF!</definedName>
    <definedName name="WB_Truck_Percentage" localSheetId="0">Introduction!#REF!</definedName>
    <definedName name="WB_Truck_Percentage">'Input Worksheet'!$AQ$30</definedName>
    <definedName name="WBL_Master" localSheetId="1">Abbreviations!#REF!</definedName>
    <definedName name="WBL_Master" localSheetId="0">Introduction!#REF!</definedName>
    <definedName name="WBL_Master">'Input Worksheet'!$AA$58</definedName>
    <definedName name="WBR_Master" localSheetId="1">Abbreviations!#REF!</definedName>
    <definedName name="WBR_Master" localSheetId="0">Introduction!#REF!</definedName>
    <definedName name="WBR_Master">'Input Worksheet'!$AQ$58</definedName>
    <definedName name="WBT_Master" localSheetId="1">Abbreviations!#REF!</definedName>
    <definedName name="WBT_Master" localSheetId="0">Introduction!#REF!</definedName>
    <definedName name="WBT_Master">'Input Worksheet'!$AI$58</definedName>
    <definedName name="WBU_Master" localSheetId="1">Abbreviations!#REF!</definedName>
    <definedName name="WBU_Master" localSheetId="0">Introduction!#REF!</definedName>
    <definedName name="WBU_Master">'Input Worksheet'!$S$58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67" i="100" l="1"/>
  <c r="CU65" i="100" s="1"/>
  <c r="CR67" i="100"/>
  <c r="CR65" i="100" s="1"/>
  <c r="CO67" i="100"/>
  <c r="CO65" i="100" s="1"/>
  <c r="CL67" i="100"/>
  <c r="CL65" i="100" s="1"/>
  <c r="BQ45" i="100"/>
  <c r="BS45" i="100" s="1"/>
  <c r="BQ42" i="100"/>
  <c r="BS42" i="100" s="1"/>
  <c r="DN40" i="100"/>
  <c r="DL40" i="100" s="1"/>
  <c r="BQ39" i="100"/>
  <c r="BS39" i="100" s="1"/>
  <c r="DN37" i="100"/>
  <c r="DL37" i="100" s="1"/>
  <c r="BQ36" i="100"/>
  <c r="BS36" i="100" s="1"/>
  <c r="DN34" i="100"/>
  <c r="DL34" i="100" s="1"/>
  <c r="DN31" i="100"/>
  <c r="DL31" i="100" s="1"/>
  <c r="CQ12" i="100"/>
  <c r="CQ14" i="100" s="1"/>
  <c r="CN12" i="100"/>
  <c r="CK12" i="100"/>
  <c r="CK14" i="100" s="1"/>
  <c r="CH12" i="100"/>
  <c r="CH14" i="100" s="1"/>
  <c r="BC26" i="100"/>
  <c r="K12" i="100"/>
  <c r="K10" i="100"/>
  <c r="BC8" i="100"/>
  <c r="AW8" i="100"/>
  <c r="AQ8" i="100"/>
  <c r="AK8" i="100"/>
  <c r="K8" i="100"/>
  <c r="K6" i="100"/>
  <c r="DN31" i="99"/>
  <c r="DN34" i="99"/>
  <c r="DN37" i="99"/>
  <c r="CU67" i="99"/>
  <c r="CR67" i="99"/>
  <c r="CO67" i="99"/>
  <c r="CN12" i="99"/>
  <c r="CK12" i="99"/>
  <c r="CH12" i="99"/>
  <c r="CQ12" i="99"/>
  <c r="DN40" i="99"/>
  <c r="CL67" i="99"/>
  <c r="BQ39" i="99"/>
  <c r="BQ45" i="99"/>
  <c r="BQ42" i="99"/>
  <c r="BQ36" i="99"/>
  <c r="BC26" i="99"/>
  <c r="K12" i="99"/>
  <c r="K10" i="99"/>
  <c r="BC8" i="99"/>
  <c r="AW8" i="99"/>
  <c r="AQ8" i="99"/>
  <c r="AK8" i="99"/>
  <c r="K8" i="99"/>
  <c r="K6" i="99"/>
  <c r="AS85" i="84"/>
  <c r="AK82" i="84"/>
  <c r="CK42" i="76"/>
  <c r="CP37" i="76"/>
  <c r="BC8" i="67"/>
  <c r="AW8" i="67"/>
  <c r="AQ8" i="67"/>
  <c r="AK8" i="67"/>
  <c r="BC8" i="95"/>
  <c r="AW8" i="95"/>
  <c r="AQ8" i="95"/>
  <c r="AK8" i="95"/>
  <c r="BC8" i="97"/>
  <c r="AW8" i="97"/>
  <c r="AQ8" i="97"/>
  <c r="AK8" i="97"/>
  <c r="BC8" i="96"/>
  <c r="AW8" i="96"/>
  <c r="AQ8" i="96"/>
  <c r="AK8" i="96"/>
  <c r="BC8" i="69"/>
  <c r="AW8" i="69"/>
  <c r="AQ8" i="69"/>
  <c r="AK8" i="69"/>
  <c r="S56" i="1"/>
  <c r="AA56" i="1"/>
  <c r="BV8" i="82"/>
  <c r="BP8" i="82"/>
  <c r="BJ8" i="82"/>
  <c r="BD8" i="82"/>
  <c r="BC8" i="79"/>
  <c r="AW8" i="79"/>
  <c r="AQ8" i="79"/>
  <c r="AK8" i="79"/>
  <c r="BV8" i="83"/>
  <c r="BP8" i="83"/>
  <c r="BJ8" i="83"/>
  <c r="BD8" i="83"/>
  <c r="BC8" i="88"/>
  <c r="AW8" i="88"/>
  <c r="AQ8" i="88"/>
  <c r="AK8" i="88"/>
  <c r="BV8" i="84"/>
  <c r="BP8" i="84"/>
  <c r="BJ8" i="84"/>
  <c r="BD8" i="84"/>
  <c r="BC8" i="74"/>
  <c r="AW8" i="74"/>
  <c r="AQ8" i="74"/>
  <c r="AK8" i="74"/>
  <c r="BC8" i="76"/>
  <c r="AW8" i="76"/>
  <c r="AQ8" i="76"/>
  <c r="AK8" i="76"/>
  <c r="BC8" i="73"/>
  <c r="AW8" i="73"/>
  <c r="AQ8" i="73"/>
  <c r="AK8" i="73"/>
  <c r="BC8" i="75"/>
  <c r="AW8" i="75"/>
  <c r="AQ8" i="75"/>
  <c r="AK8" i="75"/>
  <c r="BV8" i="86"/>
  <c r="BP8" i="86"/>
  <c r="BJ8" i="86"/>
  <c r="BD8" i="86"/>
  <c r="BV8" i="87"/>
  <c r="BP8" i="87"/>
  <c r="BJ8" i="87"/>
  <c r="BD8" i="87"/>
  <c r="BC8" i="65"/>
  <c r="AW8" i="65"/>
  <c r="AQ8" i="65"/>
  <c r="AK8" i="65"/>
  <c r="BV8" i="64"/>
  <c r="BP8" i="64"/>
  <c r="BJ8" i="64"/>
  <c r="BD8" i="64"/>
  <c r="BC8" i="55"/>
  <c r="AW8" i="55"/>
  <c r="AQ8" i="55"/>
  <c r="AK8" i="55"/>
  <c r="BV8" i="63"/>
  <c r="BP8" i="63"/>
  <c r="BJ8" i="63"/>
  <c r="BD8" i="63"/>
  <c r="BC8" i="58"/>
  <c r="AW8" i="58"/>
  <c r="AQ8" i="58"/>
  <c r="AK8" i="58"/>
  <c r="BC8" i="61"/>
  <c r="AW8" i="61"/>
  <c r="AQ8" i="61"/>
  <c r="AK8" i="61"/>
  <c r="BC8" i="60"/>
  <c r="AW8" i="60"/>
  <c r="AQ8" i="60"/>
  <c r="AK8" i="60"/>
  <c r="BC8" i="59"/>
  <c r="AW8" i="59"/>
  <c r="AQ8" i="59"/>
  <c r="AK8" i="59"/>
  <c r="BC8" i="56"/>
  <c r="AW8" i="56"/>
  <c r="AQ8" i="56"/>
  <c r="AK8" i="56"/>
  <c r="BC8" i="54"/>
  <c r="AW8" i="54"/>
  <c r="AQ8" i="54"/>
  <c r="AK8" i="54"/>
  <c r="BC8" i="57"/>
  <c r="AW8" i="57"/>
  <c r="AQ8" i="57"/>
  <c r="AK8" i="57"/>
  <c r="BC8" i="52"/>
  <c r="AW8" i="52"/>
  <c r="AQ8" i="52"/>
  <c r="AK8" i="52"/>
  <c r="BC8" i="48"/>
  <c r="AW8" i="48"/>
  <c r="AQ8" i="48"/>
  <c r="AK8" i="48"/>
  <c r="BC26" i="69"/>
  <c r="BC9" i="53"/>
  <c r="AW9" i="53"/>
  <c r="AQ9" i="53"/>
  <c r="AK9" i="53"/>
  <c r="BT11" i="94"/>
  <c r="CR20" i="79"/>
  <c r="CI55" i="79"/>
  <c r="I79" i="83"/>
  <c r="AO88" i="83"/>
  <c r="AN79" i="83"/>
  <c r="BT88" i="83"/>
  <c r="CQ16" i="88"/>
  <c r="CL62" i="88"/>
  <c r="CL43" i="88"/>
  <c r="CQ35" i="88"/>
  <c r="AI87" i="87"/>
  <c r="AV84" i="87"/>
  <c r="CL33" i="65"/>
  <c r="CO46" i="65"/>
  <c r="AI87" i="64"/>
  <c r="AV84" i="64"/>
  <c r="CK33" i="55"/>
  <c r="CN46" i="55"/>
  <c r="AE91" i="63"/>
  <c r="AY80" i="63"/>
  <c r="CI32" i="58"/>
  <c r="CT48" i="58"/>
  <c r="CG59" i="61"/>
  <c r="DJ46" i="61"/>
  <c r="CV20" i="61"/>
  <c r="BU31" i="61"/>
  <c r="DJ43" i="60"/>
  <c r="BT28" i="60"/>
  <c r="CG56" i="59"/>
  <c r="CV20" i="59"/>
  <c r="BN11" i="94"/>
  <c r="BH11" i="94"/>
  <c r="BB11" i="94"/>
  <c r="M13" i="94"/>
  <c r="M11" i="94"/>
  <c r="M9" i="94"/>
  <c r="M7" i="94"/>
  <c r="K12" i="97"/>
  <c r="K10" i="97"/>
  <c r="K8" i="97"/>
  <c r="K6" i="97"/>
  <c r="K12" i="96"/>
  <c r="K10" i="96"/>
  <c r="K8" i="96"/>
  <c r="K6" i="96"/>
  <c r="K12" i="95"/>
  <c r="K10" i="95"/>
  <c r="K8" i="95"/>
  <c r="K6" i="95"/>
  <c r="BZ31" i="48" l="1"/>
  <c r="CH31" i="53"/>
  <c r="BZ34" i="48"/>
  <c r="CH34" i="53"/>
  <c r="CH34" i="48"/>
  <c r="CU55" i="100"/>
  <c r="DD31" i="100"/>
  <c r="CH24" i="100"/>
  <c r="BT48" i="100"/>
  <c r="CA45" i="100"/>
  <c r="DA42" i="100"/>
  <c r="DA38" i="100" s="1"/>
  <c r="CL25" i="100"/>
  <c r="DK28" i="100"/>
  <c r="CX64" i="100"/>
  <c r="CN14" i="100"/>
  <c r="BW42" i="100" s="1"/>
  <c r="BS36" i="99"/>
  <c r="BS39" i="99"/>
  <c r="K12" i="82"/>
  <c r="K10" i="82"/>
  <c r="K8" i="82"/>
  <c r="K6" i="82"/>
  <c r="K12" i="79"/>
  <c r="K10" i="79"/>
  <c r="K8" i="79"/>
  <c r="K6" i="79"/>
  <c r="K12" i="83"/>
  <c r="K10" i="83"/>
  <c r="K8" i="83"/>
  <c r="K6" i="83"/>
  <c r="K12" i="88"/>
  <c r="K10" i="88"/>
  <c r="K8" i="88"/>
  <c r="K6" i="88"/>
  <c r="K12" i="84"/>
  <c r="K10" i="84"/>
  <c r="K8" i="84"/>
  <c r="K6" i="84"/>
  <c r="K12" i="76"/>
  <c r="K10" i="76"/>
  <c r="K8" i="76"/>
  <c r="K6" i="76"/>
  <c r="K12" i="74"/>
  <c r="K10" i="74"/>
  <c r="K8" i="74"/>
  <c r="K6" i="74"/>
  <c r="K12" i="73"/>
  <c r="K10" i="73"/>
  <c r="K8" i="73"/>
  <c r="K6" i="73"/>
  <c r="K12" i="75"/>
  <c r="K10" i="75"/>
  <c r="K8" i="75"/>
  <c r="K6" i="75"/>
  <c r="K12" i="86"/>
  <c r="K10" i="86"/>
  <c r="K8" i="86"/>
  <c r="K6" i="86"/>
  <c r="K12" i="67"/>
  <c r="K10" i="67"/>
  <c r="K8" i="67"/>
  <c r="K6" i="67"/>
  <c r="K12" i="69"/>
  <c r="K10" i="69"/>
  <c r="K8" i="69"/>
  <c r="K6" i="69"/>
  <c r="K12" i="87"/>
  <c r="K10" i="87"/>
  <c r="K8" i="87"/>
  <c r="K6" i="87"/>
  <c r="K12" i="65"/>
  <c r="K10" i="65"/>
  <c r="K8" i="65"/>
  <c r="K6" i="65"/>
  <c r="K12" i="64"/>
  <c r="K10" i="64"/>
  <c r="K8" i="64"/>
  <c r="K6" i="64"/>
  <c r="K12" i="55"/>
  <c r="K10" i="55"/>
  <c r="K8" i="55"/>
  <c r="K6" i="55"/>
  <c r="K12" i="63"/>
  <c r="K10" i="63"/>
  <c r="K8" i="63"/>
  <c r="K6" i="63"/>
  <c r="K12" i="58"/>
  <c r="K10" i="58"/>
  <c r="K8" i="58"/>
  <c r="K6" i="58"/>
  <c r="K12" i="59"/>
  <c r="K10" i="59"/>
  <c r="K8" i="59"/>
  <c r="K6" i="59"/>
  <c r="K12" i="60"/>
  <c r="K10" i="60"/>
  <c r="K8" i="60"/>
  <c r="K6" i="60"/>
  <c r="K12" i="61"/>
  <c r="K10" i="61"/>
  <c r="K8" i="61"/>
  <c r="K6" i="61"/>
  <c r="K12" i="56"/>
  <c r="K10" i="56"/>
  <c r="K8" i="56"/>
  <c r="K6" i="56"/>
  <c r="K12" i="54"/>
  <c r="K10" i="54"/>
  <c r="K8" i="54"/>
  <c r="K6" i="54"/>
  <c r="K12" i="57"/>
  <c r="K10" i="57"/>
  <c r="K8" i="57"/>
  <c r="K6" i="57"/>
  <c r="K12" i="52"/>
  <c r="K10" i="52"/>
  <c r="K8" i="52"/>
  <c r="K6" i="52"/>
  <c r="K13" i="53"/>
  <c r="K11" i="53"/>
  <c r="K9" i="53"/>
  <c r="K7" i="53"/>
  <c r="K12" i="48"/>
  <c r="K10" i="48"/>
  <c r="K8" i="48"/>
  <c r="K6" i="48"/>
  <c r="AQ62" i="1"/>
  <c r="AQ60" i="1"/>
  <c r="AQ58" i="1"/>
  <c r="AQ56" i="1"/>
  <c r="AI62" i="1"/>
  <c r="AI60" i="1"/>
  <c r="AI58" i="1"/>
  <c r="AI56" i="1"/>
  <c r="AA62" i="1"/>
  <c r="AA60" i="1"/>
  <c r="AA58" i="1"/>
  <c r="BV43" i="97"/>
  <c r="S60" i="1"/>
  <c r="S62" i="1"/>
  <c r="S58" i="1"/>
  <c r="BV40" i="97"/>
  <c r="DL40" i="99" l="1"/>
  <c r="CW40" i="53"/>
  <c r="DE40" i="48"/>
  <c r="BS42" i="99"/>
  <c r="CH37" i="53"/>
  <c r="BZ37" i="48"/>
  <c r="BS45" i="99"/>
  <c r="BZ40" i="48"/>
  <c r="CH40" i="53"/>
  <c r="CQ14" i="99"/>
  <c r="CS21" i="48"/>
  <c r="CS29" i="53"/>
  <c r="CO65" i="99"/>
  <c r="CM44" i="48"/>
  <c r="CM52" i="48"/>
  <c r="CM44" i="53"/>
  <c r="CR65" i="99"/>
  <c r="CP52" i="48"/>
  <c r="CP44" i="53"/>
  <c r="CU65" i="99"/>
  <c r="CS52" i="48"/>
  <c r="CS44" i="53"/>
  <c r="CL65" i="99"/>
  <c r="CX64" i="99" s="1"/>
  <c r="CJ52" i="48"/>
  <c r="CJ44" i="53"/>
  <c r="CN14" i="99"/>
  <c r="BW42" i="99" s="1"/>
  <c r="CP29" i="48"/>
  <c r="CP21" i="48"/>
  <c r="CP29" i="53"/>
  <c r="CK14" i="99"/>
  <c r="CM21" i="48"/>
  <c r="CM29" i="53"/>
  <c r="CH14" i="99"/>
  <c r="CT15" i="99" s="1"/>
  <c r="CJ29" i="53"/>
  <c r="CJ21" i="48"/>
  <c r="DL37" i="99"/>
  <c r="CL25" i="99" s="1"/>
  <c r="DE37" i="48"/>
  <c r="CW37" i="48" s="1"/>
  <c r="CW37" i="53"/>
  <c r="DL34" i="99"/>
  <c r="CW34" i="53"/>
  <c r="DE34" i="48"/>
  <c r="DL31" i="99"/>
  <c r="CW31" i="53"/>
  <c r="DE31" i="48"/>
  <c r="CT15" i="100"/>
  <c r="CL60" i="100"/>
  <c r="CL56" i="100" s="1"/>
  <c r="AT63" i="100" s="1"/>
  <c r="BW38" i="100"/>
  <c r="J63" i="100" s="1"/>
  <c r="CL21" i="100"/>
  <c r="CH31" i="100" s="1"/>
  <c r="J23" i="100" s="1"/>
  <c r="R24" i="100" s="1"/>
  <c r="CV31" i="100"/>
  <c r="AU23" i="100"/>
  <c r="BT48" i="99"/>
  <c r="DA42" i="99"/>
  <c r="CA45" i="99"/>
  <c r="CH24" i="99"/>
  <c r="CU55" i="99"/>
  <c r="DD31" i="99"/>
  <c r="CP61" i="97"/>
  <c r="CV61" i="97"/>
  <c r="DJ59" i="97" s="1"/>
  <c r="DI35" i="97"/>
  <c r="DI32" i="97"/>
  <c r="DI29" i="97"/>
  <c r="DI26" i="97"/>
  <c r="BV46" i="97"/>
  <c r="BV49" i="97"/>
  <c r="CP16" i="97"/>
  <c r="CS61" i="97"/>
  <c r="DG57" i="97" s="1"/>
  <c r="CM61" i="97"/>
  <c r="CM16" i="97"/>
  <c r="CJ16" i="97"/>
  <c r="BY19" i="97" s="1"/>
  <c r="CG16" i="97"/>
  <c r="BR16" i="97" s="1"/>
  <c r="BR42" i="95"/>
  <c r="BR43" i="96"/>
  <c r="BR48" i="95"/>
  <c r="BS63" i="95" s="1"/>
  <c r="BR49" i="96"/>
  <c r="CJ16" i="95"/>
  <c r="BY19" i="95" s="1"/>
  <c r="BU21" i="96"/>
  <c r="CR65" i="95"/>
  <c r="DF61" i="95" s="1"/>
  <c r="DG60" i="96"/>
  <c r="CL65" i="95"/>
  <c r="DA60" i="96"/>
  <c r="DL39" i="95"/>
  <c r="DL39" i="96"/>
  <c r="DL33" i="95"/>
  <c r="DH19" i="95" s="1"/>
  <c r="DL33" i="96"/>
  <c r="BR39" i="95"/>
  <c r="BR40" i="96"/>
  <c r="BR45" i="95"/>
  <c r="BU60" i="95" s="1"/>
  <c r="BR46" i="96"/>
  <c r="CO65" i="95"/>
  <c r="DD60" i="96"/>
  <c r="CU65" i="95"/>
  <c r="DI63" i="95" s="1"/>
  <c r="DJ60" i="96"/>
  <c r="CG16" i="95"/>
  <c r="BR16" i="95" s="1"/>
  <c r="BR21" i="96"/>
  <c r="CP16" i="95"/>
  <c r="CA21" i="96"/>
  <c r="CM16" i="95"/>
  <c r="BX21" i="96"/>
  <c r="DL36" i="95"/>
  <c r="DL36" i="96"/>
  <c r="DL30" i="95"/>
  <c r="DJ16" i="95" s="1"/>
  <c r="DL30" i="96"/>
  <c r="AW84" i="82"/>
  <c r="Q85" i="83"/>
  <c r="AF77" i="84"/>
  <c r="CR45" i="79"/>
  <c r="CL67" i="67"/>
  <c r="CY65" i="67" s="1"/>
  <c r="DN34" i="69"/>
  <c r="AK79" i="82"/>
  <c r="BQ36" i="69"/>
  <c r="I85" i="84"/>
  <c r="AG91" i="84" s="1"/>
  <c r="CO45" i="79"/>
  <c r="CU45" i="79"/>
  <c r="R76" i="82"/>
  <c r="BL76" i="83"/>
  <c r="AH93" i="82"/>
  <c r="CQ15" i="69"/>
  <c r="DA67" i="88"/>
  <c r="AT72" i="83"/>
  <c r="CG38" i="79"/>
  <c r="CH11" i="88"/>
  <c r="CX67" i="88"/>
  <c r="AQ72" i="83"/>
  <c r="CL30" i="79"/>
  <c r="CE11" i="88"/>
  <c r="CU67" i="88"/>
  <c r="CI30" i="79"/>
  <c r="BK97" i="82"/>
  <c r="BX46" i="88"/>
  <c r="BW97" i="83"/>
  <c r="AQ94" i="82"/>
  <c r="AJ97" i="83"/>
  <c r="CX14" i="79"/>
  <c r="AH87" i="82"/>
  <c r="BX43" i="88"/>
  <c r="AG97" i="83"/>
  <c r="DG33" i="88"/>
  <c r="AW78" i="82"/>
  <c r="DG18" i="88"/>
  <c r="BX60" i="88"/>
  <c r="CE59" i="79"/>
  <c r="Q91" i="83"/>
  <c r="AH90" i="82"/>
  <c r="Q88" i="83"/>
  <c r="BL79" i="83"/>
  <c r="AW81" i="82"/>
  <c r="D72" i="83"/>
  <c r="CB11" i="88"/>
  <c r="CF30" i="79"/>
  <c r="CV35" i="79"/>
  <c r="BL82" i="83"/>
  <c r="DG30" i="88"/>
  <c r="DN31" i="69"/>
  <c r="CL64" i="69"/>
  <c r="BR42" i="67"/>
  <c r="BU59" i="67" s="1"/>
  <c r="DI28" i="75"/>
  <c r="CT57" i="73"/>
  <c r="DJ26" i="74"/>
  <c r="CR12" i="76"/>
  <c r="CL67" i="76"/>
  <c r="BU82" i="84"/>
  <c r="BO92" i="84"/>
  <c r="BR39" i="67"/>
  <c r="BS52" i="67" s="1"/>
  <c r="AT69" i="86"/>
  <c r="AS105" i="86"/>
  <c r="BZ26" i="75"/>
  <c r="CQ57" i="73"/>
  <c r="CK34" i="73" s="1"/>
  <c r="CO12" i="76"/>
  <c r="CI67" i="76"/>
  <c r="I82" i="84"/>
  <c r="AX92" i="84"/>
  <c r="CN15" i="69"/>
  <c r="BQ42" i="69"/>
  <c r="DM38" i="67"/>
  <c r="DK25" i="67" s="1"/>
  <c r="CU67" i="67"/>
  <c r="DP63" i="67" s="1"/>
  <c r="AJ67" i="86"/>
  <c r="AP105" i="86"/>
  <c r="DI25" i="75"/>
  <c r="CN19" i="73"/>
  <c r="CT42" i="73" s="1"/>
  <c r="BU41" i="74"/>
  <c r="CL12" i="76"/>
  <c r="CG62" i="76"/>
  <c r="BU79" i="84"/>
  <c r="AU92" i="84"/>
  <c r="BQ45" i="69"/>
  <c r="CK15" i="69"/>
  <c r="DN40" i="69"/>
  <c r="CQ11" i="67"/>
  <c r="CD12" i="67" s="1"/>
  <c r="DM35" i="67"/>
  <c r="CR67" i="67"/>
  <c r="DI61" i="67" s="1"/>
  <c r="AG67" i="86"/>
  <c r="AM105" i="86"/>
  <c r="AM82" i="86" s="1"/>
  <c r="DE41" i="75"/>
  <c r="CK19" i="73"/>
  <c r="BU38" i="74"/>
  <c r="CI12" i="76"/>
  <c r="CG47" i="76"/>
  <c r="I79" i="84"/>
  <c r="BU88" i="84"/>
  <c r="CH15" i="69"/>
  <c r="BQ39" i="69"/>
  <c r="CN11" i="67"/>
  <c r="BW13" i="67" s="1"/>
  <c r="DM32" i="67"/>
  <c r="CO67" i="67"/>
  <c r="CY62" i="67" s="1"/>
  <c r="AD67" i="86"/>
  <c r="AE104" i="86"/>
  <c r="BX40" i="75"/>
  <c r="CH19" i="73"/>
  <c r="BU35" i="74"/>
  <c r="CG44" i="76"/>
  <c r="I88" i="84"/>
  <c r="DN37" i="69"/>
  <c r="CU64" i="69"/>
  <c r="CK11" i="67"/>
  <c r="DM29" i="67"/>
  <c r="DI8" i="67" s="1"/>
  <c r="AT66" i="86"/>
  <c r="AE101" i="86"/>
  <c r="BX37" i="75"/>
  <c r="DJ32" i="74"/>
  <c r="CJ38" i="74" s="1"/>
  <c r="CV33" i="76"/>
  <c r="AC77" i="84"/>
  <c r="BU85" i="84"/>
  <c r="CR64" i="69"/>
  <c r="CH11" i="67"/>
  <c r="BM13" i="67" s="1"/>
  <c r="BR48" i="67"/>
  <c r="BU69" i="67" s="1"/>
  <c r="BX34" i="75"/>
  <c r="CT34" i="75" s="1"/>
  <c r="DJ29" i="74"/>
  <c r="CV30" i="76"/>
  <c r="CR67" i="76"/>
  <c r="M77" i="84"/>
  <c r="CO64" i="69"/>
  <c r="BR45" i="67"/>
  <c r="BW66" i="67" s="1"/>
  <c r="CQ57" i="67" s="1"/>
  <c r="DI31" i="75"/>
  <c r="CM31" i="75" s="1"/>
  <c r="CW57" i="73"/>
  <c r="CV15" i="76"/>
  <c r="CO67" i="76"/>
  <c r="CU34" i="55"/>
  <c r="CK47" i="55"/>
  <c r="AW84" i="64"/>
  <c r="AS94" i="64"/>
  <c r="CI32" i="65"/>
  <c r="CG40" i="65"/>
  <c r="AW84" i="87"/>
  <c r="AS94" i="87"/>
  <c r="CF34" i="55"/>
  <c r="CH47" i="55"/>
  <c r="AH84" i="64"/>
  <c r="AP94" i="64"/>
  <c r="CV37" i="65"/>
  <c r="CR47" i="65"/>
  <c r="AH84" i="87"/>
  <c r="AP94" i="87"/>
  <c r="CQ32" i="55"/>
  <c r="CU43" i="55"/>
  <c r="AW81" i="64"/>
  <c r="AM94" i="64"/>
  <c r="CG37" i="65"/>
  <c r="CO47" i="65"/>
  <c r="AW81" i="87"/>
  <c r="AM94" i="87"/>
  <c r="CN32" i="55"/>
  <c r="CF43" i="55"/>
  <c r="AH81" i="64"/>
  <c r="AJ94" i="64"/>
  <c r="CV34" i="65"/>
  <c r="CL47" i="65"/>
  <c r="AH81" i="87"/>
  <c r="AJ94" i="87"/>
  <c r="CK32" i="55"/>
  <c r="CU40" i="55"/>
  <c r="AS79" i="64"/>
  <c r="AW90" i="64"/>
  <c r="CG34" i="65"/>
  <c r="CI47" i="65"/>
  <c r="AS79" i="87"/>
  <c r="AW90" i="87"/>
  <c r="CH32" i="55"/>
  <c r="CF40" i="55"/>
  <c r="AP79" i="64"/>
  <c r="AH90" i="64"/>
  <c r="CR32" i="65"/>
  <c r="CV43" i="65"/>
  <c r="AP79" i="87"/>
  <c r="AH90" i="87"/>
  <c r="CU37" i="55"/>
  <c r="CQ47" i="55"/>
  <c r="AM79" i="64"/>
  <c r="AW87" i="64"/>
  <c r="CO32" i="65"/>
  <c r="CG43" i="65"/>
  <c r="AM79" i="87"/>
  <c r="AW87" i="87"/>
  <c r="CF37" i="55"/>
  <c r="CN47" i="55"/>
  <c r="AJ79" i="64"/>
  <c r="AH87" i="64"/>
  <c r="CL32" i="65"/>
  <c r="CV40" i="65"/>
  <c r="AJ79" i="87"/>
  <c r="AH87" i="87"/>
  <c r="BX39" i="58"/>
  <c r="CW49" i="58"/>
  <c r="AM69" i="63"/>
  <c r="AZ86" i="63"/>
  <c r="AO104" i="63"/>
  <c r="DG36" i="58"/>
  <c r="CT49" i="58"/>
  <c r="AD85" i="63"/>
  <c r="AL104" i="63"/>
  <c r="BX36" i="58"/>
  <c r="CQ49" i="58"/>
  <c r="AZ83" i="63"/>
  <c r="AI104" i="63"/>
  <c r="BX33" i="58"/>
  <c r="CN49" i="58"/>
  <c r="AZ80" i="63"/>
  <c r="AF104" i="63"/>
  <c r="CO31" i="58"/>
  <c r="DG45" i="58"/>
  <c r="AZ77" i="63"/>
  <c r="AD94" i="63"/>
  <c r="CL31" i="58"/>
  <c r="DG42" i="58"/>
  <c r="AV69" i="63"/>
  <c r="AD91" i="63"/>
  <c r="CI31" i="58"/>
  <c r="BX42" i="58"/>
  <c r="AS69" i="63"/>
  <c r="CF31" i="58"/>
  <c r="DG39" i="58"/>
  <c r="AP69" i="63"/>
  <c r="AD88" i="63"/>
  <c r="BT17" i="52"/>
  <c r="DK26" i="52"/>
  <c r="DK51" i="57"/>
  <c r="CE61" i="57"/>
  <c r="BY17" i="54"/>
  <c r="BT25" i="54"/>
  <c r="BY60" i="54"/>
  <c r="DK53" i="56"/>
  <c r="BQ34" i="61"/>
  <c r="CJ64" i="61"/>
  <c r="BQ34" i="60"/>
  <c r="CP44" i="60"/>
  <c r="CJ17" i="59"/>
  <c r="CW36" i="59"/>
  <c r="CS60" i="59"/>
  <c r="DG15" i="52"/>
  <c r="BT26" i="52"/>
  <c r="CE18" i="57"/>
  <c r="BT51" i="57"/>
  <c r="CB61" i="57"/>
  <c r="BV17" i="54"/>
  <c r="DK22" i="54"/>
  <c r="BV60" i="54"/>
  <c r="CS15" i="61"/>
  <c r="DN43" i="61"/>
  <c r="DN31" i="60"/>
  <c r="CM44" i="60"/>
  <c r="CH36" i="59"/>
  <c r="CP60" i="59"/>
  <c r="DD15" i="52"/>
  <c r="DK23" i="52"/>
  <c r="CB18" i="57"/>
  <c r="DK48" i="57"/>
  <c r="BY61" i="57"/>
  <c r="BT22" i="54"/>
  <c r="DG17" i="56"/>
  <c r="BT53" i="56"/>
  <c r="DG60" i="56"/>
  <c r="CP15" i="61"/>
  <c r="BQ43" i="61"/>
  <c r="BQ31" i="60"/>
  <c r="CJ44" i="60"/>
  <c r="CW33" i="59"/>
  <c r="CM60" i="59"/>
  <c r="DA15" i="52"/>
  <c r="BT23" i="52"/>
  <c r="DG58" i="52"/>
  <c r="BY18" i="57"/>
  <c r="BV61" i="57"/>
  <c r="DK19" i="54"/>
  <c r="DD17" i="56"/>
  <c r="DK50" i="56"/>
  <c r="DD60" i="56"/>
  <c r="CM15" i="61"/>
  <c r="DN40" i="61"/>
  <c r="CS29" i="60"/>
  <c r="DN40" i="60"/>
  <c r="CH33" i="59"/>
  <c r="CJ60" i="59"/>
  <c r="CX15" i="52"/>
  <c r="DK20" i="52"/>
  <c r="DD58" i="52"/>
  <c r="BV18" i="57"/>
  <c r="BT48" i="57"/>
  <c r="DK57" i="57"/>
  <c r="DK28" i="54"/>
  <c r="DA17" i="56"/>
  <c r="BT50" i="56"/>
  <c r="CV25" i="56" s="1"/>
  <c r="DA60" i="56"/>
  <c r="CJ15" i="61"/>
  <c r="BQ40" i="61"/>
  <c r="CP29" i="60"/>
  <c r="BQ40" i="60"/>
  <c r="CW42" i="59"/>
  <c r="BT20" i="52"/>
  <c r="DA58" i="52"/>
  <c r="BT57" i="57"/>
  <c r="BT19" i="54"/>
  <c r="BT28" i="54"/>
  <c r="CX17" i="56"/>
  <c r="DK47" i="56"/>
  <c r="CX60" i="56"/>
  <c r="DN37" i="61"/>
  <c r="CS64" i="61"/>
  <c r="CM29" i="60"/>
  <c r="DN37" i="60"/>
  <c r="CS17" i="59"/>
  <c r="CH42" i="59"/>
  <c r="DK17" i="52"/>
  <c r="CX58" i="52"/>
  <c r="DK54" i="57"/>
  <c r="CE17" i="54"/>
  <c r="DK25" i="54"/>
  <c r="CE60" i="54"/>
  <c r="DK56" i="56"/>
  <c r="BQ37" i="61"/>
  <c r="CP64" i="61"/>
  <c r="CJ29" i="60"/>
  <c r="BQ37" i="60"/>
  <c r="CP17" i="59"/>
  <c r="CW39" i="59"/>
  <c r="BT54" i="57"/>
  <c r="CB17" i="54"/>
  <c r="CB60" i="54"/>
  <c r="BT47" i="56"/>
  <c r="BT56" i="56"/>
  <c r="CV56" i="56" s="1"/>
  <c r="DN34" i="61"/>
  <c r="CM64" i="61"/>
  <c r="DN34" i="60"/>
  <c r="CS44" i="60"/>
  <c r="CM17" i="59"/>
  <c r="CH39" i="59"/>
  <c r="CL60" i="99" l="1"/>
  <c r="CH45" i="100"/>
  <c r="CL37" i="53"/>
  <c r="H28" i="53" s="1"/>
  <c r="BE24" i="94" s="1"/>
  <c r="BT8" i="48"/>
  <c r="BT10" i="48" s="1"/>
  <c r="AW11" i="53"/>
  <c r="H31" i="53"/>
  <c r="CW34" i="48"/>
  <c r="CW31" i="48"/>
  <c r="BT20" i="48"/>
  <c r="BT22" i="48" s="1"/>
  <c r="CS44" i="48"/>
  <c r="CP44" i="48"/>
  <c r="CH40" i="48"/>
  <c r="CH37" i="48"/>
  <c r="BT16" i="48"/>
  <c r="BT18" i="48" s="1"/>
  <c r="DK28" i="99"/>
  <c r="CJ29" i="48"/>
  <c r="CM29" i="48"/>
  <c r="BT12" i="48"/>
  <c r="BT14" i="48" s="1"/>
  <c r="AL87" i="82"/>
  <c r="AJ17" i="82" s="1"/>
  <c r="CK38" i="79"/>
  <c r="AR40" i="79" s="1"/>
  <c r="O71" i="94"/>
  <c r="J21" i="100"/>
  <c r="CU47" i="100"/>
  <c r="AT65" i="100" s="1"/>
  <c r="AM71" i="94" s="1"/>
  <c r="AW10" i="100"/>
  <c r="DA38" i="99"/>
  <c r="CV31" i="99" s="1"/>
  <c r="CL56" i="99"/>
  <c r="CU47" i="99" s="1"/>
  <c r="CL21" i="99"/>
  <c r="J21" i="99" s="1"/>
  <c r="BW38" i="99"/>
  <c r="J63" i="99" s="1"/>
  <c r="J65" i="100"/>
  <c r="R66" i="100" s="1"/>
  <c r="AU25" i="100"/>
  <c r="BU19" i="97"/>
  <c r="CA29" i="97" s="1"/>
  <c r="CZ59" i="97"/>
  <c r="CH25" i="97" s="1"/>
  <c r="BV25" i="97" s="1"/>
  <c r="CE50" i="97"/>
  <c r="CB11" i="97"/>
  <c r="CB16" i="97"/>
  <c r="CP51" i="97" s="1"/>
  <c r="DC33" i="97"/>
  <c r="CZ25" i="97"/>
  <c r="DJ65" i="97"/>
  <c r="DC57" i="97"/>
  <c r="DC36" i="95"/>
  <c r="CA29" i="96"/>
  <c r="DA52" i="96"/>
  <c r="CP55" i="95"/>
  <c r="CF25" i="95"/>
  <c r="DJ26" i="95"/>
  <c r="DJ26" i="96"/>
  <c r="CA41" i="96" s="1"/>
  <c r="AH97" i="63"/>
  <c r="BG49" i="63" s="1"/>
  <c r="BG52" i="63" s="1"/>
  <c r="CZ54" i="67"/>
  <c r="DI46" i="61"/>
  <c r="DC40" i="61" s="1"/>
  <c r="AW17" i="61" s="1"/>
  <c r="AW20" i="61" s="1"/>
  <c r="CY63" i="95"/>
  <c r="DH23" i="95"/>
  <c r="AR85" i="84"/>
  <c r="AV85" i="84" s="1"/>
  <c r="BA17" i="84" s="1"/>
  <c r="BA20" i="84" s="1"/>
  <c r="BU19" i="95"/>
  <c r="DB61" i="95"/>
  <c r="DP15" i="95"/>
  <c r="CI54" i="79"/>
  <c r="BY53" i="79" s="1"/>
  <c r="CB11" i="95"/>
  <c r="AG90" i="86"/>
  <c r="BS53" i="95"/>
  <c r="DB48" i="97"/>
  <c r="BS53" i="96"/>
  <c r="CC54" i="95"/>
  <c r="BU60" i="96"/>
  <c r="BU56" i="96"/>
  <c r="CB16" i="95"/>
  <c r="DB52" i="95"/>
  <c r="BM63" i="96"/>
  <c r="BS63" i="96"/>
  <c r="DI69" i="95"/>
  <c r="DH23" i="96"/>
  <c r="DH19" i="96"/>
  <c r="CE25" i="96" s="1"/>
  <c r="BU56" i="95"/>
  <c r="DJ16" i="96"/>
  <c r="DP15" i="96"/>
  <c r="BM63" i="95"/>
  <c r="BF90" i="82"/>
  <c r="CZ25" i="95"/>
  <c r="CR21" i="79"/>
  <c r="CW23" i="79" s="1"/>
  <c r="CP38" i="76"/>
  <c r="CK31" i="76" s="1"/>
  <c r="AP33" i="76" s="1"/>
  <c r="AP36" i="76" s="1"/>
  <c r="DI43" i="60"/>
  <c r="DC37" i="60" s="1"/>
  <c r="AU58" i="60" s="1"/>
  <c r="AU61" i="60" s="1"/>
  <c r="CV51" i="52"/>
  <c r="X81" i="82"/>
  <c r="CK41" i="76"/>
  <c r="CK49" i="76" s="1"/>
  <c r="AP50" i="76" s="1"/>
  <c r="AP53" i="76" s="1"/>
  <c r="BV52" i="67"/>
  <c r="CY34" i="67" s="1"/>
  <c r="CQ34" i="88"/>
  <c r="CV33" i="88" s="1"/>
  <c r="AW36" i="88" s="1"/>
  <c r="AW39" i="88" s="1"/>
  <c r="CD15" i="67"/>
  <c r="AP88" i="83"/>
  <c r="AO97" i="83" s="1"/>
  <c r="AQ17" i="83" s="1"/>
  <c r="AQ20" i="83" s="1"/>
  <c r="BS88" i="83"/>
  <c r="BM97" i="83" s="1"/>
  <c r="BQ17" i="83" s="1"/>
  <c r="BQ20" i="83" s="1"/>
  <c r="AM79" i="83"/>
  <c r="AG73" i="83" s="1"/>
  <c r="AD17" i="83" s="1"/>
  <c r="AD20" i="83" s="1"/>
  <c r="CX43" i="52"/>
  <c r="CM50" i="73"/>
  <c r="AW65" i="73" s="1"/>
  <c r="AW68" i="73" s="1"/>
  <c r="DM61" i="67"/>
  <c r="CH24" i="69"/>
  <c r="BZ45" i="69"/>
  <c r="CM28" i="75"/>
  <c r="CB34" i="75" s="1"/>
  <c r="AS46" i="75" s="1"/>
  <c r="CF61" i="65"/>
  <c r="CU18" i="65"/>
  <c r="DF63" i="67"/>
  <c r="DC54" i="67" s="1"/>
  <c r="CL61" i="88"/>
  <c r="CB60" i="88" s="1"/>
  <c r="E60" i="88" s="1"/>
  <c r="E63" i="88" s="1"/>
  <c r="J79" i="83"/>
  <c r="AL87" i="87"/>
  <c r="AK21" i="87" s="1"/>
  <c r="AK24" i="87" s="1"/>
  <c r="BQ84" i="87"/>
  <c r="CK12" i="55"/>
  <c r="CL44" i="88"/>
  <c r="CB46" i="88" s="1"/>
  <c r="E47" i="88" s="1"/>
  <c r="E50" i="88" s="1"/>
  <c r="CT18" i="55"/>
  <c r="DA42" i="69"/>
  <c r="DA38" i="69" s="1"/>
  <c r="DL71" i="67"/>
  <c r="CT37" i="75"/>
  <c r="CX34" i="75" s="1"/>
  <c r="CQ17" i="88"/>
  <c r="CV19" i="88" s="1"/>
  <c r="AW24" i="88" s="1"/>
  <c r="AW27" i="88" s="1"/>
  <c r="CE57" i="67"/>
  <c r="BQ84" i="64"/>
  <c r="DQ11" i="67"/>
  <c r="BM65" i="67"/>
  <c r="CL25" i="69"/>
  <c r="CL21" i="69" s="1"/>
  <c r="BW42" i="69"/>
  <c r="BW38" i="69" s="1"/>
  <c r="CL60" i="69"/>
  <c r="CL56" i="69" s="1"/>
  <c r="BT16" i="67"/>
  <c r="BP16" i="67"/>
  <c r="CA41" i="67" s="1"/>
  <c r="S78" i="64"/>
  <c r="CM27" i="73"/>
  <c r="E23" i="73" s="1"/>
  <c r="DE31" i="69"/>
  <c r="BY35" i="74"/>
  <c r="D64" i="74" s="1"/>
  <c r="D67" i="74" s="1"/>
  <c r="CU29" i="74"/>
  <c r="CY35" i="74" s="1"/>
  <c r="AW19" i="74" s="1"/>
  <c r="CU55" i="69"/>
  <c r="AL82" i="84"/>
  <c r="AA85" i="84" s="1"/>
  <c r="T17" i="84" s="1"/>
  <c r="T20" i="84" s="1"/>
  <c r="AW76" i="84"/>
  <c r="DG11" i="67"/>
  <c r="CG21" i="67" s="1"/>
  <c r="DG15" i="67"/>
  <c r="DH25" i="67"/>
  <c r="CG25" i="67" s="1"/>
  <c r="DI18" i="67"/>
  <c r="AJ90" i="86"/>
  <c r="BW62" i="67"/>
  <c r="CQ55" i="67" s="1"/>
  <c r="BZ6" i="67"/>
  <c r="AP82" i="86"/>
  <c r="AI75" i="86" s="1"/>
  <c r="AY17" i="86" s="1"/>
  <c r="AY20" i="86" s="1"/>
  <c r="DA43" i="52"/>
  <c r="CK62" i="58"/>
  <c r="BL93" i="64"/>
  <c r="CV26" i="52"/>
  <c r="CB39" i="58"/>
  <c r="F57" i="58" s="1"/>
  <c r="F60" i="58" s="1"/>
  <c r="BL93" i="87"/>
  <c r="N86" i="87"/>
  <c r="BS80" i="63"/>
  <c r="CE61" i="55"/>
  <c r="AL87" i="64"/>
  <c r="AK22" i="64" s="1"/>
  <c r="AK25" i="64" s="1"/>
  <c r="S78" i="87"/>
  <c r="CN67" i="55"/>
  <c r="CL12" i="65"/>
  <c r="N87" i="64"/>
  <c r="CJ40" i="55"/>
  <c r="AT41" i="55" s="1"/>
  <c r="AT44" i="55" s="1"/>
  <c r="CK40" i="65"/>
  <c r="AT41" i="65" s="1"/>
  <c r="AT44" i="65" s="1"/>
  <c r="CO67" i="65"/>
  <c r="CV57" i="57"/>
  <c r="DD30" i="52"/>
  <c r="P82" i="63"/>
  <c r="CR18" i="58"/>
  <c r="CT68" i="58"/>
  <c r="CI29" i="57"/>
  <c r="CB30" i="52"/>
  <c r="K91" i="63"/>
  <c r="BN89" i="63"/>
  <c r="CI12" i="58"/>
  <c r="CV42" i="58"/>
  <c r="AV28" i="58" s="1"/>
  <c r="AV31" i="58" s="1"/>
  <c r="CI56" i="54"/>
  <c r="AO77" i="63"/>
  <c r="P17" i="63" s="1"/>
  <c r="CL40" i="61"/>
  <c r="E27" i="61" s="1"/>
  <c r="E30" i="61" s="1"/>
  <c r="CX45" i="56"/>
  <c r="CL37" i="60"/>
  <c r="AQ27" i="60" s="1"/>
  <c r="AQ30" i="60" s="1"/>
  <c r="CI48" i="57"/>
  <c r="BV46" i="57"/>
  <c r="CE33" i="57"/>
  <c r="CV21" i="59"/>
  <c r="CL24" i="59" s="1"/>
  <c r="I19" i="59" s="1"/>
  <c r="CG55" i="59"/>
  <c r="CL54" i="59" s="1"/>
  <c r="AS57" i="59" s="1"/>
  <c r="AS60" i="59" s="1"/>
  <c r="BY45" i="54"/>
  <c r="DG30" i="52"/>
  <c r="CV54" i="52"/>
  <c r="CV28" i="54"/>
  <c r="CB32" i="54"/>
  <c r="CV54" i="57"/>
  <c r="BY46" i="57"/>
  <c r="CI47" i="56"/>
  <c r="DG32" i="56"/>
  <c r="CV21" i="61"/>
  <c r="CL23" i="61" s="1"/>
  <c r="E17" i="61" s="1"/>
  <c r="CI26" i="57"/>
  <c r="CI53" i="54"/>
  <c r="CE32" i="54"/>
  <c r="DD32" i="56"/>
  <c r="CI19" i="54"/>
  <c r="CX46" i="57"/>
  <c r="BV31" i="61"/>
  <c r="BU40" i="61" s="1"/>
  <c r="E66" i="61" s="1"/>
  <c r="E69" i="61" s="1"/>
  <c r="BY45" i="56"/>
  <c r="BU28" i="60"/>
  <c r="BU37" i="60" s="1"/>
  <c r="G28" i="60" s="1"/>
  <c r="CI51" i="57"/>
  <c r="CI17" i="52"/>
  <c r="CI50" i="56"/>
  <c r="CB33" i="57"/>
  <c r="CV53" i="56"/>
  <c r="BV45" i="54"/>
  <c r="DG32" i="54"/>
  <c r="DD32" i="54"/>
  <c r="CI22" i="54" s="1"/>
  <c r="CG58" i="61"/>
  <c r="CL57" i="61" s="1"/>
  <c r="AW66" i="61" s="1"/>
  <c r="AW69" i="61" s="1"/>
  <c r="CE30" i="52"/>
  <c r="CV23" i="52" s="1"/>
  <c r="CV25" i="54"/>
  <c r="CL39" i="59"/>
  <c r="AS25" i="59" s="1"/>
  <c r="AS28" i="59" s="1"/>
  <c r="BV45" i="56"/>
  <c r="DA46" i="57"/>
  <c r="CI20" i="52"/>
  <c r="CV28" i="56"/>
  <c r="DA45" i="56" s="1"/>
  <c r="CL37" i="48" l="1"/>
  <c r="W75" i="82"/>
  <c r="T17" i="82" s="1"/>
  <c r="AR26" i="79"/>
  <c r="AR29" i="79" s="1"/>
  <c r="AR54" i="79"/>
  <c r="AR57" i="79" s="1"/>
  <c r="BA99" i="82"/>
  <c r="AZ17" i="82" s="1"/>
  <c r="AZ20" i="82" s="1"/>
  <c r="CA40" i="97"/>
  <c r="AU23" i="99"/>
  <c r="BE12" i="100"/>
  <c r="BB66" i="100"/>
  <c r="BE10" i="100"/>
  <c r="AY71" i="94"/>
  <c r="AW12" i="100"/>
  <c r="AA71" i="94"/>
  <c r="AT63" i="99"/>
  <c r="CH45" i="99"/>
  <c r="J65" i="99" s="1"/>
  <c r="AW12" i="99" s="1"/>
  <c r="CH31" i="99"/>
  <c r="J23" i="99" s="1"/>
  <c r="O69" i="94" s="1"/>
  <c r="AU25" i="99"/>
  <c r="BE10" i="99" s="1"/>
  <c r="AY69" i="94"/>
  <c r="AT65" i="99"/>
  <c r="AM69" i="94" s="1"/>
  <c r="CD29" i="97"/>
  <c r="CD35" i="97" s="1"/>
  <c r="CY48" i="97"/>
  <c r="CC40" i="97"/>
  <c r="CA59" i="97" s="1"/>
  <c r="CK50" i="97" s="1"/>
  <c r="J62" i="97" s="1"/>
  <c r="CE27" i="96"/>
  <c r="BV25" i="96" s="1"/>
  <c r="DA33" i="97"/>
  <c r="DC15" i="97" s="1"/>
  <c r="CS25" i="97" s="1"/>
  <c r="AS49" i="75"/>
  <c r="AS33" i="75"/>
  <c r="AM92" i="94" s="1"/>
  <c r="AR43" i="79"/>
  <c r="AJ20" i="82"/>
  <c r="P20" i="63"/>
  <c r="AW10" i="73"/>
  <c r="E26" i="73"/>
  <c r="AW10" i="61"/>
  <c r="E20" i="61"/>
  <c r="AW10" i="60"/>
  <c r="G31" i="60"/>
  <c r="I22" i="59"/>
  <c r="AW10" i="59"/>
  <c r="AW10" i="74"/>
  <c r="AW22" i="74"/>
  <c r="CC41" i="67"/>
  <c r="CG23" i="67"/>
  <c r="CC25" i="67"/>
  <c r="CE41" i="67"/>
  <c r="DF54" i="67"/>
  <c r="DC34" i="67"/>
  <c r="CQ53" i="67"/>
  <c r="DA34" i="67"/>
  <c r="CU47" i="69"/>
  <c r="CG45" i="69"/>
  <c r="CW31" i="69"/>
  <c r="CH31" i="69"/>
  <c r="CR53" i="96"/>
  <c r="DB36" i="96"/>
  <c r="CZ15" i="96" s="1"/>
  <c r="CR55" i="96"/>
  <c r="CZ28" i="95"/>
  <c r="CA41" i="95"/>
  <c r="BY41" i="95"/>
  <c r="CP53" i="95"/>
  <c r="DJ55" i="95" s="1"/>
  <c r="DB45" i="95" s="1"/>
  <c r="DJ49" i="97"/>
  <c r="DJ51" i="97"/>
  <c r="DB41" i="97" s="1"/>
  <c r="AM96" i="94"/>
  <c r="AG102" i="94"/>
  <c r="AM40" i="94"/>
  <c r="AP40" i="94" s="1"/>
  <c r="AS92" i="94"/>
  <c r="AV92" i="94" s="1"/>
  <c r="CE51" i="67"/>
  <c r="BJ85" i="84"/>
  <c r="BO17" i="84" s="1"/>
  <c r="BO20" i="84" s="1"/>
  <c r="AI98" i="86"/>
  <c r="U17" i="86" s="1"/>
  <c r="DA36" i="95"/>
  <c r="CK20" i="76"/>
  <c r="AP18" i="76" s="1"/>
  <c r="CF27" i="95"/>
  <c r="BT25" i="95" s="1"/>
  <c r="CY52" i="95"/>
  <c r="CC63" i="96"/>
  <c r="BY29" i="95"/>
  <c r="CB29" i="95"/>
  <c r="BV27" i="97"/>
  <c r="CE51" i="96"/>
  <c r="CC51" i="95"/>
  <c r="CK60" i="76"/>
  <c r="AP64" i="76" s="1"/>
  <c r="AP67" i="76" s="1"/>
  <c r="CJ20" i="55"/>
  <c r="AM24" i="55" s="1"/>
  <c r="CY28" i="96"/>
  <c r="CE54" i="96"/>
  <c r="CK60" i="65"/>
  <c r="AM59" i="65" s="1"/>
  <c r="AM62" i="65" s="1"/>
  <c r="CY25" i="96"/>
  <c r="BE104" i="94"/>
  <c r="BH104" i="94" s="1"/>
  <c r="AM100" i="94"/>
  <c r="AM108" i="94"/>
  <c r="AA102" i="94"/>
  <c r="AD102" i="94" s="1"/>
  <c r="AM36" i="94"/>
  <c r="AP36" i="94" s="1"/>
  <c r="AS42" i="94"/>
  <c r="AV42" i="94" s="1"/>
  <c r="AY42" i="94"/>
  <c r="BB42" i="94" s="1"/>
  <c r="AM94" i="94"/>
  <c r="AS100" i="94"/>
  <c r="AV100" i="94" s="1"/>
  <c r="AM106" i="94"/>
  <c r="AG36" i="94"/>
  <c r="AJ36" i="94" s="1"/>
  <c r="AY102" i="94"/>
  <c r="BB102" i="94" s="1"/>
  <c r="AG44" i="94"/>
  <c r="AJ44" i="94" s="1"/>
  <c r="BE46" i="94"/>
  <c r="AM90" i="94"/>
  <c r="BE102" i="94"/>
  <c r="BH102" i="94" s="1"/>
  <c r="AM104" i="94"/>
  <c r="AP104" i="94" s="1"/>
  <c r="AM98" i="94"/>
  <c r="AS40" i="94"/>
  <c r="AS38" i="94"/>
  <c r="AS96" i="94"/>
  <c r="AV96" i="94" s="1"/>
  <c r="AS98" i="94"/>
  <c r="AV98" i="94" s="1"/>
  <c r="BE36" i="94"/>
  <c r="AG40" i="94"/>
  <c r="AJ40" i="94" s="1"/>
  <c r="BE50" i="94"/>
  <c r="BE52" i="94"/>
  <c r="BH52" i="94" s="1"/>
  <c r="BE40" i="94"/>
  <c r="BH40" i="94" s="1"/>
  <c r="BE48" i="94"/>
  <c r="BH48" i="94" s="1"/>
  <c r="AS104" i="94"/>
  <c r="AV104" i="94" s="1"/>
  <c r="CZ51" i="52"/>
  <c r="AY63" i="52" s="1"/>
  <c r="AY66" i="52" s="1"/>
  <c r="AY40" i="94"/>
  <c r="BB40" i="94" s="1"/>
  <c r="BE38" i="94"/>
  <c r="BH38" i="94" s="1"/>
  <c r="AM44" i="94"/>
  <c r="AY38" i="94"/>
  <c r="BB38" i="94" s="1"/>
  <c r="AS94" i="94"/>
  <c r="AV94" i="94" s="1"/>
  <c r="BA85" i="83"/>
  <c r="BD17" i="83" s="1"/>
  <c r="BD20" i="83" s="1"/>
  <c r="BF87" i="64"/>
  <c r="BP22" i="64" s="1"/>
  <c r="BP25" i="64" s="1"/>
  <c r="CK20" i="65"/>
  <c r="AM24" i="65" s="1"/>
  <c r="BW25" i="67"/>
  <c r="R87" i="64"/>
  <c r="F22" i="64" s="1"/>
  <c r="BF87" i="87"/>
  <c r="BP22" i="87" s="1"/>
  <c r="BP25" i="87" s="1"/>
  <c r="I73" i="83"/>
  <c r="D17" i="83" s="1"/>
  <c r="D20" i="83" s="1"/>
  <c r="U85" i="83"/>
  <c r="Q17" i="83" s="1"/>
  <c r="CG19" i="88"/>
  <c r="E31" i="88" s="1"/>
  <c r="CQ60" i="88"/>
  <c r="AW53" i="88" s="1"/>
  <c r="AW56" i="88" s="1"/>
  <c r="BH83" i="63"/>
  <c r="BG17" i="63" s="1"/>
  <c r="BG20" i="63" s="1"/>
  <c r="CZ26" i="67"/>
  <c r="CZ20" i="67"/>
  <c r="BZ25" i="67"/>
  <c r="M85" i="84"/>
  <c r="F17" i="84" s="1"/>
  <c r="CP61" i="58"/>
  <c r="AV65" i="58" s="1"/>
  <c r="AV68" i="58" s="1"/>
  <c r="CE54" i="67"/>
  <c r="CZ23" i="67"/>
  <c r="CJ60" i="55"/>
  <c r="AM59" i="55" s="1"/>
  <c r="AM62" i="55" s="1"/>
  <c r="R87" i="87"/>
  <c r="F22" i="87" s="1"/>
  <c r="O91" i="63"/>
  <c r="N49" i="63" s="1"/>
  <c r="N52" i="63" s="1"/>
  <c r="CH20" i="58"/>
  <c r="F20" i="58" s="1"/>
  <c r="CZ54" i="57"/>
  <c r="AV67" i="57" s="1"/>
  <c r="AV70" i="57" s="1"/>
  <c r="CZ23" i="52"/>
  <c r="CZ53" i="56"/>
  <c r="BX54" i="57"/>
  <c r="C50" i="57" s="1"/>
  <c r="C53" i="57" s="1"/>
  <c r="BX25" i="54"/>
  <c r="C24" i="54" s="1"/>
  <c r="BX53" i="56"/>
  <c r="I65" i="56" s="1"/>
  <c r="I68" i="56" s="1"/>
  <c r="BX26" i="57"/>
  <c r="C28" i="57" s="1"/>
  <c r="BX53" i="54"/>
  <c r="C62" i="54" s="1"/>
  <c r="C65" i="54" s="1"/>
  <c r="BX23" i="52"/>
  <c r="E18" i="52" s="1"/>
  <c r="E21" i="52" s="1"/>
  <c r="CZ25" i="56"/>
  <c r="AW24" i="56" s="1"/>
  <c r="CZ25" i="54"/>
  <c r="H28" i="48" l="1"/>
  <c r="H31" i="48" s="1"/>
  <c r="BE26" i="94"/>
  <c r="BE106" i="94"/>
  <c r="BH106" i="94" s="1"/>
  <c r="AA106" i="94"/>
  <c r="AD106" i="94" s="1"/>
  <c r="AW10" i="79"/>
  <c r="T20" i="82"/>
  <c r="BP10" i="82"/>
  <c r="AA108" i="94"/>
  <c r="AD108" i="94" s="1"/>
  <c r="BE108" i="94"/>
  <c r="BH108" i="94" s="1"/>
  <c r="R66" i="99"/>
  <c r="AA69" i="94"/>
  <c r="CA69" i="94" s="1"/>
  <c r="R24" i="99"/>
  <c r="AW10" i="99"/>
  <c r="CA71" i="94"/>
  <c r="BK71" i="94"/>
  <c r="BZ71" i="94"/>
  <c r="BE12" i="99"/>
  <c r="BB66" i="99"/>
  <c r="AW10" i="75"/>
  <c r="AS36" i="75"/>
  <c r="R63" i="97"/>
  <c r="AA77" i="94"/>
  <c r="C74" i="94" s="1"/>
  <c r="AW12" i="97"/>
  <c r="AP106" i="94"/>
  <c r="AP98" i="94"/>
  <c r="AP90" i="94"/>
  <c r="AP94" i="94"/>
  <c r="BZ94" i="94" s="1"/>
  <c r="AJ102" i="94"/>
  <c r="Q20" i="83"/>
  <c r="BP10" i="83"/>
  <c r="AP100" i="94"/>
  <c r="AW10" i="48"/>
  <c r="AP108" i="94"/>
  <c r="AP92" i="94"/>
  <c r="BZ92" i="94" s="1"/>
  <c r="F23" i="58"/>
  <c r="AW10" i="58"/>
  <c r="AW10" i="55"/>
  <c r="AM27" i="55"/>
  <c r="C27" i="54"/>
  <c r="BP10" i="84"/>
  <c r="F20" i="84"/>
  <c r="AW10" i="65"/>
  <c r="AM27" i="65"/>
  <c r="O73" i="94"/>
  <c r="J23" i="69"/>
  <c r="BP10" i="63"/>
  <c r="AQ79" i="94"/>
  <c r="AX65" i="95"/>
  <c r="AW27" i="56"/>
  <c r="AM18" i="52"/>
  <c r="AM21" i="52" s="1"/>
  <c r="AW10" i="52"/>
  <c r="BP10" i="87"/>
  <c r="F25" i="87"/>
  <c r="AP21" i="76"/>
  <c r="AW10" i="76"/>
  <c r="AQ77" i="94"/>
  <c r="AX64" i="97"/>
  <c r="AA73" i="94"/>
  <c r="J65" i="69"/>
  <c r="AM73" i="94"/>
  <c r="B67" i="94" s="1"/>
  <c r="AT65" i="69"/>
  <c r="AW10" i="57"/>
  <c r="C31" i="57"/>
  <c r="AW10" i="88"/>
  <c r="E34" i="88"/>
  <c r="BP10" i="64"/>
  <c r="F25" i="64"/>
  <c r="BP10" i="86"/>
  <c r="U20" i="86"/>
  <c r="O77" i="94"/>
  <c r="J23" i="97"/>
  <c r="AX23" i="97"/>
  <c r="AY73" i="94"/>
  <c r="C67" i="94" s="1"/>
  <c r="AU25" i="69"/>
  <c r="BE10" i="69" s="1"/>
  <c r="BZ24" i="94"/>
  <c r="CA36" i="94"/>
  <c r="BK36" i="94" s="1"/>
  <c r="BH36" i="94"/>
  <c r="BZ36" i="94"/>
  <c r="CA40" i="94"/>
  <c r="BK40" i="94" s="1"/>
  <c r="AV40" i="94"/>
  <c r="BZ40" i="94"/>
  <c r="BZ38" i="94"/>
  <c r="CA38" i="94"/>
  <c r="BK38" i="94" s="1"/>
  <c r="AV38" i="94"/>
  <c r="AP44" i="94"/>
  <c r="BH50" i="94"/>
  <c r="BH46" i="94"/>
  <c r="DN53" i="67"/>
  <c r="CZ47" i="67" s="1"/>
  <c r="CA35" i="96"/>
  <c r="BY63" i="95"/>
  <c r="CI54" i="95" s="1"/>
  <c r="DA15" i="95"/>
  <c r="CS28" i="95" s="1"/>
  <c r="DC15" i="95"/>
  <c r="DJ53" i="95"/>
  <c r="CY45" i="95" s="1"/>
  <c r="CA63" i="95"/>
  <c r="CI51" i="95" s="1"/>
  <c r="BT27" i="95"/>
  <c r="BY35" i="95" s="1"/>
  <c r="CY41" i="97"/>
  <c r="CB35" i="95"/>
  <c r="CA35" i="97"/>
  <c r="CK51" i="96"/>
  <c r="CR28" i="96"/>
  <c r="DI55" i="96"/>
  <c r="DN57" i="67"/>
  <c r="DF47" i="67" s="1"/>
  <c r="DN55" i="67"/>
  <c r="DC47" i="67" s="1"/>
  <c r="BE100" i="94"/>
  <c r="BH100" i="94" s="1"/>
  <c r="AY52" i="94"/>
  <c r="AA98" i="94"/>
  <c r="AD98" i="94" s="1"/>
  <c r="AS90" i="94"/>
  <c r="AA104" i="94"/>
  <c r="AD104" i="94" s="1"/>
  <c r="AG104" i="94"/>
  <c r="AM46" i="94"/>
  <c r="AP46" i="94" s="1"/>
  <c r="DA10" i="67"/>
  <c r="CS23" i="67" s="1"/>
  <c r="BE30" i="94"/>
  <c r="BH30" i="94" s="1"/>
  <c r="AM28" i="94"/>
  <c r="AP28" i="94" s="1"/>
  <c r="AS30" i="94"/>
  <c r="AW54" i="56"/>
  <c r="AW57" i="56" s="1"/>
  <c r="AY34" i="94"/>
  <c r="BE32" i="94"/>
  <c r="AG30" i="94"/>
  <c r="CY10" i="67"/>
  <c r="CS26" i="67" s="1"/>
  <c r="AS52" i="94"/>
  <c r="AV52" i="94" s="1"/>
  <c r="DB15" i="96"/>
  <c r="DC10" i="67"/>
  <c r="CS20" i="67" s="1"/>
  <c r="AG46" i="94"/>
  <c r="AJ46" i="94" s="1"/>
  <c r="CA63" i="96"/>
  <c r="BE98" i="94"/>
  <c r="BH98" i="94" s="1"/>
  <c r="J21" i="69"/>
  <c r="AM50" i="94"/>
  <c r="AP50" i="94" s="1"/>
  <c r="J63" i="69"/>
  <c r="BR25" i="67"/>
  <c r="BW31" i="67" s="1"/>
  <c r="BR23" i="67"/>
  <c r="BZ31" i="67" s="1"/>
  <c r="BR21" i="67"/>
  <c r="CC31" i="67" s="1"/>
  <c r="AT63" i="69"/>
  <c r="AU23" i="69"/>
  <c r="CC66" i="67"/>
  <c r="CK54" i="67" s="1"/>
  <c r="CA66" i="67"/>
  <c r="CK57" i="67" s="1"/>
  <c r="CE66" i="67"/>
  <c r="CK51" i="67" s="1"/>
  <c r="AG34" i="94"/>
  <c r="AJ34" i="94" s="1"/>
  <c r="AY44" i="94"/>
  <c r="BB44" i="94" s="1"/>
  <c r="AM102" i="94"/>
  <c r="AP102" i="94" s="1"/>
  <c r="AY48" i="94"/>
  <c r="AY104" i="94"/>
  <c r="BB104" i="94" s="1"/>
  <c r="AA100" i="94"/>
  <c r="AD100" i="94" s="1"/>
  <c r="AM32" i="94"/>
  <c r="AP32" i="94" s="1"/>
  <c r="AS44" i="94"/>
  <c r="AV44" i="94" s="1"/>
  <c r="AG50" i="94"/>
  <c r="AJ50" i="94" s="1"/>
  <c r="AG42" i="94"/>
  <c r="AJ42" i="94" s="1"/>
  <c r="AY28" i="94"/>
  <c r="AS102" i="94"/>
  <c r="AV102" i="94" s="1"/>
  <c r="AM42" i="94"/>
  <c r="AS48" i="94"/>
  <c r="AV48" i="94" s="1"/>
  <c r="AS17" i="54"/>
  <c r="AS20" i="54" s="1"/>
  <c r="BK69" i="94" l="1"/>
  <c r="BZ106" i="94"/>
  <c r="CA108" i="94"/>
  <c r="BZ69" i="94"/>
  <c r="R66" i="69"/>
  <c r="AW12" i="69"/>
  <c r="BF24" i="97"/>
  <c r="BE10" i="97"/>
  <c r="AY77" i="94"/>
  <c r="B74" i="94" s="1"/>
  <c r="BB66" i="69"/>
  <c r="BE12" i="69"/>
  <c r="R24" i="69"/>
  <c r="AW10" i="69"/>
  <c r="BZ73" i="94"/>
  <c r="C66" i="94"/>
  <c r="CA94" i="94"/>
  <c r="BZ108" i="94"/>
  <c r="BZ100" i="94"/>
  <c r="BZ98" i="94"/>
  <c r="CA98" i="94"/>
  <c r="CA102" i="94"/>
  <c r="CA106" i="94"/>
  <c r="BZ102" i="94"/>
  <c r="CA92" i="94"/>
  <c r="BE28" i="94"/>
  <c r="BH28" i="94" s="1"/>
  <c r="CA100" i="94"/>
  <c r="AJ104" i="94"/>
  <c r="BZ104" i="94" s="1"/>
  <c r="CA73" i="94"/>
  <c r="AJ30" i="94"/>
  <c r="AP96" i="94"/>
  <c r="AV90" i="94"/>
  <c r="CA90" i="94" s="1"/>
  <c r="BK73" i="94"/>
  <c r="AE81" i="94"/>
  <c r="I65" i="67"/>
  <c r="BG81" i="94"/>
  <c r="AY25" i="67"/>
  <c r="O75" i="94"/>
  <c r="J23" i="96"/>
  <c r="AI81" i="94"/>
  <c r="I67" i="67"/>
  <c r="O81" i="94"/>
  <c r="I21" i="67"/>
  <c r="AY81" i="94"/>
  <c r="AY21" i="67"/>
  <c r="AY75" i="94"/>
  <c r="AX23" i="96"/>
  <c r="O79" i="94"/>
  <c r="J23" i="95"/>
  <c r="S79" i="94"/>
  <c r="J25" i="95"/>
  <c r="AM79" i="94"/>
  <c r="B79" i="94" s="1"/>
  <c r="AX63" i="95"/>
  <c r="B66" i="94"/>
  <c r="AW10" i="56"/>
  <c r="AA81" i="94"/>
  <c r="I63" i="67"/>
  <c r="AQ81" i="94"/>
  <c r="AY65" i="67"/>
  <c r="AM77" i="94"/>
  <c r="AX62" i="97"/>
  <c r="AW10" i="54"/>
  <c r="S81" i="94"/>
  <c r="I23" i="67"/>
  <c r="AA75" i="94"/>
  <c r="J62" i="96"/>
  <c r="W81" i="94"/>
  <c r="I25" i="67"/>
  <c r="BC81" i="94"/>
  <c r="AY23" i="67"/>
  <c r="AU81" i="94"/>
  <c r="AY67" i="67"/>
  <c r="S77" i="94"/>
  <c r="B75" i="94" s="1"/>
  <c r="J25" i="97"/>
  <c r="R26" i="97" s="1"/>
  <c r="AY79" i="94"/>
  <c r="J63" i="95"/>
  <c r="AA79" i="94"/>
  <c r="AX23" i="95"/>
  <c r="BC79" i="94"/>
  <c r="J65" i="95"/>
  <c r="AM81" i="94"/>
  <c r="AY63" i="67"/>
  <c r="BH24" i="94"/>
  <c r="CA24" i="94"/>
  <c r="BK24" i="94" s="1"/>
  <c r="CA46" i="94"/>
  <c r="BK46" i="94" s="1"/>
  <c r="BZ50" i="94"/>
  <c r="BZ46" i="94"/>
  <c r="CA44" i="94"/>
  <c r="BK44" i="94" s="1"/>
  <c r="CA50" i="94"/>
  <c r="BK50" i="94" s="1"/>
  <c r="BB28" i="94"/>
  <c r="BE34" i="94"/>
  <c r="BH34" i="94" s="1"/>
  <c r="BZ30" i="94"/>
  <c r="CA30" i="94"/>
  <c r="BK30" i="94" s="1"/>
  <c r="AV30" i="94"/>
  <c r="BZ44" i="94"/>
  <c r="CA26" i="94"/>
  <c r="BK26" i="94" s="1"/>
  <c r="BZ26" i="94"/>
  <c r="BH26" i="94"/>
  <c r="CA48" i="94"/>
  <c r="BK48" i="94" s="1"/>
  <c r="BZ48" i="94"/>
  <c r="BB48" i="94"/>
  <c r="BH32" i="94"/>
  <c r="BB34" i="94"/>
  <c r="CA42" i="94"/>
  <c r="BK42" i="94" s="1"/>
  <c r="BZ42" i="94"/>
  <c r="AP42" i="94"/>
  <c r="BB52" i="94"/>
  <c r="CA52" i="94"/>
  <c r="BK52" i="94" s="1"/>
  <c r="BZ52" i="94"/>
  <c r="CS25" i="95"/>
  <c r="DA45" i="96"/>
  <c r="CK54" i="96"/>
  <c r="CR25" i="96"/>
  <c r="AS32" i="94"/>
  <c r="AV32" i="94" s="1"/>
  <c r="BK106" i="94" l="1"/>
  <c r="BK102" i="94"/>
  <c r="BK92" i="94"/>
  <c r="BK98" i="94"/>
  <c r="BK94" i="94"/>
  <c r="BK100" i="94"/>
  <c r="BK108" i="94"/>
  <c r="AW10" i="95"/>
  <c r="AW12" i="67"/>
  <c r="BE12" i="67"/>
  <c r="BE10" i="67"/>
  <c r="BF65" i="97"/>
  <c r="BE12" i="97"/>
  <c r="BF66" i="95"/>
  <c r="BE12" i="95"/>
  <c r="R24" i="96"/>
  <c r="AW10" i="96"/>
  <c r="AW10" i="67"/>
  <c r="AW10" i="97"/>
  <c r="AW12" i="95"/>
  <c r="BZ77" i="94"/>
  <c r="BZ81" i="94"/>
  <c r="C75" i="94"/>
  <c r="C83" i="94"/>
  <c r="CA28" i="94"/>
  <c r="BK28" i="94" s="1"/>
  <c r="BZ28" i="94"/>
  <c r="CA104" i="94"/>
  <c r="BZ90" i="94"/>
  <c r="BZ96" i="94"/>
  <c r="CA96" i="94"/>
  <c r="C82" i="94"/>
  <c r="Q26" i="67"/>
  <c r="BG68" i="67"/>
  <c r="BK90" i="94"/>
  <c r="B82" i="94"/>
  <c r="CA81" i="94"/>
  <c r="C78" i="94"/>
  <c r="BZ34" i="94"/>
  <c r="CA77" i="94"/>
  <c r="BK77" i="94"/>
  <c r="B78" i="94"/>
  <c r="B70" i="94"/>
  <c r="B83" i="94"/>
  <c r="BK81" i="94"/>
  <c r="AE75" i="94"/>
  <c r="B71" i="94" s="1"/>
  <c r="J64" i="96"/>
  <c r="R65" i="96" s="1"/>
  <c r="AM75" i="94"/>
  <c r="C70" i="94" s="1"/>
  <c r="AX62" i="96"/>
  <c r="Q68" i="67"/>
  <c r="BC75" i="94"/>
  <c r="C71" i="94" s="1"/>
  <c r="AX25" i="96"/>
  <c r="BF26" i="96" s="1"/>
  <c r="AE79" i="94"/>
  <c r="C79" i="94" s="1"/>
  <c r="AX25" i="95"/>
  <c r="BF26" i="95" s="1"/>
  <c r="R66" i="95"/>
  <c r="R26" i="95"/>
  <c r="BG26" i="67"/>
  <c r="CA32" i="94"/>
  <c r="BK32" i="94" s="1"/>
  <c r="BZ32" i="94"/>
  <c r="CA34" i="94"/>
  <c r="BK34" i="94" s="1"/>
  <c r="BR108" i="94" l="1"/>
  <c r="BR92" i="94"/>
  <c r="BR100" i="94"/>
  <c r="BR98" i="94"/>
  <c r="BR102" i="94"/>
  <c r="BK104" i="94"/>
  <c r="BR104" i="94"/>
  <c r="BK96" i="94"/>
  <c r="BR96" i="94"/>
  <c r="BR94" i="94"/>
  <c r="BR106" i="94"/>
  <c r="BR90" i="94"/>
  <c r="CA79" i="94"/>
  <c r="BE10" i="96"/>
  <c r="BE10" i="95"/>
  <c r="AW12" i="96"/>
  <c r="BF63" i="96"/>
  <c r="BE12" i="96"/>
  <c r="BZ75" i="94"/>
  <c r="BZ79" i="94"/>
  <c r="CA75" i="94"/>
  <c r="BK75" i="94"/>
  <c r="BK79" i="94"/>
  <c r="BR24" i="94"/>
  <c r="BR28" i="94"/>
  <c r="BR48" i="94"/>
  <c r="BR36" i="94"/>
  <c r="BR38" i="94"/>
  <c r="BR30" i="94"/>
  <c r="BR42" i="94"/>
  <c r="BR46" i="94"/>
  <c r="BR40" i="94"/>
  <c r="BR44" i="94"/>
  <c r="BR34" i="94"/>
  <c r="BR32" i="94"/>
  <c r="BR52" i="94"/>
  <c r="BR26" i="94"/>
  <c r="BR50" i="94"/>
  <c r="BR81" i="94" l="1"/>
  <c r="BN13" i="94"/>
  <c r="BB13" i="94"/>
  <c r="BT13" i="94"/>
  <c r="BH13" i="94"/>
  <c r="BR79" i="94"/>
  <c r="BR75" i="94"/>
  <c r="BR73" i="94"/>
  <c r="BR71" i="94"/>
  <c r="BR69" i="94"/>
  <c r="BR77" i="94"/>
</calcChain>
</file>

<file path=xl/sharedStrings.xml><?xml version="1.0" encoding="utf-8"?>
<sst xmlns="http://schemas.openxmlformats.org/spreadsheetml/2006/main" count="1608" uniqueCount="169">
  <si>
    <t>Capacity Analysis for Planning of Junctions
Capacity Analysis for Planning of Junctions
Capacity Analysis for Planning of Junctions</t>
  </si>
  <si>
    <t xml:space="preserve">Abbreviation Definition   </t>
  </si>
  <si>
    <t>Input Worksheet</t>
  </si>
  <si>
    <t>Project Name:</t>
  </si>
  <si>
    <t>"Enter the Project Title here (Input worksheet)"</t>
  </si>
  <si>
    <t>Project Number:</t>
  </si>
  <si>
    <t>"Enter the Project Number here (Input worksheet)"</t>
  </si>
  <si>
    <t>Location</t>
  </si>
  <si>
    <t>"Enter the Project Location here (Input worksheet)"</t>
  </si>
  <si>
    <t>Date</t>
  </si>
  <si>
    <t>"Enter the date here (Input worksheet)"</t>
  </si>
  <si>
    <t>Traffic Volume Demand</t>
  </si>
  <si>
    <t>Volume (Veh/hr)</t>
  </si>
  <si>
    <t>Percent (%)</t>
  </si>
  <si>
    <t>U-Turn</t>
  </si>
  <si>
    <t>Left</t>
  </si>
  <si>
    <t>Thru</t>
  </si>
  <si>
    <t>Right</t>
  </si>
  <si>
    <t>Truck</t>
  </si>
  <si>
    <t>Volume Growth</t>
  </si>
  <si>
    <t>Eastbound</t>
  </si>
  <si>
    <t>Westbound</t>
  </si>
  <si>
    <t>Southbound</t>
  </si>
  <si>
    <t>Northbound</t>
  </si>
  <si>
    <t>Adjustment Factor</t>
  </si>
  <si>
    <t>Suggested</t>
  </si>
  <si>
    <t xml:space="preserve">Truck to PCE Factor </t>
  </si>
  <si>
    <t>Suggested = 2.00</t>
  </si>
  <si>
    <t xml:space="preserve">Critical Lane Volume </t>
  </si>
  <si>
    <t>Equivalent Pasenger Car Volume</t>
  </si>
  <si>
    <t xml:space="preserve">Notes: </t>
  </si>
  <si>
    <t>Left-Turn Adjustment Factor</t>
  </si>
  <si>
    <t>Conversion of left-turning vehicles to equivalent through vehicles</t>
  </si>
  <si>
    <t>Right-turn Adjustment Factor</t>
  </si>
  <si>
    <t>Conversion of right-turning vehicles to equivalent through vehicles</t>
  </si>
  <si>
    <t>U-turn Adjustment Factor</t>
  </si>
  <si>
    <t>Conversion of U-turning vehicles to equivalent through vehicles</t>
  </si>
  <si>
    <t>1 truck = X Passenger Car Equivalents</t>
  </si>
  <si>
    <t>Critical Lane Volume Sum Limit</t>
  </si>
  <si>
    <t>Saturation Value for Critical Lane Volume Sum at an intersection</t>
  </si>
  <si>
    <t>Capacity Analysis for Planning of Junctions</t>
  </si>
  <si>
    <t>Critical Lane Volume Sum</t>
  </si>
  <si>
    <t>Acceptable Configurations</t>
  </si>
  <si>
    <t>Results for Intersections</t>
  </si>
  <si>
    <t>#</t>
  </si>
  <si>
    <t>TYPE OF INTERSECTION</t>
  </si>
  <si>
    <t>Sheet</t>
  </si>
  <si>
    <t>Zone 1 (North)</t>
  </si>
  <si>
    <t>Zone 2 (South)</t>
  </si>
  <si>
    <t>Zone 3 (East)</t>
  </si>
  <si>
    <t>Zone 4 (West)</t>
  </si>
  <si>
    <t xml:space="preserve">Zone 5 (Center) </t>
  </si>
  <si>
    <t xml:space="preserve">Overall v/c Ratio </t>
  </si>
  <si>
    <t>Ranking</t>
  </si>
  <si>
    <t>CLV</t>
  </si>
  <si>
    <t>V/C</t>
  </si>
  <si>
    <t>Conventional</t>
  </si>
  <si>
    <t>FULL</t>
  </si>
  <si>
    <t>Conventional Shared RT LN</t>
  </si>
  <si>
    <t>CSRL</t>
  </si>
  <si>
    <t>Quadrant Roadway</t>
  </si>
  <si>
    <t>S-W</t>
  </si>
  <si>
    <t>N-E</t>
  </si>
  <si>
    <t>S-E</t>
  </si>
  <si>
    <t>N-W</t>
  </si>
  <si>
    <t xml:space="preserve">Partial Displaced Left Turn </t>
  </si>
  <si>
    <t>N-S</t>
  </si>
  <si>
    <t>E-W</t>
  </si>
  <si>
    <t xml:space="preserve">Displaced Left Turn </t>
  </si>
  <si>
    <t>Restricted Crossing U-Turn</t>
  </si>
  <si>
    <t>Median U-Turn</t>
  </si>
  <si>
    <t>Partial Median U-Turn</t>
  </si>
  <si>
    <t>Results for Roundabouts</t>
  </si>
  <si>
    <t>TYPE OF ROUNDABOUT</t>
  </si>
  <si>
    <t>Lane 1</t>
  </si>
  <si>
    <t>Lane 2</t>
  </si>
  <si>
    <t xml:space="preserve"> Lane 3</t>
  </si>
  <si>
    <t>50 ICD</t>
  </si>
  <si>
    <t>75 ICD</t>
  </si>
  <si>
    <t>1 X 1</t>
  </si>
  <si>
    <t>1 X 2</t>
  </si>
  <si>
    <t>2 X 1</t>
  </si>
  <si>
    <t>2 X 2</t>
  </si>
  <si>
    <t>3 X 3</t>
  </si>
  <si>
    <t>Results for Interchanges</t>
  </si>
  <si>
    <t>TYPE OF INTERCHANGE</t>
  </si>
  <si>
    <t>Zone 1 (Rt Mrg)</t>
  </si>
  <si>
    <t>Zone 2 (Lt Mrg)</t>
  </si>
  <si>
    <t>Zone 3 (Ctr. 1)</t>
  </si>
  <si>
    <t>Zone 4 (Ctr. 2)</t>
  </si>
  <si>
    <t>Zone 5 (Lt Mrg)</t>
  </si>
  <si>
    <t>Zone 6 (Rt Mrg)</t>
  </si>
  <si>
    <t>Diamond</t>
  </si>
  <si>
    <t>Partial Cloverleaf</t>
  </si>
  <si>
    <t xml:space="preserve">Double Crossover Diamond </t>
  </si>
  <si>
    <t xml:space="preserve">Single Point </t>
  </si>
  <si>
    <t>Design and results</t>
  </si>
  <si>
    <t>Data Input and Configuration</t>
  </si>
  <si>
    <t>VOLUME / CAPACITY RATIO:</t>
  </si>
  <si>
    <t>pepch</t>
  </si>
  <si>
    <t>V / C</t>
  </si>
  <si>
    <t>Note: This diagram does not reflect the actual lane configuration of the Intersection</t>
  </si>
  <si>
    <t>Design and Results</t>
  </si>
  <si>
    <t>LT EQ</t>
  </si>
  <si>
    <t>SB</t>
  </si>
  <si>
    <t xml:space="preserve">Opposing Traffic </t>
  </si>
  <si>
    <t>1 LT =</t>
  </si>
  <si>
    <t>TVE</t>
  </si>
  <si>
    <t>NB</t>
  </si>
  <si>
    <t>WB</t>
  </si>
  <si>
    <t>EB</t>
  </si>
  <si>
    <t>Quadrant Roadway Intersection (S-W)</t>
  </si>
  <si>
    <t>Quadrant Roadway Intersection (N-E)</t>
  </si>
  <si>
    <t>pepch+</t>
  </si>
  <si>
    <t>Quadrant Roadway Intersection (S-E)</t>
  </si>
  <si>
    <t>Quadrant Roadway Intersection (N-W)</t>
  </si>
  <si>
    <t>Partial Displaced Left Turn Intersection (N-S)</t>
  </si>
  <si>
    <t>Partial Displaced Left Turn Intersection (E-W)</t>
  </si>
  <si>
    <t>Full Displaced Left Turn Intersection</t>
  </si>
  <si>
    <t>Restricted Crossing U-Turn Intersection (N-S)</t>
  </si>
  <si>
    <t>Restricted Crossing U-Turn Intersection (E-W)</t>
  </si>
  <si>
    <t>Median U-Turn Intersection (N-S)</t>
  </si>
  <si>
    <t>Median U-Turn Intersection (E-W)</t>
  </si>
  <si>
    <t>Partial Median U-Turn Intersection (N-S)</t>
  </si>
  <si>
    <t xml:space="preserve"> Partial Median U-Turn Intersection (N-S)</t>
  </si>
  <si>
    <t>Partial Median U-Turn Intersection (E-W)</t>
  </si>
  <si>
    <t>50' ICD Mini-Roundabout</t>
  </si>
  <si>
    <t>Zone 1</t>
  </si>
  <si>
    <t>Zone 4</t>
  </si>
  <si>
    <t>Zone 3</t>
  </si>
  <si>
    <t>Zone 2</t>
  </si>
  <si>
    <t>Car</t>
  </si>
  <si>
    <r>
      <rPr>
        <b/>
        <sz val="10"/>
        <color theme="0"/>
        <rFont val="Arial"/>
        <family val="2"/>
      </rPr>
      <t xml:space="preserve">Predicted </t>
    </r>
    <r>
      <rPr>
        <b/>
        <sz val="7"/>
        <color theme="0"/>
        <rFont val="Arial"/>
        <family val="2"/>
      </rPr>
      <t>approach capacity</t>
    </r>
  </si>
  <si>
    <t>PCEPH</t>
  </si>
  <si>
    <r>
      <rPr>
        <b/>
        <sz val="10"/>
        <color theme="0"/>
        <rFont val="Arial"/>
        <family val="2"/>
      </rPr>
      <t>conflicting</t>
    </r>
    <r>
      <rPr>
        <b/>
        <sz val="8"/>
        <color theme="0"/>
        <rFont val="Arial"/>
        <family val="2"/>
      </rPr>
      <t xml:space="preserve"> </t>
    </r>
    <r>
      <rPr>
        <sz val="8"/>
        <color theme="0"/>
        <rFont val="Arial"/>
        <family val="2"/>
      </rPr>
      <t>with</t>
    </r>
  </si>
  <si>
    <t>V/C RATIO</t>
  </si>
  <si>
    <t>Conflicting flow</t>
  </si>
  <si>
    <t>Lane</t>
  </si>
  <si>
    <t>75' ICD Mini-Roundabout</t>
  </si>
  <si>
    <t>1 NS x 1 EW Roundabout</t>
  </si>
  <si>
    <t>1 NS x 1 EW Lane Roundabout</t>
  </si>
  <si>
    <t>Equation</t>
  </si>
  <si>
    <t>A x exp(-B x Q)</t>
  </si>
  <si>
    <t>One Lane</t>
  </si>
  <si>
    <t>A</t>
  </si>
  <si>
    <t>B</t>
  </si>
  <si>
    <t>1 NS x 2 EW Lane Roundabout</t>
  </si>
  <si>
    <t>LT Lane</t>
  </si>
  <si>
    <t>RT Lane</t>
  </si>
  <si>
    <t>Zone3</t>
  </si>
  <si>
    <t>Lane Capacity</t>
  </si>
  <si>
    <t>Through lane utilization factor</t>
  </si>
  <si>
    <t>Right turn to Total Flow Ratio</t>
  </si>
  <si>
    <r>
      <rPr>
        <b/>
        <sz val="10"/>
        <color theme="0"/>
        <rFont val="Arial"/>
        <family val="2"/>
      </rPr>
      <t xml:space="preserve">Predicted </t>
    </r>
    <r>
      <rPr>
        <b/>
        <sz val="8"/>
        <color theme="0"/>
        <rFont val="Arial"/>
        <family val="2"/>
      </rPr>
      <t>approach capacity</t>
    </r>
  </si>
  <si>
    <t>2 NS x 1 EW Lane Roundabout</t>
  </si>
  <si>
    <t>2 NS x 2 EW Lane Roundabout</t>
  </si>
  <si>
    <t>3 NS x 3 EW Lane Roundabout</t>
  </si>
  <si>
    <t>Left turn lane utilization factor</t>
  </si>
  <si>
    <t>Lane 3</t>
  </si>
  <si>
    <t>Traditional Diamond (N-S)</t>
  </si>
  <si>
    <t>Traditional Diamond (E-W)</t>
  </si>
  <si>
    <t>Partial Cloverleaf (N-S)</t>
  </si>
  <si>
    <t>Partial Cloverleaf (E-W)</t>
  </si>
  <si>
    <t>Displaced Left Turn Interchange (N-S)</t>
  </si>
  <si>
    <t>Displaced Left Turn Interchange (E-W)</t>
  </si>
  <si>
    <t>Double Crossover Diamond Interchange (N-S)</t>
  </si>
  <si>
    <t>Double Crossover Diamond Interchange (E-W)</t>
  </si>
  <si>
    <t>Single Point Interchange (N-S)</t>
  </si>
  <si>
    <t>Single Point Interchange (E-W)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</si>
</sst>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409]mmmm\ d\,\ yyyy;@"/>
    <numFmt numFmtId="166" formatCode="0.0"/>
    <numFmt numFmtId="167" formatCode="0.0000"/>
    <numFmt numFmtId="168" formatCode="0.0%"/>
  </numFmts>
  <fonts count="6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color theme="0"/>
      <name val="Arial"/>
      <family val="2"/>
    </font>
    <font>
      <b/>
      <sz val="8"/>
      <name val="Arial"/>
      <family val="2"/>
    </font>
    <font>
      <i/>
      <sz val="12"/>
      <name val="Arial"/>
      <family val="2"/>
    </font>
    <font>
      <i/>
      <sz val="10"/>
      <name val="Arial"/>
      <family val="2"/>
    </font>
    <font>
      <b/>
      <sz val="12"/>
      <color theme="0"/>
      <name val="Arial"/>
      <family val="2"/>
    </font>
    <font>
      <b/>
      <sz val="10"/>
      <name val="Arial"/>
      <family val="2"/>
    </font>
    <font>
      <sz val="8"/>
      <name val="Arial"/>
      <family val="2"/>
    </font>
    <font>
      <sz val="7"/>
      <name val="Arial"/>
      <family val="2"/>
    </font>
    <font>
      <b/>
      <sz val="10"/>
      <color theme="0"/>
      <name val="Arial"/>
      <family val="2"/>
    </font>
    <font>
      <i/>
      <sz val="7"/>
      <name val="Arial"/>
      <family val="2"/>
    </font>
    <font>
      <b/>
      <sz val="10"/>
      <color indexed="9"/>
      <name val="Arial"/>
      <family val="2"/>
    </font>
    <font>
      <b/>
      <sz val="10"/>
      <color indexed="8"/>
      <name val="Arial"/>
      <family val="2"/>
    </font>
    <font>
      <b/>
      <i/>
      <u/>
      <sz val="9"/>
      <name val="Arial"/>
      <family val="2"/>
    </font>
    <font>
      <b/>
      <sz val="14"/>
      <color theme="0"/>
      <name val="Arial"/>
      <family val="2"/>
    </font>
    <font>
      <b/>
      <i/>
      <u/>
      <sz val="10"/>
      <name val="Arial"/>
      <family val="2"/>
    </font>
    <font>
      <b/>
      <sz val="14"/>
      <name val="Arial"/>
      <family val="2"/>
    </font>
    <font>
      <b/>
      <sz val="22"/>
      <name val="Arial"/>
      <family val="2"/>
    </font>
    <font>
      <b/>
      <sz val="16"/>
      <color theme="0"/>
      <name val="Arial"/>
      <family val="2"/>
    </font>
    <font>
      <b/>
      <sz val="22"/>
      <color theme="0"/>
      <name val="Arial"/>
      <family val="2"/>
    </font>
    <font>
      <b/>
      <sz val="8"/>
      <color theme="0"/>
      <name val="Arial"/>
      <family val="2"/>
    </font>
    <font>
      <b/>
      <sz val="7"/>
      <name val="Arial"/>
      <family val="2"/>
    </font>
    <font>
      <sz val="10"/>
      <name val="Arial"/>
      <family val="2"/>
    </font>
    <font>
      <b/>
      <sz val="12"/>
      <name val="Arial"/>
      <family val="2"/>
    </font>
    <font>
      <b/>
      <i/>
      <sz val="10"/>
      <name val="Arial"/>
      <family val="2"/>
    </font>
    <font>
      <b/>
      <sz val="9"/>
      <name val="Arial"/>
      <family val="2"/>
    </font>
    <font>
      <sz val="15"/>
      <name val="Arial"/>
      <family val="2"/>
    </font>
    <font>
      <i/>
      <sz val="10"/>
      <color theme="0"/>
      <name val="Arial"/>
      <family val="2"/>
    </font>
    <font>
      <b/>
      <sz val="7"/>
      <color theme="0"/>
      <name val="Arial"/>
      <family val="2"/>
    </font>
    <font>
      <sz val="8"/>
      <color theme="0"/>
      <name val="Arial"/>
      <family val="2"/>
    </font>
    <font>
      <u/>
      <sz val="10"/>
      <color indexed="12"/>
      <name val="Arial"/>
      <family val="2"/>
    </font>
    <font>
      <b/>
      <u/>
      <sz val="10"/>
      <color indexed="12"/>
      <name val="Arial"/>
      <family val="2"/>
    </font>
    <font>
      <sz val="10"/>
      <color theme="0"/>
      <name val="Arial"/>
      <family val="2"/>
    </font>
    <font>
      <b/>
      <sz val="9"/>
      <color theme="0"/>
      <name val="Arial"/>
      <family val="2"/>
    </font>
    <font>
      <sz val="5"/>
      <color theme="0"/>
      <name val="Arial"/>
      <family val="2"/>
    </font>
    <font>
      <b/>
      <sz val="11"/>
      <color theme="0"/>
      <name val="Arial"/>
      <family val="2"/>
    </font>
    <font>
      <sz val="6"/>
      <color theme="0"/>
      <name val="Arial"/>
      <family val="2"/>
    </font>
    <font>
      <sz val="12"/>
      <name val="Times New Roman"/>
      <family val="1"/>
    </font>
    <font>
      <sz val="12"/>
      <color rgb="FF0F243E"/>
      <name val="Times New Roman"/>
      <family val="1"/>
    </font>
    <font>
      <sz val="36"/>
      <color theme="0"/>
      <name val="Arial"/>
      <family val="2"/>
    </font>
    <font>
      <sz val="12"/>
      <color theme="0"/>
      <name val="Arial"/>
      <family val="2"/>
    </font>
    <font>
      <sz val="16"/>
      <color theme="0"/>
      <name val="Arial"/>
      <family val="2"/>
    </font>
    <font>
      <b/>
      <sz val="14"/>
      <color theme="0"/>
      <name val="Times New Roman"/>
      <family val="1"/>
    </font>
    <font>
      <sz val="11"/>
      <name val="Arial"/>
      <family val="2"/>
    </font>
    <font>
      <i/>
      <sz val="8"/>
      <name val="Arial"/>
      <family val="2"/>
    </font>
    <font>
      <b/>
      <sz val="10"/>
      <name val="Swis721 BlkCn BT"/>
      <family val="2"/>
    </font>
    <font>
      <b/>
      <sz val="10.5"/>
      <color theme="0"/>
      <name val="Arial"/>
      <family val="2"/>
    </font>
    <font>
      <sz val="14"/>
      <name val="Arial"/>
      <family val="2"/>
    </font>
    <font>
      <b/>
      <sz val="20"/>
      <name val="Arial"/>
      <family val="2"/>
    </font>
    <font>
      <sz val="10.5"/>
      <name val="Arial"/>
      <family val="2"/>
    </font>
    <font>
      <sz val="16"/>
      <name val="Arial"/>
      <family val="2"/>
    </font>
    <font>
      <sz val="9"/>
      <name val="Arial"/>
      <family val="2"/>
    </font>
    <font>
      <sz val="8.1999999999999993"/>
      <name val="Arial"/>
      <family val="2"/>
    </font>
    <font>
      <sz val="10"/>
      <color rgb="FF333333"/>
      <name val="Arial"/>
      <family val="2"/>
    </font>
    <font>
      <b/>
      <i/>
      <u/>
      <sz val="10"/>
      <color theme="0"/>
      <name val="Arial"/>
      <family val="2"/>
    </font>
    <font>
      <sz val="9"/>
      <color theme="0"/>
      <name val="Arial"/>
      <family val="2"/>
    </font>
    <font>
      <b/>
      <sz val="11"/>
      <name val="Arial"/>
      <family val="2"/>
    </font>
    <font>
      <b/>
      <sz val="10.5"/>
      <name val="Arial"/>
      <family val="2"/>
    </font>
    <font>
      <b/>
      <sz val="10"/>
      <color theme="0" tint="-4.9989318521683403E-2"/>
      <name val="Arial"/>
      <family val="2"/>
    </font>
    <font>
      <b/>
      <u/>
      <sz val="10"/>
      <name val="Arial"/>
      <family val="2"/>
    </font>
    <font>
      <b/>
      <sz val="10"/>
      <color theme="1"/>
      <name val="Arial"/>
      <family val="2"/>
    </font>
    <font>
      <b/>
      <sz val="9"/>
      <color indexed="8"/>
      <name val="Arial"/>
      <family val="2"/>
    </font>
    <font>
      <b/>
      <sz val="9"/>
      <color indexed="9"/>
      <name val="Arial"/>
      <family val="2"/>
    </font>
  </fonts>
  <fills count="24">
    <fill>
      <patternFill patternType="none"/>
    </fill>
    <fill>
      <patternFill patternType="gray125"/>
    </fill>
    <fill>
      <patternFill patternType="solid">
        <fgColor rgb="FF00206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indexed="13"/>
        <bgColor indexed="64"/>
      </patternFill>
    </fill>
    <fill>
      <patternFill patternType="solid">
        <fgColor indexed="52"/>
        <bgColor indexed="64"/>
      </patternFill>
    </fill>
    <fill>
      <patternFill patternType="solid">
        <fgColor indexed="1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3" tint="0.79998168889431442"/>
        <bgColor indexed="64"/>
      </patternFill>
    </fill>
    <fill>
      <patternFill patternType="solid">
        <fgColor rgb="FF006600"/>
        <bgColor indexed="64"/>
      </patternFill>
    </fill>
    <fill>
      <patternFill patternType="solid">
        <fgColor theme="3" tint="-0.249977111117893"/>
        <bgColor indexed="64"/>
      </patternFill>
    </fill>
    <fill>
      <patternFill patternType="solid">
        <fgColor them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lightDown">
        <fgColor theme="1"/>
        <bgColor rgb="FF006600"/>
      </patternFill>
    </fill>
    <fill>
      <patternFill patternType="lightDown">
        <fgColor theme="1"/>
      </patternFill>
    </fill>
    <fill>
      <patternFill patternType="solid">
        <fgColor indexed="65"/>
        <bgColor theme="0"/>
      </patternFill>
    </fill>
  </fills>
  <borders count="2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diagonalUp="1">
      <left style="hair">
        <color indexed="64"/>
      </left>
      <right style="hair">
        <color indexed="64"/>
      </right>
      <top style="medium">
        <color indexed="64"/>
      </top>
      <bottom style="hair">
        <color indexed="64"/>
      </bottom>
      <diagonal style="thin">
        <color indexed="64"/>
      </diagonal>
    </border>
    <border diagonalUp="1">
      <left style="hair">
        <color indexed="64"/>
      </left>
      <right style="medium">
        <color indexed="64"/>
      </right>
      <top style="medium">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style="hair">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diagonalUp="1">
      <left/>
      <right style="hair">
        <color indexed="64"/>
      </right>
      <top style="hair">
        <color indexed="64"/>
      </top>
      <bottom/>
      <diagonal style="thin">
        <color indexed="64"/>
      </diagonal>
    </border>
    <border diagonalUp="1">
      <left style="hair">
        <color indexed="64"/>
      </left>
      <right/>
      <top style="hair">
        <color indexed="64"/>
      </top>
      <bottom/>
      <diagonal style="thin">
        <color indexed="64"/>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diagonalUp="1">
      <left style="hair">
        <color indexed="64"/>
      </left>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diagonal style="thin">
        <color indexed="64"/>
      </diagonal>
    </border>
    <border diagonalUp="1">
      <left style="hair">
        <color indexed="64"/>
      </left>
      <right style="medium">
        <color indexed="64"/>
      </right>
      <top style="hair">
        <color indexed="64"/>
      </top>
      <bottom/>
      <diagonal style="thin">
        <color indexed="64"/>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diagonalUp="1">
      <left style="hair">
        <color indexed="64"/>
      </left>
      <right style="hair">
        <color indexed="64"/>
      </right>
      <top style="hair">
        <color indexed="64"/>
      </top>
      <bottom style="hair">
        <color indexed="64"/>
      </bottom>
      <diagonal style="hair">
        <color indexed="64"/>
      </diagonal>
    </border>
    <border>
      <left/>
      <right/>
      <top/>
      <bottom style="hair">
        <color indexed="64"/>
      </bottom>
      <diagonal/>
    </border>
    <border>
      <left/>
      <right style="hair">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Dashed">
        <color indexed="64"/>
      </left>
      <right style="mediumDashed">
        <color indexed="64"/>
      </right>
      <top style="medium">
        <color indexed="64"/>
      </top>
      <bottom style="thin">
        <color indexed="64"/>
      </bottom>
      <diagonal/>
    </border>
    <border>
      <left style="mediumDashed">
        <color indexed="64"/>
      </left>
      <right style="mediumDashed">
        <color indexed="64"/>
      </right>
      <top style="thin">
        <color indexed="64"/>
      </top>
      <bottom style="thin">
        <color indexed="64"/>
      </bottom>
      <diagonal/>
    </border>
    <border>
      <left style="mediumDashed">
        <color indexed="64"/>
      </left>
      <right style="mediumDashed">
        <color indexed="64"/>
      </right>
      <top style="thin">
        <color indexed="64"/>
      </top>
      <bottom style="medium">
        <color indexed="64"/>
      </bottom>
      <diagonal/>
    </border>
    <border>
      <left style="medium">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right style="medium">
        <color indexed="64"/>
      </right>
      <top style="mediumDashed">
        <color indexed="64"/>
      </top>
      <bottom style="mediumDashed">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style="hair">
        <color indexed="64"/>
      </left>
      <right style="hair">
        <color indexed="64"/>
      </right>
      <top style="hair">
        <color indexed="64"/>
      </top>
      <bottom style="medium">
        <color indexed="64"/>
      </bottom>
      <diagonal style="hair">
        <color indexed="64"/>
      </diagonal>
    </border>
    <border>
      <left style="hair">
        <color indexed="64"/>
      </left>
      <right style="hair">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auto="1"/>
      </diagonal>
    </border>
    <border diagonalUp="1">
      <left style="thin">
        <color indexed="64"/>
      </left>
      <right style="medium">
        <color indexed="64"/>
      </right>
      <top style="thin">
        <color indexed="64"/>
      </top>
      <bottom style="medium">
        <color indexed="64"/>
      </bottom>
      <diagonal style="thin">
        <color auto="1"/>
      </diagonal>
    </border>
    <border diagonalUp="1">
      <left style="medium">
        <color indexed="64"/>
      </left>
      <right style="thin">
        <color indexed="64"/>
      </right>
      <top style="thin">
        <color indexed="64"/>
      </top>
      <bottom/>
      <diagonal style="thin">
        <color auto="1"/>
      </diagonal>
    </border>
    <border diagonalUp="1">
      <left style="medium">
        <color indexed="64"/>
      </left>
      <right style="thin">
        <color indexed="64"/>
      </right>
      <top/>
      <bottom/>
      <diagonal style="thin">
        <color auto="1"/>
      </diagonal>
    </border>
    <border diagonalUp="1">
      <left style="medium">
        <color indexed="64"/>
      </left>
      <right style="thin">
        <color indexed="64"/>
      </right>
      <top/>
      <bottom style="thin">
        <color indexed="64"/>
      </bottom>
      <diagonal style="thin">
        <color auto="1"/>
      </diagonal>
    </border>
    <border diagonalUp="1">
      <left style="medium">
        <color indexed="64"/>
      </left>
      <right style="thin">
        <color indexed="64"/>
      </right>
      <top/>
      <bottom style="medium">
        <color indexed="64"/>
      </bottom>
      <diagonal style="thin">
        <color auto="1"/>
      </diagonal>
    </border>
    <border diagonalUp="1">
      <left style="medium">
        <color indexed="64"/>
      </left>
      <right style="thin">
        <color indexed="64"/>
      </right>
      <top style="medium">
        <color indexed="64"/>
      </top>
      <bottom style="thin">
        <color indexed="64"/>
      </bottom>
      <diagonal style="thin">
        <color auto="1"/>
      </diagonal>
    </border>
    <border diagonalUp="1">
      <left style="thin">
        <color indexed="64"/>
      </left>
      <right style="thin">
        <color indexed="64"/>
      </right>
      <top style="medium">
        <color indexed="64"/>
      </top>
      <bottom style="thin">
        <color indexed="64"/>
      </bottom>
      <diagonal style="thin">
        <color auto="1"/>
      </diagonal>
    </border>
    <border diagonalUp="1">
      <left style="thin">
        <color indexed="64"/>
      </left>
      <right style="medium">
        <color indexed="64"/>
      </right>
      <top style="medium">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diagonalUp="1">
      <left style="medium">
        <color indexed="64"/>
      </left>
      <right/>
      <top style="medium">
        <color indexed="64"/>
      </top>
      <bottom style="thin">
        <color indexed="64"/>
      </bottom>
      <diagonal style="thin">
        <color auto="1"/>
      </diagonal>
    </border>
    <border diagonalUp="1">
      <left/>
      <right/>
      <top style="medium">
        <color indexed="64"/>
      </top>
      <bottom style="thin">
        <color indexed="64"/>
      </bottom>
      <diagonal style="thin">
        <color auto="1"/>
      </diagonal>
    </border>
    <border diagonalUp="1">
      <left/>
      <right style="thin">
        <color indexed="64"/>
      </right>
      <top style="medium">
        <color indexed="64"/>
      </top>
      <bottom style="thin">
        <color indexed="64"/>
      </bottom>
      <diagonal style="thin">
        <color auto="1"/>
      </diagonal>
    </border>
    <border diagonalUp="1">
      <left style="thin">
        <color indexed="64"/>
      </left>
      <right/>
      <top style="medium">
        <color indexed="64"/>
      </top>
      <bottom style="thin">
        <color indexed="64"/>
      </bottom>
      <diagonal style="thin">
        <color auto="1"/>
      </diagonal>
    </border>
    <border diagonalUp="1">
      <left style="thin">
        <color indexed="64"/>
      </left>
      <right style="medium">
        <color indexed="64"/>
      </right>
      <top/>
      <bottom style="medium">
        <color indexed="64"/>
      </bottom>
      <diagonal style="thin">
        <color auto="1"/>
      </diagonal>
    </border>
    <border diagonalUp="1">
      <left style="medium">
        <color indexed="64"/>
      </left>
      <right style="thin">
        <color indexed="64"/>
      </right>
      <top style="medium">
        <color indexed="64"/>
      </top>
      <bottom/>
      <diagonal style="thin">
        <color auto="1"/>
      </diagonal>
    </border>
    <border diagonalUp="1">
      <left/>
      <right style="medium">
        <color indexed="64"/>
      </right>
      <top style="medium">
        <color indexed="64"/>
      </top>
      <bottom style="thin">
        <color indexed="64"/>
      </bottom>
      <diagonal style="thin">
        <color auto="1"/>
      </diagonal>
    </border>
    <border diagonalUp="1">
      <left style="thin">
        <color indexed="64"/>
      </left>
      <right style="thin">
        <color indexed="64"/>
      </right>
      <top style="thin">
        <color auto="1"/>
      </top>
      <bottom style="thin">
        <color indexed="64"/>
      </bottom>
      <diagonal style="thin">
        <color auto="1"/>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diagonalUp="1">
      <left style="hair">
        <color indexed="64"/>
      </left>
      <right style="hair">
        <color indexed="64"/>
      </right>
      <top/>
      <bottom style="hair">
        <color indexed="64"/>
      </bottom>
      <diagonal style="hair">
        <color indexed="64"/>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medium">
        <color indexed="64"/>
      </left>
      <right style="hair">
        <color indexed="64"/>
      </right>
      <top/>
      <bottom style="hair">
        <color indexed="64"/>
      </bottom>
      <diagonal style="hair">
        <color indexed="64"/>
      </diagonal>
    </border>
    <border diagonalUp="1">
      <left style="medium">
        <color indexed="64"/>
      </left>
      <right style="hair">
        <color indexed="64"/>
      </right>
      <top style="hair">
        <color indexed="64"/>
      </top>
      <bottom style="hair">
        <color indexed="64"/>
      </bottom>
      <diagonal style="hair">
        <color indexed="64"/>
      </diagonal>
    </border>
    <border>
      <left style="thin">
        <color indexed="64"/>
      </left>
      <right style="thin">
        <color indexed="64"/>
      </right>
      <top style="thin">
        <color indexed="64"/>
      </top>
      <bottom style="mediumDashed">
        <color indexed="64"/>
      </bottom>
      <diagonal/>
    </border>
    <border>
      <left style="mediumDashed">
        <color indexed="64"/>
      </left>
      <right/>
      <top/>
      <bottom/>
      <diagonal/>
    </border>
    <border>
      <left/>
      <right style="mediumDashed">
        <color indexed="64"/>
      </right>
      <top/>
      <bottom/>
      <diagonal/>
    </border>
    <border>
      <left/>
      <right style="mediumDashed">
        <color indexed="64"/>
      </right>
      <top/>
      <bottom style="medium">
        <color indexed="64"/>
      </bottom>
      <diagonal/>
    </border>
    <border>
      <left/>
      <right style="mediumDashed">
        <color indexed="64"/>
      </right>
      <top style="medium">
        <color indexed="64"/>
      </top>
      <bottom/>
      <diagonal/>
    </border>
    <border>
      <left style="mediumDashed">
        <color indexed="64"/>
      </left>
      <right/>
      <top style="medium">
        <color indexed="64"/>
      </top>
      <bottom/>
      <diagonal/>
    </border>
    <border>
      <left style="mediumDashed">
        <color indexed="64"/>
      </left>
      <right/>
      <top/>
      <bottom style="medium">
        <color indexed="64"/>
      </bottom>
      <diagonal/>
    </border>
    <border>
      <left style="medium">
        <color indexed="64"/>
      </left>
      <right style="thin">
        <color indexed="64"/>
      </right>
      <top style="thin">
        <color indexed="64"/>
      </top>
      <bottom style="mediumDashed">
        <color indexed="64"/>
      </bottom>
      <diagonal/>
    </border>
    <border>
      <left style="thin">
        <color indexed="64"/>
      </left>
      <right style="medium">
        <color indexed="64"/>
      </right>
      <top style="thin">
        <color indexed="64"/>
      </top>
      <bottom style="mediumDashed">
        <color indexed="64"/>
      </bottom>
      <diagonal/>
    </border>
    <border diagonalUp="1">
      <left style="hair">
        <color indexed="64"/>
      </left>
      <right/>
      <top/>
      <bottom style="hair">
        <color indexed="64"/>
      </bottom>
      <diagonal style="hair">
        <color indexed="64"/>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diagonalUp="1">
      <left style="hair">
        <color indexed="64"/>
      </left>
      <right/>
      <top style="hair">
        <color indexed="64"/>
      </top>
      <bottom style="hair">
        <color indexed="64"/>
      </bottom>
      <diagonal style="hair">
        <color indexed="64"/>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Dashed">
        <color indexed="64"/>
      </left>
      <right style="mediumDashed">
        <color indexed="64"/>
      </right>
      <top style="thin">
        <color indexed="64"/>
      </top>
      <bottom/>
      <diagonal/>
    </border>
    <border>
      <left style="mediumDashed">
        <color indexed="64"/>
      </left>
      <right style="mediumDashed">
        <color indexed="64"/>
      </right>
      <top/>
      <bottom style="thin">
        <color indexed="64"/>
      </bottom>
      <diagonal/>
    </border>
    <border>
      <left style="medium">
        <color indexed="64"/>
      </left>
      <right style="mediumDashed">
        <color indexed="64"/>
      </right>
      <top style="medium">
        <color indexed="64"/>
      </top>
      <bottom style="mediumDashed">
        <color indexed="64"/>
      </bottom>
      <diagonal/>
    </border>
    <border>
      <left style="mediumDashed">
        <color indexed="64"/>
      </left>
      <right style="mediumDashed">
        <color indexed="64"/>
      </right>
      <top style="medium">
        <color indexed="64"/>
      </top>
      <bottom style="mediumDashed">
        <color indexed="64"/>
      </bottom>
      <diagonal/>
    </border>
    <border>
      <left style="mediumDashed">
        <color indexed="64"/>
      </left>
      <right style="medium">
        <color indexed="64"/>
      </right>
      <top style="medium">
        <color indexed="64"/>
      </top>
      <bottom style="mediumDashed">
        <color indexed="64"/>
      </bottom>
      <diagonal/>
    </border>
    <border>
      <left style="medium">
        <color indexed="64"/>
      </left>
      <right style="mediumDashed">
        <color indexed="64"/>
      </right>
      <top style="mediumDashed">
        <color indexed="64"/>
      </top>
      <bottom style="medium">
        <color indexed="64"/>
      </bottom>
      <diagonal/>
    </border>
    <border>
      <left style="mediumDashed">
        <color indexed="64"/>
      </left>
      <right style="mediumDashed">
        <color indexed="64"/>
      </right>
      <top style="mediumDashed">
        <color indexed="64"/>
      </top>
      <bottom style="medium">
        <color indexed="64"/>
      </bottom>
      <diagonal/>
    </border>
    <border>
      <left style="mediumDashed">
        <color indexed="64"/>
      </left>
      <right style="medium">
        <color indexed="64"/>
      </right>
      <top style="mediumDashed">
        <color indexed="64"/>
      </top>
      <bottom style="medium">
        <color indexed="64"/>
      </bottom>
      <diagonal/>
    </border>
    <border>
      <left style="mediumDashed">
        <color indexed="64"/>
      </left>
      <right/>
      <top style="medium">
        <color indexed="64"/>
      </top>
      <bottom style="mediumDashed">
        <color indexed="64"/>
      </bottom>
      <diagonal/>
    </border>
    <border>
      <left style="mediumDashed">
        <color indexed="64"/>
      </left>
      <right/>
      <top style="mediumDashed">
        <color indexed="64"/>
      </top>
      <bottom style="medium">
        <color indexed="64"/>
      </bottom>
      <diagonal/>
    </border>
    <border>
      <left/>
      <right style="mediumDashed">
        <color indexed="64"/>
      </right>
      <top style="medium">
        <color indexed="64"/>
      </top>
      <bottom style="mediumDashed">
        <color indexed="64"/>
      </bottom>
      <diagonal/>
    </border>
    <border>
      <left/>
      <right style="mediumDashed">
        <color indexed="64"/>
      </right>
      <top style="mediumDashed">
        <color indexed="64"/>
      </top>
      <bottom style="medium">
        <color indexed="64"/>
      </bottom>
      <diagonal/>
    </border>
    <border>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diagonalUp="1">
      <left/>
      <right/>
      <top/>
      <bottom style="hair">
        <color indexed="64"/>
      </bottom>
      <diagonal style="thin">
        <color indexed="64"/>
      </diagonal>
    </border>
    <border>
      <left style="thin">
        <color indexed="64"/>
      </left>
      <right/>
      <top style="hair">
        <color indexed="64"/>
      </top>
      <bottom style="medium">
        <color indexed="64"/>
      </bottom>
      <diagonal/>
    </border>
    <border diagonalUp="1">
      <left style="medium">
        <color indexed="64"/>
      </left>
      <right style="hair">
        <color indexed="64"/>
      </right>
      <top/>
      <bottom style="hair">
        <color indexed="64"/>
      </bottom>
      <diagonal style="thin">
        <color auto="1"/>
      </diagonal>
    </border>
    <border diagonalUp="1">
      <left style="hair">
        <color indexed="64"/>
      </left>
      <right style="hair">
        <color indexed="64"/>
      </right>
      <top/>
      <bottom style="hair">
        <color indexed="64"/>
      </bottom>
      <diagonal style="thin">
        <color indexed="64"/>
      </diagonal>
    </border>
    <border diagonalUp="1">
      <left style="hair">
        <color indexed="64"/>
      </left>
      <right style="medium">
        <color indexed="64"/>
      </right>
      <top/>
      <bottom style="hair">
        <color indexed="64"/>
      </bottom>
      <diagonal style="thin">
        <color indexed="64"/>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diagonalUp="1">
      <left style="medium">
        <color indexed="64"/>
      </left>
      <right/>
      <top/>
      <bottom style="hair">
        <color indexed="64"/>
      </bottom>
      <diagonal style="thin">
        <color auto="1"/>
      </diagonal>
    </border>
    <border diagonalUp="1">
      <left/>
      <right style="medium">
        <color indexed="64"/>
      </right>
      <top/>
      <bottom style="hair">
        <color indexed="64"/>
      </bottom>
      <diagonal style="thin">
        <color indexed="64"/>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left style="medium">
        <color indexed="64"/>
      </left>
      <right/>
      <top style="thin">
        <color indexed="64"/>
      </top>
      <bottom/>
      <diagonal style="thin">
        <color auto="1"/>
      </diagonal>
    </border>
    <border diagonalUp="1">
      <left/>
      <right/>
      <top style="thin">
        <color indexed="64"/>
      </top>
      <bottom/>
      <diagonal style="thin">
        <color auto="1"/>
      </diagonal>
    </border>
    <border diagonalUp="1">
      <left/>
      <right style="medium">
        <color indexed="64"/>
      </right>
      <top style="thin">
        <color indexed="64"/>
      </top>
      <bottom/>
      <diagonal style="thin">
        <color auto="1"/>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diagonalUp="1">
      <left style="medium">
        <color indexed="64"/>
      </left>
      <right style="hair">
        <color indexed="64"/>
      </right>
      <top style="medium">
        <color indexed="64"/>
      </top>
      <bottom/>
      <diagonal style="thin">
        <color auto="1"/>
      </diagonal>
    </border>
    <border diagonalUp="1">
      <left style="hair">
        <color indexed="64"/>
      </left>
      <right style="hair">
        <color indexed="64"/>
      </right>
      <top style="medium">
        <color indexed="64"/>
      </top>
      <bottom/>
      <diagonal style="thin">
        <color auto="1"/>
      </diagonal>
    </border>
    <border diagonalUp="1">
      <left style="hair">
        <color indexed="64"/>
      </left>
      <right style="medium">
        <color indexed="64"/>
      </right>
      <top style="medium">
        <color indexed="64"/>
      </top>
      <bottom/>
      <diagonal style="thin">
        <color auto="1"/>
      </diagonal>
    </border>
    <border diagonalUp="1">
      <left style="medium">
        <color indexed="64"/>
      </left>
      <right style="hair">
        <color indexed="64"/>
      </right>
      <top style="thin">
        <color indexed="64"/>
      </top>
      <bottom/>
      <diagonal style="thin">
        <color auto="1"/>
      </diagonal>
    </border>
    <border diagonalUp="1">
      <left style="hair">
        <color indexed="64"/>
      </left>
      <right style="hair">
        <color indexed="64"/>
      </right>
      <top style="thin">
        <color indexed="64"/>
      </top>
      <bottom/>
      <diagonal style="thin">
        <color auto="1"/>
      </diagonal>
    </border>
    <border diagonalUp="1">
      <left style="hair">
        <color indexed="64"/>
      </left>
      <right style="medium">
        <color indexed="64"/>
      </right>
      <top style="thin">
        <color indexed="64"/>
      </top>
      <bottom/>
      <diagonal style="thin">
        <color auto="1"/>
      </diagonal>
    </border>
    <border diagonalUp="1">
      <left style="medium">
        <color indexed="64"/>
      </left>
      <right style="hair">
        <color indexed="64"/>
      </right>
      <top/>
      <bottom style="medium">
        <color indexed="64"/>
      </bottom>
      <diagonal style="thin">
        <color auto="1"/>
      </diagonal>
    </border>
    <border diagonalUp="1">
      <left style="hair">
        <color indexed="64"/>
      </left>
      <right style="hair">
        <color indexed="64"/>
      </right>
      <top/>
      <bottom style="medium">
        <color indexed="64"/>
      </bottom>
      <diagonal style="thin">
        <color auto="1"/>
      </diagonal>
    </border>
    <border diagonalUp="1">
      <left style="hair">
        <color indexed="64"/>
      </left>
      <right style="medium">
        <color indexed="64"/>
      </right>
      <top/>
      <bottom style="medium">
        <color indexed="64"/>
      </bottom>
      <diagonal style="thin">
        <color auto="1"/>
      </diagonal>
    </border>
    <border>
      <left/>
      <right style="hair">
        <color indexed="64"/>
      </right>
      <top/>
      <bottom/>
      <diagonal/>
    </border>
    <border>
      <left/>
      <right style="hair">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style="hair">
        <color indexed="64"/>
      </right>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diagonalUp="1">
      <left/>
      <right style="hair">
        <color indexed="64"/>
      </right>
      <top/>
      <bottom style="hair">
        <color indexed="64"/>
      </bottom>
      <diagonal style="hair">
        <color indexed="64"/>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medium">
        <color indexed="64"/>
      </bottom>
      <diagonal/>
    </border>
    <border diagonalUp="1">
      <left style="hair">
        <color indexed="64"/>
      </left>
      <right style="medium">
        <color indexed="64"/>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diagonalUp="1">
      <left style="medium">
        <color indexed="64"/>
      </left>
      <right style="hair">
        <color indexed="64"/>
      </right>
      <top style="hair">
        <color indexed="64"/>
      </top>
      <bottom style="medium">
        <color indexed="64"/>
      </bottom>
      <diagonal style="hair">
        <color indexed="64"/>
      </diagonal>
    </border>
    <border diagonalUp="1">
      <left style="hair">
        <color indexed="64"/>
      </left>
      <right style="medium">
        <color indexed="64"/>
      </right>
      <top style="hair">
        <color indexed="64"/>
      </top>
      <bottom style="medium">
        <color indexed="64"/>
      </bottom>
      <diagonal style="hair">
        <color indexed="64"/>
      </diagonal>
    </border>
    <border>
      <left/>
      <right style="thin">
        <color indexed="64"/>
      </right>
      <top style="hair">
        <color indexed="64"/>
      </top>
      <bottom style="medium">
        <color indexed="64"/>
      </bottom>
      <diagonal/>
    </border>
    <border diagonalUp="1">
      <left/>
      <right style="hair">
        <color indexed="64"/>
      </right>
      <top style="hair">
        <color indexed="64"/>
      </top>
      <bottom style="medium">
        <color indexed="64"/>
      </bottom>
      <diagonal style="hair">
        <color indexed="64"/>
      </diagonal>
    </border>
    <border diagonalUp="1">
      <left style="hair">
        <color indexed="64"/>
      </left>
      <right/>
      <top style="hair">
        <color indexed="64"/>
      </top>
      <bottom style="medium">
        <color indexed="64"/>
      </bottom>
      <diagonal style="hair">
        <color indexed="64"/>
      </diagonal>
    </border>
    <border diagonalUp="1">
      <left style="hair">
        <color indexed="64"/>
      </left>
      <right style="medium">
        <color indexed="64"/>
      </right>
      <top/>
      <bottom style="hair">
        <color indexed="64"/>
      </bottom>
      <diagonal style="hair">
        <color indexed="64"/>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medium">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diagonalUp="1">
      <left style="hair">
        <color indexed="64"/>
      </left>
      <right/>
      <top/>
      <bottom style="hair">
        <color indexed="64"/>
      </bottom>
      <diagonal style="thin">
        <color auto="1"/>
      </diagonal>
    </border>
    <border>
      <left style="hair">
        <color indexed="64"/>
      </left>
      <right/>
      <top style="medium">
        <color indexed="64"/>
      </top>
      <bottom/>
      <diagonal/>
    </border>
    <border>
      <left style="hair">
        <color indexed="64"/>
      </left>
      <right/>
      <top style="thin">
        <color indexed="64"/>
      </top>
      <bottom/>
      <diagonal/>
    </border>
    <border>
      <left/>
      <right style="hair">
        <color indexed="64"/>
      </right>
      <top style="thin">
        <color indexed="64"/>
      </top>
      <bottom/>
      <diagonal/>
    </border>
    <border diagonalUp="1">
      <left/>
      <right/>
      <top style="hair">
        <color indexed="64"/>
      </top>
      <bottom/>
      <diagonal style="thin">
        <color indexed="64"/>
      </diagonal>
    </border>
    <border diagonalUp="1">
      <left/>
      <right style="hair">
        <color indexed="64"/>
      </right>
      <top/>
      <bottom style="hair">
        <color indexed="64"/>
      </bottom>
      <diagonal style="thin">
        <color indexed="64"/>
      </diagonal>
    </border>
    <border diagonalUp="1">
      <left/>
      <right style="medium">
        <color indexed="64"/>
      </right>
      <top style="hair">
        <color indexed="64"/>
      </top>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5" fillId="0" borderId="0"/>
    <xf numFmtId="0" fontId="4" fillId="0" borderId="0"/>
    <xf numFmtId="0" fontId="27" fillId="0" borderId="0"/>
    <xf numFmtId="0" fontId="3" fillId="0" borderId="0"/>
    <xf numFmtId="0" fontId="35" fillId="0" borderId="0" applyNumberFormat="0" applyFill="0" applyBorder="0" applyAlignment="0" applyProtection="0">
      <alignment vertical="top"/>
      <protection locked="0"/>
    </xf>
    <xf numFmtId="0" fontId="2" fillId="0" borderId="0"/>
    <xf numFmtId="0" fontId="1" fillId="0" borderId="0"/>
    <xf numFmtId="0" fontId="5" fillId="0" borderId="0"/>
    <xf numFmtId="0" fontId="1" fillId="0" borderId="0"/>
    <xf numFmtId="0" fontId="1" fillId="0" borderId="0"/>
  </cellStyleXfs>
  <cellXfs count="1950">
    <xf numFmtId="0" fontId="0" fillId="0" borderId="0" xfId="0"/>
    <xf numFmtId="0" fontId="0" fillId="0" borderId="4" xfId="0" applyBorder="1"/>
    <xf numFmtId="0" fontId="0" fillId="0" borderId="5" xfId="0" applyBorder="1"/>
    <xf numFmtId="0" fontId="7" fillId="0" borderId="0" xfId="0" applyFont="1" applyAlignment="1">
      <alignment horizontal="left"/>
    </xf>
    <xf numFmtId="0" fontId="12" fillId="0" borderId="0" xfId="0" applyFont="1"/>
    <xf numFmtId="0" fontId="10" fillId="0" borderId="0" xfId="0" applyFont="1" applyAlignment="1">
      <alignment vertical="center"/>
    </xf>
    <xf numFmtId="0" fontId="11" fillId="0" borderId="0" xfId="0" applyFont="1" applyAlignment="1">
      <alignment vertical="center"/>
    </xf>
    <xf numFmtId="164" fontId="7" fillId="0" borderId="0" xfId="0" applyNumberFormat="1" applyFont="1" applyAlignment="1">
      <alignment vertical="center" wrapText="1"/>
    </xf>
    <xf numFmtId="164" fontId="11" fillId="0" borderId="0" xfId="0" applyNumberFormat="1" applyFont="1" applyAlignment="1">
      <alignment vertical="center" wrapText="1"/>
    </xf>
    <xf numFmtId="0" fontId="0" fillId="0" borderId="0" xfId="0" applyAlignment="1">
      <alignment vertical="center"/>
    </xf>
    <xf numFmtId="2" fontId="0" fillId="0" borderId="0" xfId="0" applyNumberFormat="1" applyAlignment="1">
      <alignment vertical="center"/>
    </xf>
    <xf numFmtId="0" fontId="5" fillId="0" borderId="0" xfId="0" applyFont="1" applyAlignment="1">
      <alignment vertical="center"/>
    </xf>
    <xf numFmtId="0" fontId="0" fillId="0" borderId="34" xfId="0" applyBorder="1"/>
    <xf numFmtId="0" fontId="0" fillId="0" borderId="1" xfId="0" applyBorder="1"/>
    <xf numFmtId="0" fontId="18" fillId="0" borderId="0" xfId="0" applyFont="1" applyAlignment="1">
      <alignment vertical="center" wrapText="1"/>
    </xf>
    <xf numFmtId="0" fontId="21" fillId="0" borderId="0" xfId="0" applyFont="1" applyAlignment="1">
      <alignment vertical="center"/>
    </xf>
    <xf numFmtId="0" fontId="7" fillId="0" borderId="0" xfId="0" applyFont="1"/>
    <xf numFmtId="0" fontId="11" fillId="0" borderId="4" xfId="0" applyFont="1" applyBorder="1" applyAlignment="1">
      <alignment vertical="center"/>
    </xf>
    <xf numFmtId="0" fontId="7" fillId="0" borderId="0" xfId="0" applyFont="1" applyAlignment="1">
      <alignment vertical="center" textRotation="180"/>
    </xf>
    <xf numFmtId="0" fontId="7" fillId="0" borderId="0" xfId="0" applyFont="1" applyAlignment="1">
      <alignment vertical="center" textRotation="90"/>
    </xf>
    <xf numFmtId="0" fontId="11" fillId="0" borderId="5" xfId="0" applyFont="1" applyBorder="1" applyAlignment="1">
      <alignment vertical="center"/>
    </xf>
    <xf numFmtId="0" fontId="12" fillId="0" borderId="35" xfId="0" applyFont="1" applyBorder="1"/>
    <xf numFmtId="0" fontId="7" fillId="0" borderId="0" xfId="0" applyFont="1" applyAlignment="1">
      <alignment wrapText="1"/>
    </xf>
    <xf numFmtId="0" fontId="10" fillId="0" borderId="0" xfId="0" applyFont="1" applyAlignment="1">
      <alignment vertical="center" wrapText="1"/>
    </xf>
    <xf numFmtId="0" fontId="7" fillId="0" borderId="0" xfId="0" applyFont="1" applyAlignment="1" applyProtection="1">
      <alignment vertical="center" textRotation="180"/>
      <protection locked="0"/>
    </xf>
    <xf numFmtId="0" fontId="12" fillId="0" borderId="0" xfId="0" applyFont="1" applyProtection="1">
      <protection locked="0"/>
    </xf>
    <xf numFmtId="0" fontId="24" fillId="0" borderId="0" xfId="0" applyFont="1" applyAlignment="1">
      <alignment vertical="center" wrapText="1"/>
    </xf>
    <xf numFmtId="0" fontId="19" fillId="0" borderId="0" xfId="0" applyFont="1" applyAlignment="1">
      <alignment vertical="center"/>
    </xf>
    <xf numFmtId="0" fontId="22" fillId="0" borderId="0" xfId="0" applyFont="1" applyAlignment="1">
      <alignment vertical="center" wrapText="1"/>
    </xf>
    <xf numFmtId="1" fontId="22" fillId="0" borderId="0" xfId="0" applyNumberFormat="1" applyFont="1" applyAlignment="1">
      <alignment vertical="center" wrapText="1"/>
    </xf>
    <xf numFmtId="0" fontId="0" fillId="0" borderId="0" xfId="0" applyProtection="1">
      <protection locked="0"/>
    </xf>
    <xf numFmtId="0" fontId="11" fillId="0" borderId="0" xfId="0" applyFont="1"/>
    <xf numFmtId="1" fontId="24" fillId="0" borderId="0" xfId="0" applyNumberFormat="1" applyFont="1" applyAlignment="1">
      <alignment vertical="center" wrapText="1"/>
    </xf>
    <xf numFmtId="1" fontId="19" fillId="0" borderId="0" xfId="0" applyNumberFormat="1" applyFont="1" applyAlignment="1">
      <alignment vertical="center"/>
    </xf>
    <xf numFmtId="0" fontId="28" fillId="0" borderId="0" xfId="3" applyFont="1" applyAlignment="1">
      <alignment wrapText="1"/>
    </xf>
    <xf numFmtId="0" fontId="9"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4" fillId="0" borderId="0" xfId="0" applyFont="1" applyAlignment="1">
      <alignment vertical="center" wrapText="1"/>
    </xf>
    <xf numFmtId="0" fontId="14" fillId="0" borderId="0" xfId="0" applyFont="1" applyAlignment="1">
      <alignment vertical="center"/>
    </xf>
    <xf numFmtId="0" fontId="0" fillId="0" borderId="29" xfId="0" applyBorder="1"/>
    <xf numFmtId="0" fontId="7" fillId="0" borderId="0" xfId="0" applyFont="1" applyAlignment="1" applyProtection="1">
      <alignment vertical="center" textRotation="90"/>
      <protection locked="0"/>
    </xf>
    <xf numFmtId="0" fontId="0" fillId="0" borderId="86" xfId="0" applyBorder="1"/>
    <xf numFmtId="0" fontId="39" fillId="0" borderId="0" xfId="0" applyFont="1"/>
    <xf numFmtId="0" fontId="37" fillId="0" borderId="0" xfId="0" applyFont="1" applyAlignment="1">
      <alignment vertical="center"/>
    </xf>
    <xf numFmtId="0" fontId="12" fillId="0" borderId="36" xfId="0" applyFont="1" applyBorder="1"/>
    <xf numFmtId="0" fontId="7" fillId="0" borderId="34" xfId="0" applyFont="1" applyBorder="1" applyAlignment="1" applyProtection="1">
      <alignment vertical="center" textRotation="180"/>
      <protection locked="0"/>
    </xf>
    <xf numFmtId="0" fontId="7" fillId="0" borderId="35" xfId="0" applyFont="1" applyBorder="1" applyAlignment="1">
      <alignment vertical="center" textRotation="180"/>
    </xf>
    <xf numFmtId="0" fontId="7" fillId="0" borderId="5" xfId="0" applyFont="1" applyBorder="1"/>
    <xf numFmtId="0" fontId="12" fillId="0" borderId="36" xfId="0" applyFont="1" applyBorder="1" applyProtection="1">
      <protection locked="0"/>
    </xf>
    <xf numFmtId="0" fontId="7" fillId="0" borderId="2" xfId="0" applyFont="1" applyBorder="1" applyAlignment="1">
      <alignment vertical="center" textRotation="90"/>
    </xf>
    <xf numFmtId="0" fontId="7" fillId="0" borderId="3" xfId="0" applyFont="1" applyBorder="1" applyAlignment="1" applyProtection="1">
      <alignment vertical="center" textRotation="90"/>
      <protection locked="0"/>
    </xf>
    <xf numFmtId="0" fontId="12" fillId="0" borderId="4" xfId="0" applyFont="1" applyBorder="1" applyProtection="1">
      <protection locked="0"/>
    </xf>
    <xf numFmtId="0" fontId="7" fillId="0" borderId="4" xfId="0" applyFont="1" applyBorder="1"/>
    <xf numFmtId="0" fontId="7" fillId="0" borderId="0" xfId="0" applyFont="1" applyProtection="1">
      <protection locked="0"/>
    </xf>
    <xf numFmtId="0" fontId="37" fillId="0" borderId="0" xfId="0" applyFont="1"/>
    <xf numFmtId="0" fontId="0" fillId="4" borderId="1" xfId="0" applyFill="1" applyBorder="1"/>
    <xf numFmtId="0" fontId="7" fillId="4" borderId="2" xfId="0" applyFont="1" applyFill="1" applyBorder="1" applyAlignment="1">
      <alignment vertical="center" textRotation="90"/>
    </xf>
    <xf numFmtId="0" fontId="0" fillId="4" borderId="4" xfId="0" applyFill="1" applyBorder="1"/>
    <xf numFmtId="0" fontId="7" fillId="4" borderId="0" xfId="0" applyFont="1" applyFill="1" applyAlignment="1">
      <alignment vertical="center" textRotation="90"/>
    </xf>
    <xf numFmtId="0" fontId="0" fillId="4" borderId="5" xfId="0" applyFill="1" applyBorder="1"/>
    <xf numFmtId="0" fontId="0" fillId="4" borderId="34" xfId="0" applyFill="1" applyBorder="1"/>
    <xf numFmtId="0" fontId="7" fillId="4" borderId="35" xfId="0" applyFont="1" applyFill="1" applyBorder="1" applyAlignment="1">
      <alignment vertical="center" textRotation="90"/>
    </xf>
    <xf numFmtId="0" fontId="0" fillId="4" borderId="36" xfId="0" applyFill="1" applyBorder="1"/>
    <xf numFmtId="0" fontId="12" fillId="4" borderId="4" xfId="0" applyFont="1" applyFill="1" applyBorder="1"/>
    <xf numFmtId="0" fontId="12" fillId="4" borderId="0" xfId="0" applyFont="1" applyFill="1"/>
    <xf numFmtId="0" fontId="21" fillId="4" borderId="0" xfId="0" applyFont="1" applyFill="1" applyAlignment="1">
      <alignment vertical="center"/>
    </xf>
    <xf numFmtId="0" fontId="12" fillId="4" borderId="2" xfId="0" applyFont="1" applyFill="1" applyBorder="1"/>
    <xf numFmtId="0" fontId="12" fillId="4" borderId="5" xfId="0" applyFont="1" applyFill="1" applyBorder="1"/>
    <xf numFmtId="0" fontId="12" fillId="4" borderId="35" xfId="0" applyFont="1" applyFill="1" applyBorder="1"/>
    <xf numFmtId="0" fontId="7" fillId="4" borderId="5" xfId="0" applyFont="1" applyFill="1" applyBorder="1" applyAlignment="1">
      <alignment vertical="center" textRotation="90"/>
    </xf>
    <xf numFmtId="0" fontId="21" fillId="4" borderId="35" xfId="0" applyFont="1" applyFill="1" applyBorder="1" applyAlignment="1">
      <alignment vertical="center"/>
    </xf>
    <xf numFmtId="0" fontId="41" fillId="0" borderId="0" xfId="0" applyFont="1"/>
    <xf numFmtId="0" fontId="12" fillId="4" borderId="1" xfId="0" applyFont="1" applyFill="1" applyBorder="1"/>
    <xf numFmtId="0" fontId="12" fillId="4" borderId="34" xfId="0" applyFont="1" applyFill="1" applyBorder="1"/>
    <xf numFmtId="0" fontId="11" fillId="4" borderId="1" xfId="0" applyFont="1" applyFill="1" applyBorder="1" applyAlignment="1">
      <alignment vertical="center"/>
    </xf>
    <xf numFmtId="0" fontId="11" fillId="4" borderId="2" xfId="0" applyFont="1" applyFill="1" applyBorder="1" applyAlignment="1">
      <alignment vertical="center"/>
    </xf>
    <xf numFmtId="0" fontId="11" fillId="4" borderId="4" xfId="0" applyFont="1" applyFill="1" applyBorder="1" applyAlignment="1">
      <alignment vertical="center"/>
    </xf>
    <xf numFmtId="0" fontId="11" fillId="4" borderId="0" xfId="0" applyFont="1" applyFill="1" applyAlignment="1">
      <alignment vertical="center"/>
    </xf>
    <xf numFmtId="0" fontId="11" fillId="4" borderId="5" xfId="0" applyFont="1" applyFill="1" applyBorder="1" applyAlignment="1">
      <alignment vertical="center"/>
    </xf>
    <xf numFmtId="0" fontId="11" fillId="4" borderId="0" xfId="0" applyFont="1" applyFill="1"/>
    <xf numFmtId="0" fontId="11" fillId="4" borderId="5" xfId="0" applyFont="1" applyFill="1" applyBorder="1"/>
    <xf numFmtId="0" fontId="11" fillId="4" borderId="35" xfId="0" applyFont="1" applyFill="1" applyBorder="1"/>
    <xf numFmtId="0" fontId="11" fillId="4" borderId="36" xfId="0" applyFont="1" applyFill="1" applyBorder="1"/>
    <xf numFmtId="0" fontId="7" fillId="4" borderId="2" xfId="0" applyFont="1" applyFill="1" applyBorder="1"/>
    <xf numFmtId="0" fontId="7" fillId="4" borderId="0" xfId="0" applyFont="1" applyFill="1"/>
    <xf numFmtId="0" fontId="7" fillId="4" borderId="35" xfId="0" applyFont="1" applyFill="1" applyBorder="1"/>
    <xf numFmtId="0" fontId="43" fillId="0" borderId="0" xfId="0" applyFont="1"/>
    <xf numFmtId="0" fontId="42" fillId="0" borderId="0" xfId="0" applyFont="1"/>
    <xf numFmtId="0" fontId="44" fillId="0" borderId="0" xfId="0" applyFont="1" applyAlignment="1">
      <alignment vertical="center" wrapText="1"/>
    </xf>
    <xf numFmtId="0" fontId="46" fillId="0" borderId="0" xfId="0" applyFont="1" applyAlignment="1">
      <alignment vertical="center"/>
    </xf>
    <xf numFmtId="0" fontId="45" fillId="0" borderId="0" xfId="0" applyFont="1" applyAlignment="1">
      <alignment vertical="center"/>
    </xf>
    <xf numFmtId="0" fontId="6" fillId="0" borderId="0" xfId="0" applyFont="1"/>
    <xf numFmtId="0" fontId="6" fillId="0" borderId="2" xfId="0" applyFont="1" applyBorder="1"/>
    <xf numFmtId="0" fontId="11" fillId="10" borderId="46" xfId="0" applyFont="1" applyFill="1" applyBorder="1" applyAlignment="1">
      <alignment vertical="center"/>
    </xf>
    <xf numFmtId="0" fontId="6" fillId="2" borderId="2" xfId="0" applyFont="1" applyFill="1" applyBorder="1"/>
    <xf numFmtId="0" fontId="6" fillId="2" borderId="0" xfId="0" applyFont="1" applyFill="1"/>
    <xf numFmtId="0" fontId="11" fillId="0" borderId="46" xfId="0" applyFont="1" applyBorder="1" applyAlignment="1">
      <alignment vertical="center"/>
    </xf>
    <xf numFmtId="0" fontId="6" fillId="0" borderId="4" xfId="0" applyFont="1" applyBorder="1"/>
    <xf numFmtId="0" fontId="0" fillId="6" borderId="2" xfId="0" applyFill="1" applyBorder="1"/>
    <xf numFmtId="0" fontId="0" fillId="6" borderId="3" xfId="0" applyFill="1" applyBorder="1"/>
    <xf numFmtId="0" fontId="0" fillId="6" borderId="0" xfId="0" applyFill="1"/>
    <xf numFmtId="0" fontId="0" fillId="6" borderId="5" xfId="0" applyFill="1" applyBorder="1"/>
    <xf numFmtId="0" fontId="0" fillId="6" borderId="35" xfId="0" applyFill="1" applyBorder="1"/>
    <xf numFmtId="0" fontId="0" fillId="6" borderId="36" xfId="0" applyFill="1" applyBorder="1"/>
    <xf numFmtId="0" fontId="47" fillId="0" borderId="0" xfId="0" applyFont="1"/>
    <xf numFmtId="0" fontId="48" fillId="0" borderId="0" xfId="0" applyFont="1" applyAlignment="1">
      <alignment vertical="center"/>
    </xf>
    <xf numFmtId="0" fontId="26" fillId="0" borderId="0" xfId="0" applyFont="1" applyAlignment="1">
      <alignment vertical="center" wrapText="1"/>
    </xf>
    <xf numFmtId="0" fontId="49" fillId="0" borderId="0" xfId="0" applyFont="1" applyAlignment="1">
      <alignment vertical="center" wrapText="1"/>
    </xf>
    <xf numFmtId="0" fontId="0" fillId="4" borderId="0" xfId="0" applyFill="1"/>
    <xf numFmtId="0" fontId="0" fillId="4" borderId="35" xfId="0" applyFill="1" applyBorder="1"/>
    <xf numFmtId="0" fontId="40" fillId="0" borderId="0" xfId="0" applyFont="1" applyAlignment="1">
      <alignment vertical="center" wrapText="1"/>
    </xf>
    <xf numFmtId="0" fontId="14" fillId="0" borderId="1" xfId="0" applyFont="1" applyBorder="1" applyAlignment="1">
      <alignment vertical="center"/>
    </xf>
    <xf numFmtId="0" fontId="25" fillId="0" borderId="0" xfId="0" applyFont="1" applyAlignment="1">
      <alignment vertical="center"/>
    </xf>
    <xf numFmtId="0" fontId="11" fillId="0" borderId="0" xfId="0" applyFont="1" applyAlignment="1">
      <alignment vertical="center" textRotation="90"/>
    </xf>
    <xf numFmtId="0" fontId="11" fillId="0" borderId="0" xfId="0" applyFont="1" applyAlignment="1">
      <alignment vertical="center" textRotation="180"/>
    </xf>
    <xf numFmtId="0" fontId="14" fillId="0" borderId="0" xfId="0" applyFont="1" applyAlignment="1">
      <alignment vertical="center" textRotation="180" wrapText="1"/>
    </xf>
    <xf numFmtId="0" fontId="14" fillId="0" borderId="0" xfId="0" applyFont="1" applyAlignment="1">
      <alignment vertical="center" textRotation="90" wrapText="1"/>
    </xf>
    <xf numFmtId="0" fontId="33" fillId="0" borderId="0" xfId="0" applyFont="1" applyAlignment="1">
      <alignment vertical="center" textRotation="90" wrapText="1"/>
    </xf>
    <xf numFmtId="0" fontId="33" fillId="0" borderId="0" xfId="0" applyFont="1" applyAlignment="1">
      <alignment vertical="center" wrapText="1"/>
    </xf>
    <xf numFmtId="0" fontId="33" fillId="0" borderId="0" xfId="0" applyFont="1" applyAlignment="1">
      <alignment vertical="center" textRotation="180" wrapText="1"/>
    </xf>
    <xf numFmtId="0" fontId="11" fillId="0" borderId="0" xfId="0" applyFont="1" applyAlignment="1" applyProtection="1">
      <alignment vertical="center"/>
      <protection locked="0"/>
    </xf>
    <xf numFmtId="0" fontId="30" fillId="0" borderId="0" xfId="0" applyFont="1" applyAlignment="1">
      <alignment vertical="center" textRotation="180"/>
    </xf>
    <xf numFmtId="0" fontId="30" fillId="0" borderId="0" xfId="0" applyFont="1" applyAlignment="1">
      <alignment vertical="center" textRotation="90"/>
    </xf>
    <xf numFmtId="1" fontId="11" fillId="0" borderId="0" xfId="0" applyNumberFormat="1" applyFont="1" applyAlignment="1">
      <alignment vertical="center"/>
    </xf>
    <xf numFmtId="1" fontId="11" fillId="0" borderId="0" xfId="0" applyNumberFormat="1" applyFont="1" applyAlignment="1">
      <alignment vertical="center" textRotation="90"/>
    </xf>
    <xf numFmtId="2" fontId="11" fillId="0" borderId="0" xfId="0" applyNumberFormat="1" applyFont="1" applyAlignment="1" applyProtection="1">
      <alignment vertical="center" textRotation="90" wrapText="1"/>
      <protection locked="0"/>
    </xf>
    <xf numFmtId="2" fontId="11" fillId="0" borderId="0" xfId="0" applyNumberFormat="1" applyFont="1" applyAlignment="1">
      <alignment vertical="center" textRotation="90" wrapText="1"/>
    </xf>
    <xf numFmtId="2" fontId="11" fillId="0" borderId="0" xfId="0" applyNumberFormat="1" applyFont="1" applyAlignment="1">
      <alignment vertical="center" textRotation="180"/>
    </xf>
    <xf numFmtId="2" fontId="11" fillId="0" borderId="0" xfId="0" applyNumberFormat="1" applyFont="1" applyAlignment="1" applyProtection="1">
      <alignment vertical="center"/>
      <protection locked="0"/>
    </xf>
    <xf numFmtId="2" fontId="11" fillId="0" borderId="0" xfId="0" applyNumberFormat="1" applyFont="1" applyAlignment="1">
      <alignment vertical="center"/>
    </xf>
    <xf numFmtId="0" fontId="26" fillId="0" borderId="0" xfId="0" applyFont="1" applyAlignment="1">
      <alignment vertical="center"/>
    </xf>
    <xf numFmtId="0" fontId="29" fillId="0" borderId="0" xfId="0" applyFont="1" applyAlignment="1" applyProtection="1">
      <alignment vertical="center"/>
      <protection locked="0"/>
    </xf>
    <xf numFmtId="167" fontId="29" fillId="0" borderId="0" xfId="0" applyNumberFormat="1" applyFont="1" applyAlignment="1" applyProtection="1">
      <alignment vertical="center"/>
      <protection locked="0"/>
    </xf>
    <xf numFmtId="0" fontId="34" fillId="0" borderId="0" xfId="0" applyFont="1"/>
    <xf numFmtId="0" fontId="0" fillId="0" borderId="178" xfId="0" applyBorder="1"/>
    <xf numFmtId="0" fontId="0" fillId="0" borderId="176" xfId="0" applyBorder="1"/>
    <xf numFmtId="0" fontId="0" fillId="0" borderId="177" xfId="0" applyBorder="1"/>
    <xf numFmtId="0" fontId="0" fillId="0" borderId="179" xfId="0" applyBorder="1"/>
    <xf numFmtId="0" fontId="0" fillId="0" borderId="180" xfId="0" applyBorder="1"/>
    <xf numFmtId="0" fontId="0" fillId="16" borderId="0" xfId="0" applyFill="1"/>
    <xf numFmtId="0" fontId="0" fillId="0" borderId="0" xfId="0" applyAlignment="1">
      <alignment horizontal="center" vertical="center" wrapText="1"/>
    </xf>
    <xf numFmtId="0" fontId="52" fillId="0" borderId="0" xfId="0" applyFont="1"/>
    <xf numFmtId="0" fontId="51" fillId="0" borderId="0" xfId="0" applyFont="1" applyAlignment="1">
      <alignment vertical="center" wrapText="1"/>
    </xf>
    <xf numFmtId="0" fontId="55" fillId="0" borderId="0" xfId="0" applyFont="1"/>
    <xf numFmtId="0" fontId="54" fillId="0" borderId="0" xfId="0" applyFont="1" applyAlignment="1">
      <alignment wrapText="1"/>
    </xf>
    <xf numFmtId="0" fontId="56" fillId="0" borderId="0" xfId="0" applyFont="1"/>
    <xf numFmtId="0" fontId="26" fillId="0" borderId="4" xfId="0" applyFont="1" applyBorder="1"/>
    <xf numFmtId="2" fontId="33" fillId="0" borderId="2" xfId="0" applyNumberFormat="1" applyFont="1" applyBorder="1" applyAlignment="1">
      <alignment vertical="center" wrapText="1"/>
    </xf>
    <xf numFmtId="0" fontId="37" fillId="0" borderId="4" xfId="0" applyFont="1" applyBorder="1"/>
    <xf numFmtId="0" fontId="34" fillId="0" borderId="4" xfId="0" applyFont="1" applyBorder="1"/>
    <xf numFmtId="0" fontId="34" fillId="0" borderId="5" xfId="0" applyFont="1" applyBorder="1"/>
    <xf numFmtId="0" fontId="57" fillId="0" borderId="0" xfId="0" applyFont="1"/>
    <xf numFmtId="0" fontId="58" fillId="0" borderId="0" xfId="0" applyFont="1"/>
    <xf numFmtId="2" fontId="38" fillId="0" borderId="0" xfId="0" applyNumberFormat="1" applyFont="1" applyAlignment="1">
      <alignment vertical="center" textRotation="90"/>
    </xf>
    <xf numFmtId="0" fontId="25" fillId="0" borderId="0" xfId="0" applyFont="1" applyAlignment="1">
      <alignment vertical="center" wrapText="1"/>
    </xf>
    <xf numFmtId="4" fontId="0" fillId="0" borderId="0" xfId="0" applyNumberFormat="1"/>
    <xf numFmtId="0" fontId="56" fillId="0" borderId="0" xfId="0" applyFont="1" applyAlignment="1">
      <alignment vertical="center" wrapText="1"/>
    </xf>
    <xf numFmtId="0" fontId="31" fillId="0" borderId="0" xfId="0" applyFont="1" applyAlignment="1">
      <alignment vertical="center" wrapText="1"/>
    </xf>
    <xf numFmtId="0" fontId="0" fillId="0" borderId="0" xfId="0" applyAlignment="1">
      <alignment vertical="center" wrapText="1"/>
    </xf>
    <xf numFmtId="0" fontId="11" fillId="0" borderId="0" xfId="0" applyFont="1" applyAlignment="1" applyProtection="1">
      <alignment vertical="center" wrapText="1"/>
      <protection locked="0"/>
    </xf>
    <xf numFmtId="9" fontId="0" fillId="0" borderId="0" xfId="0" applyNumberFormat="1"/>
    <xf numFmtId="0" fontId="0" fillId="0" borderId="286" xfId="0" applyBorder="1"/>
    <xf numFmtId="1" fontId="0" fillId="0" borderId="0" xfId="0" applyNumberFormat="1"/>
    <xf numFmtId="0" fontId="6" fillId="6" borderId="0" xfId="0" applyFont="1" applyFill="1" applyAlignment="1">
      <alignment horizontal="center"/>
    </xf>
    <xf numFmtId="0" fontId="11" fillId="6" borderId="0" xfId="0" applyFont="1" applyFill="1" applyAlignment="1">
      <alignment horizontal="center" vertical="center"/>
    </xf>
    <xf numFmtId="0" fontId="12" fillId="0" borderId="4" xfId="0" applyFont="1" applyBorder="1"/>
    <xf numFmtId="0" fontId="12" fillId="0" borderId="5" xfId="0" applyFont="1" applyBorder="1"/>
    <xf numFmtId="0" fontId="0" fillId="0" borderId="35" xfId="0" applyBorder="1"/>
    <xf numFmtId="0" fontId="0" fillId="0" borderId="2" xfId="0" applyBorder="1"/>
    <xf numFmtId="0" fontId="0" fillId="0" borderId="3" xfId="0" applyBorder="1"/>
    <xf numFmtId="0" fontId="0" fillId="0" borderId="36" xfId="0" applyBorder="1"/>
    <xf numFmtId="0" fontId="11" fillId="0" borderId="0" xfId="0" applyFont="1" applyAlignment="1">
      <alignment horizontal="center" vertical="center"/>
    </xf>
    <xf numFmtId="0" fontId="0" fillId="0" borderId="0" xfId="0" applyAlignment="1">
      <alignment horizontal="center"/>
    </xf>
    <xf numFmtId="0" fontId="0" fillId="0" borderId="0" xfId="0"/>
    <xf numFmtId="0" fontId="0" fillId="4" borderId="2" xfId="0" applyFill="1" applyBorder="1"/>
    <xf numFmtId="0" fontId="0" fillId="4" borderId="3" xfId="0" applyFill="1" applyBorder="1"/>
    <xf numFmtId="0" fontId="0" fillId="0" borderId="5" xfId="0" applyBorder="1"/>
    <xf numFmtId="0" fontId="6" fillId="2" borderId="1" xfId="0" applyFont="1" applyFill="1" applyBorder="1" applyAlignment="1">
      <alignment horizontal="center" wrapText="1"/>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Alignment="1">
      <alignment horizontal="center"/>
    </xf>
    <xf numFmtId="0" fontId="6" fillId="2" borderId="5" xfId="0" applyFont="1" applyFill="1" applyBorder="1" applyAlignment="1">
      <alignment horizontal="center"/>
    </xf>
    <xf numFmtId="0" fontId="11" fillId="10" borderId="4" xfId="0" applyFont="1" applyFill="1" applyBorder="1" applyAlignment="1">
      <alignment horizontal="center" vertical="center"/>
    </xf>
    <xf numFmtId="0" fontId="11" fillId="10" borderId="0" xfId="0" applyFont="1" applyFill="1" applyAlignment="1">
      <alignment horizontal="center" vertical="center"/>
    </xf>
    <xf numFmtId="0" fontId="11" fillId="10" borderId="5" xfId="0" applyFont="1" applyFill="1" applyBorder="1" applyAlignment="1">
      <alignment horizontal="center" vertical="center"/>
    </xf>
    <xf numFmtId="10" fontId="0" fillId="3" borderId="18" xfId="0" applyNumberFormat="1" applyFill="1" applyBorder="1" applyAlignment="1" applyProtection="1">
      <alignment horizontal="center" vertical="center"/>
      <protection locked="0"/>
    </xf>
    <xf numFmtId="10" fontId="0" fillId="3" borderId="37" xfId="0" applyNumberFormat="1" applyFill="1" applyBorder="1" applyAlignment="1" applyProtection="1">
      <alignment horizontal="center" vertical="center"/>
      <protection locked="0"/>
    </xf>
    <xf numFmtId="10" fontId="0" fillId="3" borderId="19" xfId="0" applyNumberFormat="1" applyFill="1" applyBorder="1" applyAlignment="1" applyProtection="1">
      <alignment horizontal="center" vertical="center"/>
      <protection locked="0"/>
    </xf>
    <xf numFmtId="10" fontId="0" fillId="3" borderId="38" xfId="0" applyNumberFormat="1" applyFill="1" applyBorder="1" applyAlignment="1" applyProtection="1">
      <alignment horizontal="center" vertical="center"/>
      <protection locked="0"/>
    </xf>
    <xf numFmtId="2" fontId="0" fillId="3" borderId="23" xfId="0" applyNumberFormat="1" applyFill="1" applyBorder="1" applyAlignment="1" applyProtection="1">
      <alignment horizontal="center" vertical="center"/>
      <protection locked="0"/>
    </xf>
    <xf numFmtId="2" fontId="0" fillId="3" borderId="21" xfId="0" applyNumberFormat="1" applyFill="1" applyBorder="1" applyAlignment="1" applyProtection="1">
      <alignment horizontal="center" vertical="center"/>
      <protection locked="0"/>
    </xf>
    <xf numFmtId="2" fontId="11" fillId="5" borderId="6" xfId="0" applyNumberFormat="1" applyFont="1" applyFill="1" applyBorder="1" applyAlignment="1">
      <alignment horizontal="center" vertical="center"/>
    </xf>
    <xf numFmtId="2" fontId="11" fillId="5" borderId="16" xfId="0" applyNumberFormat="1" applyFont="1" applyFill="1" applyBorder="1" applyAlignment="1">
      <alignment horizontal="center" vertical="center"/>
    </xf>
    <xf numFmtId="2" fontId="0" fillId="4" borderId="24" xfId="0" applyNumberFormat="1" applyFill="1" applyBorder="1" applyAlignment="1">
      <alignment horizontal="center" vertical="center"/>
    </xf>
    <xf numFmtId="2" fontId="0" fillId="4" borderId="26" xfId="0" applyNumberFormat="1" applyFill="1" applyBorder="1" applyAlignment="1">
      <alignment horizontal="center" vertical="center"/>
    </xf>
    <xf numFmtId="2" fontId="0" fillId="4" borderId="66" xfId="0" applyNumberFormat="1" applyFill="1" applyBorder="1" applyAlignment="1">
      <alignment horizontal="center" vertical="center"/>
    </xf>
    <xf numFmtId="2" fontId="0" fillId="4" borderId="65" xfId="0" applyNumberFormat="1" applyFill="1" applyBorder="1" applyAlignment="1">
      <alignment horizontal="center" vertical="center"/>
    </xf>
    <xf numFmtId="2" fontId="0" fillId="4" borderId="58" xfId="0" applyNumberFormat="1" applyFill="1" applyBorder="1" applyAlignment="1">
      <alignment horizontal="center" vertical="center"/>
    </xf>
    <xf numFmtId="2" fontId="0" fillId="4" borderId="67" xfId="0" applyNumberFormat="1" applyFill="1" applyBorder="1" applyAlignment="1">
      <alignment horizontal="center" vertical="center"/>
    </xf>
    <xf numFmtId="2" fontId="0" fillId="4" borderId="59" xfId="0" applyNumberFormat="1" applyFill="1" applyBorder="1" applyAlignment="1">
      <alignment horizontal="center" vertical="center"/>
    </xf>
    <xf numFmtId="2" fontId="0" fillId="4" borderId="25" xfId="0" applyNumberFormat="1" applyFill="1" applyBorder="1" applyAlignment="1">
      <alignment horizontal="center" vertical="center"/>
    </xf>
    <xf numFmtId="2" fontId="0" fillId="4" borderId="27" xfId="0" applyNumberFormat="1" applyFill="1" applyBorder="1" applyAlignment="1">
      <alignment horizontal="center" vertical="center"/>
    </xf>
    <xf numFmtId="2" fontId="0" fillId="4" borderId="68" xfId="0" applyNumberFormat="1" applyFill="1" applyBorder="1" applyAlignment="1">
      <alignment horizontal="center" vertical="center"/>
    </xf>
    <xf numFmtId="0" fontId="7" fillId="0" borderId="7" xfId="0" applyFont="1" applyBorder="1" applyAlignment="1">
      <alignment horizontal="right"/>
    </xf>
    <xf numFmtId="0" fontId="7" fillId="0" borderId="8" xfId="0" applyFont="1" applyBorder="1" applyAlignment="1">
      <alignment horizontal="right"/>
    </xf>
    <xf numFmtId="0" fontId="7" fillId="0" borderId="10" xfId="0" applyFont="1" applyBorder="1" applyAlignment="1">
      <alignment horizontal="right"/>
    </xf>
    <xf numFmtId="0" fontId="7" fillId="0" borderId="6" xfId="0" applyFont="1" applyBorder="1" applyAlignment="1">
      <alignment horizontal="right"/>
    </xf>
    <xf numFmtId="0" fontId="8" fillId="0" borderId="8" xfId="0" applyFont="1" applyBorder="1" applyAlignment="1" applyProtection="1">
      <alignment horizontal="center" shrinkToFit="1"/>
      <protection locked="0"/>
    </xf>
    <xf numFmtId="0" fontId="8" fillId="0" borderId="9" xfId="0" applyFont="1" applyBorder="1" applyAlignment="1" applyProtection="1">
      <alignment horizontal="center" shrinkToFit="1"/>
      <protection locked="0"/>
    </xf>
    <xf numFmtId="0" fontId="8" fillId="0" borderId="6" xfId="0" applyFont="1" applyBorder="1" applyAlignment="1" applyProtection="1">
      <alignment horizontal="center" shrinkToFit="1"/>
      <protection locked="0"/>
    </xf>
    <xf numFmtId="0" fontId="8" fillId="0" borderId="11" xfId="0" applyFont="1" applyBorder="1" applyAlignment="1" applyProtection="1">
      <alignment horizontal="center" shrinkToFit="1"/>
      <protection locked="0"/>
    </xf>
    <xf numFmtId="0" fontId="9" fillId="0" borderId="6" xfId="0" applyFont="1" applyBorder="1" applyAlignment="1" applyProtection="1">
      <alignment horizontal="center" shrinkToFit="1"/>
      <protection locked="0"/>
    </xf>
    <xf numFmtId="0" fontId="9" fillId="0" borderId="11" xfId="0" applyFont="1" applyBorder="1" applyAlignment="1" applyProtection="1">
      <alignment horizontal="center" shrinkToFit="1"/>
      <protection locked="0"/>
    </xf>
    <xf numFmtId="164" fontId="11" fillId="6" borderId="10" xfId="0" applyNumberFormat="1" applyFont="1" applyFill="1" applyBorder="1" applyAlignment="1">
      <alignment horizontal="center" vertical="center" wrapText="1"/>
    </xf>
    <xf numFmtId="164" fontId="11" fillId="6" borderId="6" xfId="0" applyNumberFormat="1" applyFont="1" applyFill="1" applyBorder="1" applyAlignment="1">
      <alignment horizontal="center" vertical="center" wrapText="1"/>
    </xf>
    <xf numFmtId="164" fontId="11" fillId="6" borderId="15" xfId="0" applyNumberFormat="1" applyFont="1" applyFill="1" applyBorder="1" applyAlignment="1">
      <alignment horizontal="center" vertical="center" wrapText="1"/>
    </xf>
    <xf numFmtId="164" fontId="11" fillId="6" borderId="16" xfId="0" applyNumberFormat="1" applyFont="1" applyFill="1" applyBorder="1" applyAlignment="1">
      <alignment horizontal="center" vertical="center" wrapText="1"/>
    </xf>
    <xf numFmtId="0" fontId="0" fillId="0" borderId="52" xfId="0" applyBorder="1" applyAlignment="1">
      <alignment horizontal="center"/>
    </xf>
    <xf numFmtId="0" fontId="0" fillId="0" borderId="32" xfId="0" applyBorder="1" applyAlignment="1">
      <alignment horizontal="center"/>
    </xf>
    <xf numFmtId="0" fontId="0" fillId="0" borderId="28" xfId="0" applyBorder="1" applyAlignment="1">
      <alignment horizontal="center"/>
    </xf>
    <xf numFmtId="0" fontId="0" fillId="0" borderId="6" xfId="0" applyBorder="1" applyAlignment="1">
      <alignment horizontal="center"/>
    </xf>
    <xf numFmtId="1" fontId="5" fillId="3" borderId="60" xfId="0" applyNumberFormat="1" applyFont="1" applyFill="1" applyBorder="1" applyAlignment="1" applyProtection="1">
      <alignment horizontal="center" vertical="center"/>
      <protection locked="0"/>
    </xf>
    <xf numFmtId="1" fontId="5" fillId="3" borderId="61" xfId="0" applyNumberFormat="1" applyFont="1" applyFill="1" applyBorder="1" applyAlignment="1" applyProtection="1">
      <alignment horizontal="center" vertical="center"/>
      <protection locked="0"/>
    </xf>
    <xf numFmtId="1" fontId="5" fillId="3" borderId="63" xfId="0" applyNumberFormat="1" applyFont="1" applyFill="1" applyBorder="1" applyAlignment="1" applyProtection="1">
      <alignment horizontal="center" vertical="center"/>
      <protection locked="0"/>
    </xf>
    <xf numFmtId="1" fontId="5" fillId="3" borderId="18" xfId="0" applyNumberFormat="1" applyFont="1" applyFill="1" applyBorder="1" applyAlignment="1" applyProtection="1">
      <alignment horizontal="center" vertical="center"/>
      <protection locked="0"/>
    </xf>
    <xf numFmtId="164" fontId="0" fillId="15" borderId="16" xfId="0" applyNumberFormat="1" applyFill="1" applyBorder="1" applyAlignment="1">
      <alignment horizontal="center" vertical="center" wrapText="1"/>
    </xf>
    <xf numFmtId="164" fontId="0" fillId="15" borderId="49" xfId="0" applyNumberFormat="1" applyFill="1" applyBorder="1" applyAlignment="1">
      <alignment horizontal="center" vertical="center" wrapText="1"/>
    </xf>
    <xf numFmtId="164" fontId="0" fillId="15" borderId="17" xfId="0" applyNumberFormat="1" applyFill="1" applyBorder="1" applyAlignment="1">
      <alignment horizontal="center" vertical="center" wrapText="1"/>
    </xf>
    <xf numFmtId="164" fontId="0" fillId="15" borderId="82" xfId="0" applyNumberFormat="1" applyFill="1" applyBorder="1" applyAlignment="1">
      <alignment horizontal="center" vertical="center" wrapText="1"/>
    </xf>
    <xf numFmtId="0" fontId="0" fillId="15" borderId="49" xfId="0" applyFill="1" applyBorder="1" applyAlignment="1">
      <alignment horizontal="center"/>
    </xf>
    <xf numFmtId="0" fontId="0" fillId="15" borderId="82" xfId="0" applyFill="1" applyBorder="1" applyAlignment="1">
      <alignment horizontal="center"/>
    </xf>
    <xf numFmtId="0" fontId="0" fillId="15" borderId="32" xfId="0" applyFill="1" applyBorder="1" applyAlignment="1">
      <alignment horizontal="center"/>
    </xf>
    <xf numFmtId="0" fontId="0" fillId="15" borderId="33" xfId="0" applyFill="1" applyBorder="1" applyAlignment="1">
      <alignment horizontal="center"/>
    </xf>
    <xf numFmtId="10" fontId="0" fillId="3" borderId="61" xfId="0" applyNumberFormat="1" applyFill="1" applyBorder="1" applyAlignment="1" applyProtection="1">
      <alignment horizontal="center" vertical="center"/>
      <protection locked="0"/>
    </xf>
    <xf numFmtId="10" fontId="0" fillId="3" borderId="62" xfId="0" applyNumberForma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6" xfId="0" applyBorder="1" applyAlignment="1">
      <alignment horizontal="center" vertical="center"/>
    </xf>
    <xf numFmtId="0" fontId="7" fillId="0" borderId="12" xfId="0" applyFont="1" applyBorder="1" applyAlignment="1">
      <alignment horizontal="right"/>
    </xf>
    <xf numFmtId="0" fontId="7" fillId="0" borderId="13" xfId="0" applyFont="1" applyBorder="1" applyAlignment="1">
      <alignment horizontal="right"/>
    </xf>
    <xf numFmtId="165" fontId="0" fillId="0" borderId="6" xfId="0" applyNumberFormat="1" applyBorder="1" applyAlignment="1" applyProtection="1">
      <alignment horizontal="center" shrinkToFit="1"/>
      <protection locked="0"/>
    </xf>
    <xf numFmtId="165" fontId="0" fillId="0" borderId="11" xfId="0" applyNumberFormat="1" applyBorder="1" applyAlignment="1" applyProtection="1">
      <alignment horizontal="center" shrinkToFit="1"/>
      <protection locked="0"/>
    </xf>
    <xf numFmtId="165" fontId="0" fillId="0" borderId="13" xfId="0" applyNumberFormat="1" applyBorder="1" applyAlignment="1" applyProtection="1">
      <alignment horizontal="center" shrinkToFit="1"/>
      <protection locked="0"/>
    </xf>
    <xf numFmtId="165" fontId="0" fillId="0" borderId="14" xfId="0" applyNumberFormat="1" applyBorder="1" applyAlignment="1" applyProtection="1">
      <alignment horizontal="center" shrinkToFit="1"/>
      <protection locked="0"/>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5" fillId="15" borderId="7" xfId="0" applyFont="1" applyFill="1" applyBorder="1" applyAlignment="1">
      <alignment horizontal="center" vertical="center"/>
    </xf>
    <xf numFmtId="0" fontId="5" fillId="15" borderId="8" xfId="0" applyFont="1" applyFill="1" applyBorder="1" applyAlignment="1">
      <alignment horizontal="center" vertical="center"/>
    </xf>
    <xf numFmtId="0" fontId="5" fillId="15" borderId="9" xfId="0" applyFont="1" applyFill="1" applyBorder="1" applyAlignment="1">
      <alignment horizontal="center" vertical="center"/>
    </xf>
    <xf numFmtId="0" fontId="5" fillId="15" borderId="10" xfId="0" applyFont="1" applyFill="1" applyBorder="1" applyAlignment="1">
      <alignment horizontal="center" vertical="center"/>
    </xf>
    <xf numFmtId="0" fontId="5" fillId="15" borderId="6" xfId="0" applyFont="1" applyFill="1" applyBorder="1" applyAlignment="1">
      <alignment horizontal="center" vertical="center"/>
    </xf>
    <xf numFmtId="0" fontId="5" fillId="15" borderId="11" xfId="0" applyFont="1" applyFill="1" applyBorder="1" applyAlignment="1">
      <alignment horizontal="center" vertical="center"/>
    </xf>
    <xf numFmtId="0" fontId="5" fillId="15" borderId="12" xfId="0" applyFont="1" applyFill="1" applyBorder="1" applyAlignment="1">
      <alignment horizontal="center" vertical="center"/>
    </xf>
    <xf numFmtId="0" fontId="5" fillId="15" borderId="13" xfId="0" applyFont="1" applyFill="1" applyBorder="1" applyAlignment="1">
      <alignment horizontal="center" vertical="center"/>
    </xf>
    <xf numFmtId="0" fontId="5" fillId="15" borderId="14" xfId="0" applyFont="1" applyFill="1" applyBorder="1" applyAlignment="1">
      <alignment horizontal="center" vertical="center"/>
    </xf>
    <xf numFmtId="0" fontId="0" fillId="15" borderId="69" xfId="0" applyFill="1" applyBorder="1" applyAlignment="1">
      <alignment horizontal="center" vertical="center"/>
    </xf>
    <xf numFmtId="0" fontId="0" fillId="15" borderId="32" xfId="0" applyFill="1" applyBorder="1" applyAlignment="1">
      <alignment horizontal="center" vertical="center"/>
    </xf>
    <xf numFmtId="0" fontId="0" fillId="15" borderId="33" xfId="0" applyFill="1" applyBorder="1" applyAlignment="1">
      <alignment horizontal="center" vertical="center"/>
    </xf>
    <xf numFmtId="0" fontId="0" fillId="15" borderId="10" xfId="0" applyFill="1" applyBorder="1" applyAlignment="1">
      <alignment horizontal="center" vertical="center"/>
    </xf>
    <xf numFmtId="0" fontId="0" fillId="15" borderId="6" xfId="0" applyFill="1" applyBorder="1" applyAlignment="1">
      <alignment horizontal="center" vertical="center"/>
    </xf>
    <xf numFmtId="0" fontId="0" fillId="15" borderId="11" xfId="0" applyFill="1" applyBorder="1" applyAlignment="1">
      <alignment horizontal="center" vertical="center"/>
    </xf>
    <xf numFmtId="0" fontId="11" fillId="15" borderId="45" xfId="0" applyFont="1" applyFill="1" applyBorder="1" applyAlignment="1">
      <alignment horizontal="center" vertical="center"/>
    </xf>
    <xf numFmtId="0" fontId="11" fillId="15" borderId="46" xfId="0" applyFont="1" applyFill="1" applyBorder="1" applyAlignment="1">
      <alignment horizontal="center" vertical="center"/>
    </xf>
    <xf numFmtId="0" fontId="11" fillId="15" borderId="29" xfId="0" applyFont="1" applyFill="1" applyBorder="1" applyAlignment="1">
      <alignment horizontal="center" vertical="center"/>
    </xf>
    <xf numFmtId="0" fontId="11" fillId="15" borderId="50" xfId="0" applyFont="1" applyFill="1" applyBorder="1" applyAlignment="1">
      <alignment horizontal="center" vertical="center"/>
    </xf>
    <xf numFmtId="0" fontId="11" fillId="15" borderId="51" xfId="0" applyFont="1" applyFill="1" applyBorder="1" applyAlignment="1">
      <alignment horizontal="center" vertical="center"/>
    </xf>
    <xf numFmtId="0" fontId="11" fillId="15" borderId="52" xfId="0" applyFont="1" applyFill="1" applyBorder="1" applyAlignment="1">
      <alignment horizontal="center" vertical="center"/>
    </xf>
    <xf numFmtId="0" fontId="11" fillId="15" borderId="48" xfId="0" applyFont="1" applyFill="1" applyBorder="1" applyAlignment="1">
      <alignment horizontal="center" vertical="center"/>
    </xf>
    <xf numFmtId="0" fontId="11" fillId="15" borderId="54" xfId="0" applyFont="1" applyFill="1" applyBorder="1" applyAlignment="1">
      <alignment horizontal="center" vertical="center"/>
    </xf>
    <xf numFmtId="0" fontId="0" fillId="15" borderId="15" xfId="0" applyFill="1" applyBorder="1" applyAlignment="1">
      <alignment horizontal="center" vertical="center"/>
    </xf>
    <xf numFmtId="0" fontId="0" fillId="15" borderId="16" xfId="0" applyFill="1" applyBorder="1" applyAlignment="1">
      <alignment horizontal="center" vertical="center"/>
    </xf>
    <xf numFmtId="0" fontId="0" fillId="15" borderId="17" xfId="0" applyFill="1" applyBorder="1" applyAlignment="1">
      <alignment horizontal="center" vertical="center"/>
    </xf>
    <xf numFmtId="1" fontId="5" fillId="3" borderId="64" xfId="0" applyNumberFormat="1" applyFont="1" applyFill="1" applyBorder="1" applyAlignment="1" applyProtection="1">
      <alignment horizontal="center" vertical="center"/>
      <protection locked="0"/>
    </xf>
    <xf numFmtId="1" fontId="5" fillId="3" borderId="37" xfId="0" applyNumberFormat="1" applyFont="1" applyFill="1" applyBorder="1" applyAlignment="1" applyProtection="1">
      <alignment horizontal="center" vertical="center"/>
      <protection locked="0"/>
    </xf>
    <xf numFmtId="0" fontId="13" fillId="15" borderId="7"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9" xfId="0" applyFont="1" applyFill="1" applyBorder="1" applyAlignment="1">
      <alignment horizontal="center" vertical="center" wrapText="1"/>
    </xf>
    <xf numFmtId="0" fontId="13" fillId="15" borderId="10" xfId="0" applyFont="1" applyFill="1" applyBorder="1" applyAlignment="1">
      <alignment horizontal="center" vertical="center" wrapText="1"/>
    </xf>
    <xf numFmtId="0" fontId="13" fillId="15" borderId="6" xfId="0" applyFont="1" applyFill="1" applyBorder="1" applyAlignment="1">
      <alignment horizontal="center" vertical="center" wrapText="1"/>
    </xf>
    <xf numFmtId="0" fontId="13" fillId="15" borderId="11" xfId="0" applyFont="1" applyFill="1" applyBorder="1" applyAlignment="1">
      <alignment horizontal="center" vertical="center" wrapText="1"/>
    </xf>
    <xf numFmtId="2" fontId="0" fillId="3" borderId="22" xfId="0" applyNumberFormat="1" applyFill="1" applyBorder="1" applyAlignment="1" applyProtection="1">
      <alignment horizontal="center" vertical="center"/>
      <protection locked="0"/>
    </xf>
    <xf numFmtId="2" fontId="0" fillId="3" borderId="20" xfId="0" applyNumberFormat="1" applyFill="1" applyBorder="1" applyAlignment="1" applyProtection="1">
      <alignment horizontal="center" vertical="center"/>
      <protection locked="0"/>
    </xf>
    <xf numFmtId="2" fontId="11" fillId="5" borderId="28" xfId="0" applyNumberFormat="1" applyFont="1" applyFill="1" applyBorder="1" applyAlignment="1">
      <alignment horizontal="center" vertical="center"/>
    </xf>
    <xf numFmtId="2" fontId="11" fillId="5" borderId="29" xfId="0" applyNumberFormat="1" applyFont="1" applyFill="1" applyBorder="1" applyAlignment="1">
      <alignment horizontal="center" vertical="center"/>
    </xf>
    <xf numFmtId="0" fontId="13" fillId="15" borderId="12" xfId="0" applyFont="1" applyFill="1" applyBorder="1" applyAlignment="1">
      <alignment horizontal="center" vertical="center" wrapText="1"/>
    </xf>
    <xf numFmtId="0" fontId="13" fillId="15" borderId="13" xfId="0" applyFont="1" applyFill="1" applyBorder="1" applyAlignment="1">
      <alignment horizontal="center" vertical="center" wrapText="1"/>
    </xf>
    <xf numFmtId="0" fontId="13" fillId="15" borderId="14" xfId="0" applyFont="1" applyFill="1" applyBorder="1" applyAlignment="1">
      <alignment horizontal="center" vertical="center" wrapText="1"/>
    </xf>
    <xf numFmtId="0" fontId="0" fillId="15" borderId="8" xfId="0" applyFill="1" applyBorder="1" applyAlignment="1">
      <alignment horizontal="center" vertical="center"/>
    </xf>
    <xf numFmtId="0" fontId="0" fillId="15" borderId="9" xfId="0" applyFill="1" applyBorder="1" applyAlignment="1">
      <alignment horizontal="center" vertical="center"/>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6" xfId="0" applyFont="1" applyFill="1" applyBorder="1" applyAlignment="1">
      <alignment horizontal="center" vertical="center"/>
    </xf>
    <xf numFmtId="2" fontId="0" fillId="3" borderId="8"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2" fontId="0" fillId="3" borderId="30" xfId="0" applyNumberFormat="1" applyFill="1" applyBorder="1" applyAlignment="1" applyProtection="1">
      <alignment horizontal="center" vertical="center"/>
      <protection locked="0"/>
    </xf>
    <xf numFmtId="2" fontId="0" fillId="3" borderId="31" xfId="0" applyNumberFormat="1" applyFill="1" applyBorder="1" applyAlignment="1" applyProtection="1">
      <alignment horizontal="center" vertical="center"/>
      <protection locked="0"/>
    </xf>
    <xf numFmtId="0" fontId="0" fillId="15" borderId="12" xfId="0" applyFill="1" applyBorder="1" applyAlignment="1">
      <alignment horizontal="center" vertical="center"/>
    </xf>
    <xf numFmtId="0" fontId="0" fillId="15" borderId="13" xfId="0" applyFill="1" applyBorder="1" applyAlignment="1">
      <alignment horizontal="center" vertical="center"/>
    </xf>
    <xf numFmtId="0" fontId="0" fillId="15" borderId="14" xfId="0" applyFill="1" applyBorder="1" applyAlignment="1">
      <alignment horizontal="center" vertical="center"/>
    </xf>
    <xf numFmtId="0" fontId="0" fillId="3" borderId="10"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2" xfId="0" applyFill="1" applyBorder="1" applyAlignment="1" applyProtection="1">
      <alignment horizontal="center" vertical="center"/>
      <protection locked="0"/>
    </xf>
    <xf numFmtId="0" fontId="0" fillId="3" borderId="33"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164" fontId="11" fillId="6" borderId="8" xfId="0" applyNumberFormat="1" applyFont="1" applyFill="1" applyBorder="1" applyAlignment="1">
      <alignment horizontal="center" vertical="center" wrapText="1"/>
    </xf>
    <xf numFmtId="164" fontId="11" fillId="6" borderId="7" xfId="0" applyNumberFormat="1" applyFont="1" applyFill="1" applyBorder="1" applyAlignment="1">
      <alignment horizontal="center" vertical="center" wrapText="1"/>
    </xf>
    <xf numFmtId="0" fontId="0" fillId="0" borderId="33" xfId="0" applyBorder="1" applyAlignment="1">
      <alignment horizontal="center" vertical="center"/>
    </xf>
    <xf numFmtId="0" fontId="0" fillId="0" borderId="11" xfId="0" applyBorder="1" applyAlignment="1">
      <alignment horizontal="center" vertical="center"/>
    </xf>
    <xf numFmtId="1" fontId="5" fillId="10" borderId="61" xfId="0" applyNumberFormat="1" applyFont="1" applyFill="1" applyBorder="1" applyAlignment="1">
      <alignment horizontal="center" vertical="center"/>
    </xf>
    <xf numFmtId="1" fontId="5" fillId="10" borderId="62" xfId="0" applyNumberFormat="1" applyFont="1" applyFill="1" applyBorder="1" applyAlignment="1">
      <alignment horizontal="center" vertical="center"/>
    </xf>
    <xf numFmtId="1" fontId="5" fillId="10" borderId="18" xfId="0" applyNumberFormat="1" applyFont="1" applyFill="1" applyBorder="1" applyAlignment="1">
      <alignment horizontal="center" vertical="center"/>
    </xf>
    <xf numFmtId="1" fontId="5" fillId="10" borderId="19"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1" fillId="15" borderId="1" xfId="0" applyFont="1" applyFill="1" applyBorder="1" applyAlignment="1">
      <alignment horizontal="center" vertical="center"/>
    </xf>
    <xf numFmtId="0" fontId="11" fillId="15" borderId="2" xfId="0" applyFont="1" applyFill="1" applyBorder="1" applyAlignment="1">
      <alignment horizontal="center" vertical="center"/>
    </xf>
    <xf numFmtId="0" fontId="11" fillId="15" borderId="3" xfId="0" applyFont="1" applyFill="1" applyBorder="1" applyAlignment="1">
      <alignment horizontal="center" vertical="center"/>
    </xf>
    <xf numFmtId="0" fontId="11" fillId="15" borderId="4" xfId="0" applyFont="1" applyFill="1" applyBorder="1" applyAlignment="1">
      <alignment horizontal="center" vertical="center"/>
    </xf>
    <xf numFmtId="0" fontId="11" fillId="15" borderId="0" xfId="0" applyFont="1" applyFill="1" applyAlignment="1">
      <alignment horizontal="center" vertical="center"/>
    </xf>
    <xf numFmtId="0" fontId="11" fillId="15" borderId="5" xfId="0" applyFont="1" applyFill="1" applyBorder="1" applyAlignment="1">
      <alignment horizontal="center" vertical="center"/>
    </xf>
    <xf numFmtId="1" fontId="5" fillId="10" borderId="60" xfId="0" applyNumberFormat="1" applyFont="1" applyFill="1" applyBorder="1" applyAlignment="1">
      <alignment horizontal="center" vertical="center"/>
    </xf>
    <xf numFmtId="1" fontId="5" fillId="10" borderId="63" xfId="0" applyNumberFormat="1" applyFont="1" applyFill="1" applyBorder="1" applyAlignment="1">
      <alignment horizontal="center" vertical="center"/>
    </xf>
    <xf numFmtId="0" fontId="5" fillId="15" borderId="39" xfId="0" applyFont="1" applyFill="1" applyBorder="1" applyAlignment="1">
      <alignment horizontal="center" vertical="center"/>
    </xf>
    <xf numFmtId="0" fontId="0" fillId="0" borderId="69" xfId="0" applyBorder="1" applyAlignment="1">
      <alignment horizontal="center" vertical="center"/>
    </xf>
    <xf numFmtId="0" fontId="0" fillId="0" borderId="10" xfId="0" applyBorder="1" applyAlignment="1">
      <alignment horizontal="center" vertical="center"/>
    </xf>
    <xf numFmtId="164" fontId="11" fillId="6" borderId="9" xfId="0" applyNumberFormat="1" applyFont="1" applyFill="1" applyBorder="1" applyAlignment="1">
      <alignment horizontal="center" vertical="center" wrapText="1"/>
    </xf>
    <xf numFmtId="164" fontId="11" fillId="6" borderId="17" xfId="0" applyNumberFormat="1" applyFont="1" applyFill="1" applyBorder="1" applyAlignment="1">
      <alignment horizontal="center" vertical="center" wrapText="1"/>
    </xf>
    <xf numFmtId="0" fontId="13" fillId="0" borderId="6" xfId="0" applyFont="1" applyBorder="1" applyAlignment="1">
      <alignment horizontal="center"/>
    </xf>
    <xf numFmtId="0" fontId="15" fillId="0" borderId="6" xfId="0" applyFont="1" applyBorder="1" applyAlignment="1">
      <alignment horizontal="left"/>
    </xf>
    <xf numFmtId="0" fontId="14" fillId="2" borderId="39" xfId="0" applyFont="1" applyFill="1" applyBorder="1" applyAlignment="1">
      <alignment horizontal="center"/>
    </xf>
    <xf numFmtId="0" fontId="14" fillId="2" borderId="40" xfId="0" applyFont="1" applyFill="1" applyBorder="1" applyAlignment="1">
      <alignment horizontal="center"/>
    </xf>
    <xf numFmtId="0" fontId="14" fillId="2" borderId="28" xfId="0" applyFont="1" applyFill="1" applyBorder="1" applyAlignment="1">
      <alignment horizontal="center"/>
    </xf>
    <xf numFmtId="0" fontId="5" fillId="15" borderId="70" xfId="0" applyFont="1" applyFill="1" applyBorder="1" applyAlignment="1">
      <alignment horizontal="center" vertical="center"/>
    </xf>
    <xf numFmtId="1" fontId="5" fillId="10" borderId="37" xfId="0" applyNumberFormat="1" applyFont="1" applyFill="1" applyBorder="1" applyAlignment="1">
      <alignment horizontal="center" vertical="center"/>
    </xf>
    <xf numFmtId="1" fontId="5" fillId="10" borderId="38" xfId="0" applyNumberFormat="1" applyFont="1" applyFill="1" applyBorder="1" applyAlignment="1">
      <alignment horizontal="center" vertical="center"/>
    </xf>
    <xf numFmtId="1" fontId="5" fillId="10" borderId="64" xfId="0" applyNumberFormat="1" applyFont="1" applyFill="1" applyBorder="1" applyAlignment="1">
      <alignment horizontal="center" vertical="center"/>
    </xf>
    <xf numFmtId="0" fontId="11" fillId="10" borderId="45" xfId="0" applyFont="1" applyFill="1" applyBorder="1" applyAlignment="1">
      <alignment horizontal="center" vertical="center" wrapText="1"/>
    </xf>
    <xf numFmtId="0" fontId="11" fillId="10" borderId="46"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10" borderId="5" xfId="0" applyFont="1" applyFill="1" applyBorder="1" applyAlignment="1">
      <alignment horizontal="center" vertical="center" wrapText="1"/>
    </xf>
    <xf numFmtId="0" fontId="11" fillId="10" borderId="34"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36"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1" xfId="0" applyFont="1" applyFill="1" applyBorder="1" applyAlignment="1">
      <alignment horizontal="center" vertical="center"/>
    </xf>
    <xf numFmtId="0" fontId="11" fillId="10" borderId="2" xfId="0" applyFont="1" applyFill="1" applyBorder="1" applyAlignment="1">
      <alignment horizontal="center" vertical="center"/>
    </xf>
    <xf numFmtId="0" fontId="11" fillId="10" borderId="3" xfId="0" applyFont="1" applyFill="1" applyBorder="1" applyAlignment="1">
      <alignment horizontal="center" vertical="center"/>
    </xf>
    <xf numFmtId="0" fontId="11" fillId="10" borderId="34" xfId="0" applyFont="1" applyFill="1" applyBorder="1" applyAlignment="1">
      <alignment horizontal="center" vertical="center"/>
    </xf>
    <xf numFmtId="0" fontId="11" fillId="10" borderId="35" xfId="0" applyFont="1" applyFill="1" applyBorder="1" applyAlignment="1">
      <alignment horizontal="center" vertical="center"/>
    </xf>
    <xf numFmtId="0" fontId="11" fillId="10" borderId="36" xfId="0" applyFont="1" applyFill="1" applyBorder="1" applyAlignment="1">
      <alignment horizontal="center" vertical="center"/>
    </xf>
    <xf numFmtId="0" fontId="11" fillId="10" borderId="50" xfId="0" applyFont="1" applyFill="1" applyBorder="1" applyAlignment="1">
      <alignment horizontal="center" vertical="center" wrapText="1"/>
    </xf>
    <xf numFmtId="0" fontId="11" fillId="10" borderId="51" xfId="0" applyFont="1" applyFill="1" applyBorder="1" applyAlignment="1">
      <alignment horizontal="center" vertical="center" wrapText="1"/>
    </xf>
    <xf numFmtId="0" fontId="11" fillId="10" borderId="54" xfId="0" applyFont="1" applyFill="1" applyBorder="1" applyAlignment="1">
      <alignment horizontal="center" vertical="center" wrapText="1"/>
    </xf>
    <xf numFmtId="2" fontId="14" fillId="21" borderId="50" xfId="0" applyNumberFormat="1" applyFont="1" applyFill="1" applyBorder="1" applyAlignment="1">
      <alignment horizontal="center" vertical="center" wrapText="1"/>
    </xf>
    <xf numFmtId="2" fontId="14" fillId="21" borderId="51" xfId="0" applyNumberFormat="1" applyFont="1" applyFill="1" applyBorder="1" applyAlignment="1">
      <alignment horizontal="center" vertical="center" wrapText="1"/>
    </xf>
    <xf numFmtId="2" fontId="14" fillId="21" borderId="54" xfId="0" applyNumberFormat="1" applyFont="1" applyFill="1" applyBorder="1" applyAlignment="1">
      <alignment horizontal="center" vertical="center" wrapText="1"/>
    </xf>
    <xf numFmtId="2" fontId="14" fillId="21" borderId="79" xfId="0" applyNumberFormat="1" applyFont="1" applyFill="1" applyBorder="1" applyAlignment="1">
      <alignment horizontal="center" vertical="center" wrapText="1"/>
    </xf>
    <xf numFmtId="2" fontId="14" fillId="21" borderId="40" xfId="0" applyNumberFormat="1" applyFont="1" applyFill="1" applyBorder="1" applyAlignment="1">
      <alignment horizontal="center" vertical="center" wrapText="1"/>
    </xf>
    <xf numFmtId="2" fontId="14" fillId="21" borderId="76" xfId="0" applyNumberFormat="1" applyFont="1" applyFill="1" applyBorder="1" applyAlignment="1">
      <alignment horizontal="center" vertical="center" wrapText="1"/>
    </xf>
    <xf numFmtId="0" fontId="50" fillId="0" borderId="0" xfId="0" applyFont="1" applyAlignment="1">
      <alignment horizontal="center" vertical="center" wrapText="1"/>
    </xf>
    <xf numFmtId="0" fontId="50" fillId="0" borderId="5" xfId="0" applyFont="1" applyBorder="1" applyAlignment="1">
      <alignment horizontal="center" vertical="center" wrapText="1"/>
    </xf>
    <xf numFmtId="0" fontId="64" fillId="4" borderId="223" xfId="0" applyFont="1" applyFill="1" applyBorder="1" applyAlignment="1">
      <alignment horizontal="center" vertical="center"/>
    </xf>
    <xf numFmtId="0" fontId="64" fillId="4" borderId="279" xfId="0" applyFont="1" applyFill="1" applyBorder="1" applyAlignment="1">
      <alignment horizontal="center" vertical="center"/>
    </xf>
    <xf numFmtId="0" fontId="64" fillId="4" borderId="26" xfId="0" applyFont="1" applyFill="1" applyBorder="1" applyAlignment="1">
      <alignment horizontal="center" vertical="center"/>
    </xf>
    <xf numFmtId="0" fontId="64" fillId="4" borderId="65" xfId="0" applyFont="1" applyFill="1" applyBorder="1" applyAlignment="1">
      <alignment horizontal="center" vertical="center"/>
    </xf>
    <xf numFmtId="2" fontId="20" fillId="20" borderId="272" xfId="0" applyNumberFormat="1" applyFont="1" applyFill="1" applyBorder="1" applyAlignment="1">
      <alignment horizontal="center" vertical="center"/>
    </xf>
    <xf numFmtId="2" fontId="20" fillId="20" borderId="125" xfId="0" applyNumberFormat="1" applyFont="1" applyFill="1" applyBorder="1" applyAlignment="1">
      <alignment horizontal="center" vertical="center"/>
    </xf>
    <xf numFmtId="2" fontId="20" fillId="20" borderId="63" xfId="0" applyNumberFormat="1" applyFont="1" applyFill="1" applyBorder="1" applyAlignment="1">
      <alignment horizontal="center" vertical="center"/>
    </xf>
    <xf numFmtId="2" fontId="20" fillId="20" borderId="18" xfId="0" applyNumberFormat="1" applyFont="1" applyFill="1" applyBorder="1" applyAlignment="1">
      <alignment horizontal="center" vertical="center"/>
    </xf>
    <xf numFmtId="0" fontId="64" fillId="4" borderId="224" xfId="0" applyFont="1" applyFill="1" applyBorder="1" applyAlignment="1">
      <alignment horizontal="center" vertical="center"/>
    </xf>
    <xf numFmtId="0" fontId="64" fillId="4" borderId="27" xfId="0"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5" xfId="0" applyFont="1" applyFill="1" applyBorder="1" applyAlignment="1">
      <alignment horizontal="center" vertical="center" wrapText="1"/>
    </xf>
    <xf numFmtId="0" fontId="7" fillId="10" borderId="34" xfId="0" applyFont="1" applyFill="1" applyBorder="1" applyAlignment="1">
      <alignment horizontal="center" vertical="center" wrapText="1"/>
    </xf>
    <xf numFmtId="0" fontId="7" fillId="10" borderId="35" xfId="0" applyFont="1" applyFill="1" applyBorder="1" applyAlignment="1">
      <alignment horizontal="center" vertical="center" wrapText="1"/>
    </xf>
    <xf numFmtId="0" fontId="7" fillId="10" borderId="36" xfId="0" applyFont="1" applyFill="1" applyBorder="1" applyAlignment="1">
      <alignment horizontal="center" vertical="center" wrapText="1"/>
    </xf>
    <xf numFmtId="0" fontId="36" fillId="10" borderId="6" xfId="5" applyFont="1" applyFill="1" applyBorder="1" applyAlignment="1" applyProtection="1">
      <alignment horizontal="center" vertical="center"/>
      <protection locked="0"/>
    </xf>
    <xf numFmtId="0" fontId="36" fillId="10" borderId="11" xfId="5" applyFont="1" applyFill="1" applyBorder="1" applyAlignment="1" applyProtection="1">
      <alignment horizontal="center" vertical="center"/>
      <protection locked="0"/>
    </xf>
    <xf numFmtId="0" fontId="36" fillId="10" borderId="39" xfId="5" applyFont="1" applyFill="1" applyBorder="1" applyAlignment="1" applyProtection="1">
      <alignment horizontal="center" vertical="center"/>
      <protection locked="0"/>
    </xf>
    <xf numFmtId="0" fontId="34" fillId="0" borderId="0" xfId="0" applyFont="1" applyAlignment="1">
      <alignment horizontal="center"/>
    </xf>
    <xf numFmtId="1" fontId="34" fillId="0" borderId="0" xfId="0" applyNumberFormat="1" applyFont="1" applyAlignment="1">
      <alignment horizontal="center"/>
    </xf>
    <xf numFmtId="166" fontId="11" fillId="10" borderId="10" xfId="0" applyNumberFormat="1" applyFont="1" applyFill="1" applyBorder="1" applyAlignment="1">
      <alignment horizontal="center" vertical="center"/>
    </xf>
    <xf numFmtId="166" fontId="11" fillId="10" borderId="6" xfId="0" applyNumberFormat="1" applyFont="1" applyFill="1" applyBorder="1" applyAlignment="1">
      <alignment horizontal="center" vertical="center"/>
    </xf>
    <xf numFmtId="2" fontId="20" fillId="20" borderId="260" xfId="0" applyNumberFormat="1" applyFont="1" applyFill="1" applyBorder="1" applyAlignment="1">
      <alignment horizontal="center" vertical="center"/>
    </xf>
    <xf numFmtId="2" fontId="20" fillId="20" borderId="73" xfId="0" applyNumberFormat="1" applyFont="1" applyFill="1" applyBorder="1" applyAlignment="1">
      <alignment horizontal="center" vertical="center"/>
    </xf>
    <xf numFmtId="166" fontId="11" fillId="10" borderId="7" xfId="0" applyNumberFormat="1" applyFont="1" applyFill="1" applyBorder="1" applyAlignment="1">
      <alignment horizontal="center" vertical="center"/>
    </xf>
    <xf numFmtId="166" fontId="11" fillId="10" borderId="8" xfId="0" applyNumberFormat="1" applyFont="1" applyFill="1" applyBorder="1" applyAlignment="1">
      <alignment horizontal="center" vertical="center"/>
    </xf>
    <xf numFmtId="0" fontId="36" fillId="10" borderId="8" xfId="5" applyFont="1" applyFill="1" applyBorder="1" applyAlignment="1" applyProtection="1">
      <alignment horizontal="center" vertical="center"/>
      <protection locked="0"/>
    </xf>
    <xf numFmtId="0" fontId="36" fillId="10" borderId="9" xfId="5" applyFont="1" applyFill="1" applyBorder="1" applyAlignment="1" applyProtection="1">
      <alignment horizontal="center" vertical="center"/>
      <protection locked="0"/>
    </xf>
    <xf numFmtId="2" fontId="20" fillId="20" borderId="18" xfId="0" applyNumberFormat="1" applyFont="1" applyFill="1" applyBorder="1" applyAlignment="1">
      <alignment horizontal="center" vertical="center" wrapText="1"/>
    </xf>
    <xf numFmtId="0" fontId="64" fillId="4" borderId="59" xfId="0" applyFont="1" applyFill="1" applyBorder="1" applyAlignment="1">
      <alignment horizontal="center" vertical="center"/>
    </xf>
    <xf numFmtId="0" fontId="64" fillId="4" borderId="283" xfId="0" applyFont="1" applyFill="1" applyBorder="1" applyAlignment="1">
      <alignment horizontal="center" vertical="center"/>
    </xf>
    <xf numFmtId="0" fontId="64" fillId="4" borderId="285" xfId="0" applyFont="1" applyFill="1" applyBorder="1" applyAlignment="1">
      <alignment horizontal="center" vertical="center"/>
    </xf>
    <xf numFmtId="0" fontId="64" fillId="4" borderId="220" xfId="0" applyFont="1" applyFill="1" applyBorder="1" applyAlignment="1">
      <alignment horizontal="center" vertical="center"/>
    </xf>
    <xf numFmtId="0" fontId="64" fillId="4" borderId="230" xfId="0" applyFont="1" applyFill="1" applyBorder="1" applyAlignment="1">
      <alignment horizontal="center" vertical="center"/>
    </xf>
    <xf numFmtId="0" fontId="64" fillId="4" borderId="58" xfId="0" applyFont="1" applyFill="1" applyBorder="1" applyAlignment="1">
      <alignment horizontal="center" vertical="center"/>
    </xf>
    <xf numFmtId="0" fontId="64" fillId="4" borderId="284" xfId="0" applyFont="1" applyFill="1" applyBorder="1" applyAlignment="1">
      <alignment horizontal="center" vertical="center"/>
    </xf>
    <xf numFmtId="0" fontId="7" fillId="10" borderId="216" xfId="0" applyFont="1" applyFill="1" applyBorder="1" applyAlignment="1">
      <alignment horizontal="center" vertical="center"/>
    </xf>
    <xf numFmtId="0" fontId="7" fillId="10" borderId="261" xfId="0" applyFont="1" applyFill="1" applyBorder="1" applyAlignment="1">
      <alignment horizontal="center" vertical="center"/>
    </xf>
    <xf numFmtId="0" fontId="7" fillId="10" borderId="21" xfId="0" applyFont="1" applyFill="1" applyBorder="1" applyAlignment="1">
      <alignment horizontal="center" vertical="center"/>
    </xf>
    <xf numFmtId="0" fontId="7" fillId="10" borderId="154" xfId="0" applyFont="1" applyFill="1" applyBorder="1" applyAlignment="1">
      <alignment horizontal="center" vertical="center"/>
    </xf>
    <xf numFmtId="0" fontId="7" fillId="10" borderId="277" xfId="0" applyFont="1" applyFill="1" applyBorder="1" applyAlignment="1">
      <alignment horizontal="center" vertical="center"/>
    </xf>
    <xf numFmtId="0" fontId="7" fillId="10" borderId="155" xfId="0" applyFont="1" applyFill="1" applyBorder="1" applyAlignment="1">
      <alignment horizontal="center" vertical="center"/>
    </xf>
    <xf numFmtId="0" fontId="7" fillId="10" borderId="20" xfId="0" applyFont="1" applyFill="1" applyBorder="1" applyAlignment="1">
      <alignment horizontal="center" vertical="center"/>
    </xf>
    <xf numFmtId="0" fontId="7" fillId="10" borderId="251" xfId="0" applyFont="1" applyFill="1" applyBorder="1" applyAlignment="1">
      <alignment horizontal="center" vertical="center"/>
    </xf>
    <xf numFmtId="0" fontId="7" fillId="10" borderId="263" xfId="0" applyFont="1" applyFill="1" applyBorder="1" applyAlignment="1">
      <alignment horizontal="center" vertical="center"/>
    </xf>
    <xf numFmtId="0" fontId="7" fillId="10" borderId="278" xfId="0" applyFont="1" applyFill="1" applyBorder="1" applyAlignment="1">
      <alignment horizontal="center" vertical="center"/>
    </xf>
    <xf numFmtId="0" fontId="7" fillId="10" borderId="153" xfId="0" applyFont="1" applyFill="1" applyBorder="1" applyAlignment="1">
      <alignment horizontal="center" vertical="center"/>
    </xf>
    <xf numFmtId="0" fontId="11" fillId="10" borderId="127"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126" xfId="0" applyFont="1" applyFill="1" applyBorder="1" applyAlignment="1">
      <alignment horizontal="center" vertical="center" wrapText="1"/>
    </xf>
    <xf numFmtId="0" fontId="11" fillId="10" borderId="29"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15" xfId="0" applyFont="1" applyFill="1" applyBorder="1" applyAlignment="1">
      <alignment horizontal="center" vertical="center" wrapText="1"/>
    </xf>
    <xf numFmtId="0" fontId="11" fillId="10" borderId="17" xfId="0" applyFont="1" applyFill="1" applyBorder="1" applyAlignment="1">
      <alignment horizontal="center" vertical="center" wrapText="1"/>
    </xf>
    <xf numFmtId="1" fontId="11" fillId="0" borderId="63" xfId="0" applyNumberFormat="1" applyFont="1" applyBorder="1" applyAlignment="1">
      <alignment horizontal="center" vertical="center"/>
    </xf>
    <xf numFmtId="1" fontId="11" fillId="0" borderId="18" xfId="0" applyNumberFormat="1" applyFont="1" applyBorder="1" applyAlignment="1">
      <alignment horizontal="center" vertical="center"/>
    </xf>
    <xf numFmtId="0" fontId="11" fillId="4" borderId="265" xfId="0" applyFont="1" applyFill="1" applyBorder="1" applyAlignment="1">
      <alignment horizontal="center" vertical="center"/>
    </xf>
    <xf numFmtId="0" fontId="11" fillId="4" borderId="71" xfId="0" applyFont="1" applyFill="1" applyBorder="1" applyAlignment="1">
      <alignment horizontal="center" vertical="center"/>
    </xf>
    <xf numFmtId="1" fontId="11" fillId="0" borderId="272" xfId="0" applyNumberFormat="1" applyFont="1" applyBorder="1" applyAlignment="1">
      <alignment horizontal="center" vertical="center"/>
    </xf>
    <xf numFmtId="1" fontId="11" fillId="0" borderId="125" xfId="0" applyNumberFormat="1" applyFont="1" applyBorder="1" applyAlignment="1">
      <alignment horizontal="center" vertical="center"/>
    </xf>
    <xf numFmtId="1" fontId="11" fillId="0" borderId="73" xfId="0" applyNumberFormat="1" applyFont="1" applyBorder="1" applyAlignment="1">
      <alignment horizontal="center" vertical="center"/>
    </xf>
    <xf numFmtId="1" fontId="11" fillId="0" borderId="260" xfId="0" applyNumberFormat="1" applyFont="1" applyBorder="1" applyAlignment="1">
      <alignment horizontal="center" vertical="center"/>
    </xf>
    <xf numFmtId="2" fontId="20" fillId="20" borderId="19" xfId="0" applyNumberFormat="1" applyFont="1" applyFill="1" applyBorder="1" applyAlignment="1">
      <alignment horizontal="center" vertical="center"/>
    </xf>
    <xf numFmtId="2" fontId="20" fillId="20" borderId="262" xfId="0" applyNumberFormat="1" applyFont="1" applyFill="1" applyBorder="1" applyAlignment="1">
      <alignment horizontal="center" vertical="center"/>
    </xf>
    <xf numFmtId="2" fontId="20" fillId="20" borderId="183" xfId="0" applyNumberFormat="1" applyFont="1" applyFill="1" applyBorder="1" applyAlignment="1">
      <alignment horizontal="center" vertical="center"/>
    </xf>
    <xf numFmtId="0" fontId="11" fillId="4" borderId="159" xfId="0" applyFont="1" applyFill="1" applyBorder="1" applyAlignment="1">
      <alignment horizontal="center" vertical="center"/>
    </xf>
    <xf numFmtId="0" fontId="11" fillId="4" borderId="271" xfId="0" applyFont="1" applyFill="1" applyBorder="1" applyAlignment="1">
      <alignment horizontal="center" vertical="center"/>
    </xf>
    <xf numFmtId="0" fontId="11" fillId="4" borderId="264" xfId="0" applyFont="1" applyFill="1" applyBorder="1" applyAlignment="1">
      <alignment horizontal="center" vertical="center"/>
    </xf>
    <xf numFmtId="1" fontId="11" fillId="0" borderId="64" xfId="0" applyNumberFormat="1" applyFont="1" applyBorder="1" applyAlignment="1">
      <alignment horizontal="center" vertical="center"/>
    </xf>
    <xf numFmtId="1" fontId="11" fillId="0" borderId="37" xfId="0" applyNumberFormat="1" applyFont="1" applyBorder="1" applyAlignment="1">
      <alignment horizontal="center" vertical="center"/>
    </xf>
    <xf numFmtId="0" fontId="26" fillId="10" borderId="162" xfId="0" applyFont="1" applyFill="1" applyBorder="1" applyAlignment="1">
      <alignment horizontal="center" vertical="center" wrapText="1"/>
    </xf>
    <xf numFmtId="0" fontId="26" fillId="10" borderId="23" xfId="0" applyFont="1" applyFill="1" applyBorder="1" applyAlignment="1">
      <alignment horizontal="center" vertical="center" wrapText="1"/>
    </xf>
    <xf numFmtId="0" fontId="26" fillId="10" borderId="160" xfId="0" applyFont="1" applyFill="1" applyBorder="1" applyAlignment="1">
      <alignment horizontal="center" vertical="center" wrapText="1"/>
    </xf>
    <xf numFmtId="0" fontId="26" fillId="10" borderId="63" xfId="0" applyFont="1" applyFill="1" applyBorder="1" applyAlignment="1">
      <alignment horizontal="center" vertical="center" wrapText="1"/>
    </xf>
    <xf numFmtId="0" fontId="26" fillId="10" borderId="18" xfId="0" applyFont="1" applyFill="1" applyBorder="1" applyAlignment="1">
      <alignment horizontal="center" vertical="center" wrapText="1"/>
    </xf>
    <xf numFmtId="0" fontId="26" fillId="10" borderId="19" xfId="0" applyFont="1" applyFill="1" applyBorder="1" applyAlignment="1">
      <alignment horizontal="center" vertical="center" wrapText="1"/>
    </xf>
    <xf numFmtId="0" fontId="11" fillId="10" borderId="63"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11" fillId="10" borderId="64"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19" xfId="0" applyFont="1" applyFill="1" applyBorder="1" applyAlignment="1">
      <alignment horizontal="center" vertical="center" wrapText="1"/>
    </xf>
    <xf numFmtId="0" fontId="11" fillId="10" borderId="38"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0" xfId="0" applyFont="1" applyFill="1" applyAlignment="1">
      <alignment horizontal="center" vertical="center"/>
    </xf>
    <xf numFmtId="0" fontId="10" fillId="2" borderId="5" xfId="0" applyFont="1" applyFill="1" applyBorder="1" applyAlignment="1">
      <alignment horizontal="center" vertical="center"/>
    </xf>
    <xf numFmtId="2" fontId="20" fillId="20" borderId="37" xfId="0" applyNumberFormat="1" applyFont="1" applyFill="1" applyBorder="1" applyAlignment="1">
      <alignment horizontal="center" vertical="center"/>
    </xf>
    <xf numFmtId="2" fontId="20" fillId="20" borderId="38" xfId="0" applyNumberFormat="1" applyFont="1" applyFill="1" applyBorder="1" applyAlignment="1">
      <alignment horizontal="center" vertical="center"/>
    </xf>
    <xf numFmtId="2" fontId="20" fillId="20" borderId="185" xfId="0" applyNumberFormat="1" applyFont="1" applyFill="1" applyBorder="1" applyAlignment="1">
      <alignment horizontal="center" vertical="center"/>
    </xf>
    <xf numFmtId="0" fontId="11" fillId="4" borderId="164" xfId="0" applyFont="1" applyFill="1" applyBorder="1" applyAlignment="1">
      <alignment horizontal="center" vertical="center"/>
    </xf>
    <xf numFmtId="0" fontId="11" fillId="4" borderId="165" xfId="0" applyFont="1" applyFill="1" applyBorder="1" applyAlignment="1">
      <alignment horizontal="center" vertical="center"/>
    </xf>
    <xf numFmtId="1" fontId="11" fillId="0" borderId="182" xfId="0" applyNumberFormat="1" applyFont="1" applyBorder="1" applyAlignment="1">
      <alignment horizontal="center" vertical="center"/>
    </xf>
    <xf numFmtId="0" fontId="11" fillId="4" borderId="184" xfId="0" applyFont="1" applyFill="1" applyBorder="1" applyAlignment="1">
      <alignment horizontal="center" vertical="center"/>
    </xf>
    <xf numFmtId="0" fontId="11" fillId="4" borderId="269" xfId="0" applyFont="1" applyFill="1" applyBorder="1" applyAlignment="1">
      <alignment horizontal="center" vertical="center"/>
    </xf>
    <xf numFmtId="0" fontId="11" fillId="4" borderId="124" xfId="0" applyFont="1" applyFill="1" applyBorder="1" applyAlignment="1">
      <alignment horizontal="center" vertical="center"/>
    </xf>
    <xf numFmtId="0" fontId="11" fillId="4" borderId="270" xfId="0" applyFont="1" applyFill="1" applyBorder="1" applyAlignment="1">
      <alignment horizontal="center" vertical="center"/>
    </xf>
    <xf numFmtId="0" fontId="11" fillId="4" borderId="266" xfId="0" applyFont="1" applyFill="1" applyBorder="1" applyAlignment="1">
      <alignment horizontal="center" vertical="center"/>
    </xf>
    <xf numFmtId="0" fontId="11" fillId="4" borderId="267" xfId="0" applyFont="1" applyFill="1" applyBorder="1" applyAlignment="1">
      <alignment horizontal="center" vertical="center"/>
    </xf>
    <xf numFmtId="0" fontId="37" fillId="0" borderId="4" xfId="0" applyFont="1" applyBorder="1" applyAlignment="1">
      <alignment horizontal="center"/>
    </xf>
    <xf numFmtId="0" fontId="26" fillId="10" borderId="22" xfId="0" applyFont="1" applyFill="1" applyBorder="1" applyAlignment="1">
      <alignment horizontal="center" vertical="center" wrapText="1"/>
    </xf>
    <xf numFmtId="0" fontId="26" fillId="10" borderId="276" xfId="0" applyFont="1" applyFill="1" applyBorder="1" applyAlignment="1">
      <alignment horizontal="center" vertical="center" wrapText="1"/>
    </xf>
    <xf numFmtId="0" fontId="26" fillId="10" borderId="73" xfId="0" applyFont="1" applyFill="1" applyBorder="1" applyAlignment="1">
      <alignment horizontal="center" vertical="center" wrapText="1"/>
    </xf>
    <xf numFmtId="0" fontId="26" fillId="10" borderId="183" xfId="0" applyFont="1" applyFill="1" applyBorder="1" applyAlignment="1">
      <alignment horizontal="center" vertical="center" wrapText="1"/>
    </xf>
    <xf numFmtId="0" fontId="11" fillId="10" borderId="73" xfId="0" applyFont="1" applyFill="1" applyBorder="1" applyAlignment="1">
      <alignment horizontal="center" vertical="center" wrapText="1"/>
    </xf>
    <xf numFmtId="0" fontId="11" fillId="10" borderId="182" xfId="0" applyFont="1" applyFill="1" applyBorder="1" applyAlignment="1">
      <alignment horizontal="center" vertical="center" wrapText="1"/>
    </xf>
    <xf numFmtId="0" fontId="11" fillId="10" borderId="183" xfId="0" applyFont="1" applyFill="1" applyBorder="1" applyAlignment="1">
      <alignment horizontal="center" vertical="center" wrapText="1"/>
    </xf>
    <xf numFmtId="0" fontId="11" fillId="10" borderId="185" xfId="0" applyFont="1" applyFill="1" applyBorder="1" applyAlignment="1">
      <alignment horizontal="center" vertical="center" wrapText="1"/>
    </xf>
    <xf numFmtId="2" fontId="20" fillId="20" borderId="273" xfId="0" applyNumberFormat="1" applyFont="1" applyFill="1" applyBorder="1" applyAlignment="1">
      <alignment horizontal="center" vertical="center"/>
    </xf>
    <xf numFmtId="0" fontId="11" fillId="4" borderId="259" xfId="0" applyFont="1" applyFill="1" applyBorder="1" applyAlignment="1">
      <alignment horizontal="center" vertical="center"/>
    </xf>
    <xf numFmtId="0" fontId="11" fillId="4" borderId="175" xfId="0" applyFont="1" applyFill="1" applyBorder="1" applyAlignment="1">
      <alignment horizontal="center" vertical="center"/>
    </xf>
    <xf numFmtId="2" fontId="63" fillId="21" borderId="46" xfId="0" applyNumberFormat="1" applyFont="1" applyFill="1" applyBorder="1" applyAlignment="1">
      <alignment horizontal="center" vertical="center"/>
    </xf>
    <xf numFmtId="2" fontId="63" fillId="21" borderId="29" xfId="0" applyNumberFormat="1" applyFont="1" applyFill="1" applyBorder="1" applyAlignment="1">
      <alignment horizontal="center" vertical="center"/>
    </xf>
    <xf numFmtId="2" fontId="63" fillId="21" borderId="51" xfId="0" applyNumberFormat="1" applyFont="1" applyFill="1" applyBorder="1" applyAlignment="1">
      <alignment horizontal="center" vertical="center"/>
    </xf>
    <xf numFmtId="2" fontId="63" fillId="21" borderId="52" xfId="0" applyNumberFormat="1" applyFont="1" applyFill="1" applyBorder="1" applyAlignment="1">
      <alignment horizontal="center" vertical="center"/>
    </xf>
    <xf numFmtId="2" fontId="20" fillId="20" borderId="64" xfId="0" applyNumberFormat="1" applyFont="1" applyFill="1" applyBorder="1" applyAlignment="1">
      <alignment horizontal="center" vertical="center"/>
    </xf>
    <xf numFmtId="2" fontId="14" fillId="21" borderId="252" xfId="0" applyNumberFormat="1" applyFont="1" applyFill="1" applyBorder="1" applyAlignment="1">
      <alignment horizontal="center" vertical="center"/>
    </xf>
    <xf numFmtId="2" fontId="14" fillId="21" borderId="115" xfId="0" applyNumberFormat="1" applyFont="1" applyFill="1" applyBorder="1" applyAlignment="1">
      <alignment horizontal="center" vertical="center"/>
    </xf>
    <xf numFmtId="2" fontId="14" fillId="21" borderId="116" xfId="0" applyNumberFormat="1" applyFont="1" applyFill="1" applyBorder="1" applyAlignment="1">
      <alignment horizontal="center" vertical="center"/>
    </xf>
    <xf numFmtId="0" fontId="11" fillId="4" borderId="244" xfId="0" applyFont="1" applyFill="1" applyBorder="1" applyAlignment="1">
      <alignment horizontal="center" vertical="center"/>
    </xf>
    <xf numFmtId="0" fontId="11" fillId="4" borderId="245" xfId="0" applyFont="1" applyFill="1" applyBorder="1" applyAlignment="1">
      <alignment horizontal="center" vertical="center"/>
    </xf>
    <xf numFmtId="0" fontId="11" fillId="4" borderId="222" xfId="0" applyFont="1" applyFill="1" applyBorder="1" applyAlignment="1">
      <alignment horizontal="center" vertical="center"/>
    </xf>
    <xf numFmtId="0" fontId="11" fillId="4" borderId="223" xfId="0" applyFont="1" applyFill="1" applyBorder="1" applyAlignment="1">
      <alignment horizontal="center" vertical="center"/>
    </xf>
    <xf numFmtId="0" fontId="11" fillId="10" borderId="43" xfId="0" applyFont="1" applyFill="1" applyBorder="1" applyAlignment="1">
      <alignment horizontal="center" vertical="center" wrapText="1"/>
    </xf>
    <xf numFmtId="0" fontId="11" fillId="10" borderId="44" xfId="0" applyFont="1" applyFill="1" applyBorder="1" applyAlignment="1">
      <alignment horizontal="center" vertical="center" wrapText="1"/>
    </xf>
    <xf numFmtId="0" fontId="11" fillId="10" borderId="53" xfId="0" applyFont="1" applyFill="1" applyBorder="1" applyAlignment="1">
      <alignment horizontal="center" vertical="center" wrapText="1"/>
    </xf>
    <xf numFmtId="0" fontId="11" fillId="10" borderId="52" xfId="0" applyFont="1" applyFill="1" applyBorder="1" applyAlignment="1">
      <alignment horizontal="center" vertical="center" wrapText="1"/>
    </xf>
    <xf numFmtId="166" fontId="11" fillId="10" borderId="191" xfId="0" applyNumberFormat="1" applyFont="1" applyFill="1" applyBorder="1" applyAlignment="1">
      <alignment horizontal="center" vertical="center"/>
    </xf>
    <xf numFmtId="166" fontId="11" fillId="10" borderId="30" xfId="0" applyNumberFormat="1" applyFont="1" applyFill="1" applyBorder="1" applyAlignment="1">
      <alignment horizontal="center" vertical="center"/>
    </xf>
    <xf numFmtId="166" fontId="11" fillId="10" borderId="192" xfId="0" applyNumberFormat="1" applyFont="1" applyFill="1" applyBorder="1" applyAlignment="1">
      <alignment horizontal="center" vertical="center"/>
    </xf>
    <xf numFmtId="166" fontId="11" fillId="10" borderId="107" xfId="0" applyNumberFormat="1" applyFont="1" applyFill="1" applyBorder="1" applyAlignment="1">
      <alignment horizontal="center" vertical="center"/>
    </xf>
    <xf numFmtId="1" fontId="11" fillId="10" borderId="10" xfId="0" applyNumberFormat="1" applyFont="1" applyFill="1" applyBorder="1" applyAlignment="1">
      <alignment horizontal="center" vertical="center"/>
    </xf>
    <xf numFmtId="1" fontId="11" fillId="10" borderId="6" xfId="0" applyNumberFormat="1" applyFont="1" applyFill="1" applyBorder="1" applyAlignment="1">
      <alignment horizontal="center" vertical="center"/>
    </xf>
    <xf numFmtId="166" fontId="11" fillId="10" borderId="193" xfId="0" applyNumberFormat="1" applyFont="1" applyFill="1" applyBorder="1" applyAlignment="1">
      <alignment horizontal="center" vertical="center"/>
    </xf>
    <xf numFmtId="166" fontId="11" fillId="10" borderId="186" xfId="0" applyNumberFormat="1" applyFont="1" applyFill="1" applyBorder="1" applyAlignment="1">
      <alignment horizontal="center" vertical="center"/>
    </xf>
    <xf numFmtId="1" fontId="11" fillId="10" borderId="69" xfId="0" applyNumberFormat="1" applyFont="1" applyFill="1" applyBorder="1" applyAlignment="1">
      <alignment horizontal="center" vertical="center"/>
    </xf>
    <xf numFmtId="1" fontId="11" fillId="10" borderId="32" xfId="0" applyNumberFormat="1" applyFont="1" applyFill="1" applyBorder="1" applyAlignment="1">
      <alignment horizontal="center" vertical="center"/>
    </xf>
    <xf numFmtId="1" fontId="11" fillId="10" borderId="15" xfId="0" applyNumberFormat="1" applyFont="1" applyFill="1" applyBorder="1" applyAlignment="1">
      <alignment horizontal="center" vertical="center"/>
    </xf>
    <xf numFmtId="1" fontId="11" fillId="10" borderId="16" xfId="0" applyNumberFormat="1" applyFont="1" applyFill="1" applyBorder="1" applyAlignment="1">
      <alignment horizontal="center" vertical="center"/>
    </xf>
    <xf numFmtId="1" fontId="11" fillId="0" borderId="163" xfId="0" applyNumberFormat="1" applyFont="1" applyBorder="1" applyAlignment="1">
      <alignment horizontal="center" vertical="center"/>
    </xf>
    <xf numFmtId="1" fontId="11" fillId="0" borderId="102" xfId="0" applyNumberFormat="1" applyFont="1" applyBorder="1" applyAlignment="1">
      <alignment horizontal="center" vertical="center"/>
    </xf>
    <xf numFmtId="1" fontId="11" fillId="0" borderId="195" xfId="0" applyNumberFormat="1" applyFont="1" applyBorder="1" applyAlignment="1">
      <alignment horizontal="center" vertical="center"/>
    </xf>
    <xf numFmtId="1" fontId="11" fillId="0" borderId="105" xfId="0" applyNumberFormat="1" applyFont="1" applyBorder="1" applyAlignment="1">
      <alignment horizontal="center" vertical="center"/>
    </xf>
    <xf numFmtId="1" fontId="11" fillId="0" borderId="161" xfId="0" applyNumberFormat="1" applyFont="1" applyBorder="1" applyAlignment="1">
      <alignment horizontal="center" vertical="center"/>
    </xf>
    <xf numFmtId="1" fontId="11" fillId="0" borderId="72" xfId="0" applyNumberFormat="1" applyFont="1" applyBorder="1" applyAlignment="1">
      <alignment horizontal="center" vertical="center"/>
    </xf>
    <xf numFmtId="1" fontId="11" fillId="0" borderId="215" xfId="0" applyNumberFormat="1" applyFont="1" applyBorder="1" applyAlignment="1">
      <alignment horizontal="center" vertical="center"/>
    </xf>
    <xf numFmtId="1" fontId="11" fillId="0" borderId="216" xfId="0" applyNumberFormat="1" applyFont="1" applyBorder="1" applyAlignment="1">
      <alignment horizontal="center" vertical="center"/>
    </xf>
    <xf numFmtId="0" fontId="36" fillId="10" borderId="107" xfId="5" applyFont="1" applyFill="1" applyBorder="1" applyAlignment="1" applyProtection="1">
      <alignment horizontal="center" vertical="center"/>
      <protection locked="0"/>
    </xf>
    <xf numFmtId="0" fontId="36" fillId="10" borderId="101" xfId="5" applyFont="1" applyFill="1" applyBorder="1" applyAlignment="1" applyProtection="1">
      <alignment horizontal="center" vertical="center"/>
      <protection locked="0"/>
    </xf>
    <xf numFmtId="0" fontId="36" fillId="10" borderId="186" xfId="5" applyFont="1" applyFill="1" applyBorder="1" applyAlignment="1" applyProtection="1">
      <alignment horizontal="center" vertical="center"/>
      <protection locked="0"/>
    </xf>
    <xf numFmtId="0" fontId="36" fillId="10" borderId="104" xfId="5" applyFont="1" applyFill="1" applyBorder="1" applyAlignment="1" applyProtection="1">
      <alignment horizontal="center" vertical="center"/>
      <protection locked="0"/>
    </xf>
    <xf numFmtId="0" fontId="36" fillId="10" borderId="30" xfId="5" applyFont="1" applyFill="1" applyBorder="1" applyAlignment="1" applyProtection="1">
      <alignment horizontal="center" vertical="center"/>
      <protection locked="0"/>
    </xf>
    <xf numFmtId="0" fontId="36" fillId="10" borderId="187" xfId="5" applyFont="1" applyFill="1" applyBorder="1" applyAlignment="1" applyProtection="1">
      <alignment horizontal="center" vertical="center"/>
      <protection locked="0"/>
    </xf>
    <xf numFmtId="2" fontId="20" fillId="20" borderId="102" xfId="0" applyNumberFormat="1" applyFont="1" applyFill="1" applyBorder="1" applyAlignment="1">
      <alignment horizontal="center" vertical="center"/>
    </xf>
    <xf numFmtId="2" fontId="20" fillId="20" borderId="103" xfId="0" applyNumberFormat="1" applyFont="1" applyFill="1" applyBorder="1" applyAlignment="1">
      <alignment horizontal="center" vertical="center"/>
    </xf>
    <xf numFmtId="2" fontId="20" fillId="20" borderId="105" xfId="0" applyNumberFormat="1" applyFont="1" applyFill="1" applyBorder="1" applyAlignment="1">
      <alignment horizontal="center" vertical="center"/>
    </xf>
    <xf numFmtId="2" fontId="20" fillId="20" borderId="106" xfId="0" applyNumberFormat="1" applyFont="1" applyFill="1" applyBorder="1" applyAlignment="1">
      <alignment horizontal="center" vertical="center"/>
    </xf>
    <xf numFmtId="2" fontId="20" fillId="20" borderId="72" xfId="0" applyNumberFormat="1" applyFont="1" applyFill="1" applyBorder="1" applyAlignment="1">
      <alignment horizontal="center" vertical="center"/>
    </xf>
    <xf numFmtId="2" fontId="20" fillId="20" borderId="74" xfId="0" applyNumberFormat="1" applyFont="1" applyFill="1" applyBorder="1" applyAlignment="1">
      <alignment horizontal="center" vertical="center"/>
    </xf>
    <xf numFmtId="0" fontId="11" fillId="4" borderId="246" xfId="0" applyFont="1" applyFill="1" applyBorder="1" applyAlignment="1">
      <alignment horizontal="center" vertical="center"/>
    </xf>
    <xf numFmtId="0" fontId="11" fillId="4" borderId="224" xfId="0" applyFont="1" applyFill="1" applyBorder="1" applyAlignment="1">
      <alignment horizontal="center" vertical="center"/>
    </xf>
    <xf numFmtId="1" fontId="11" fillId="0" borderId="197" xfId="0" applyNumberFormat="1" applyFont="1" applyBorder="1" applyAlignment="1">
      <alignment horizontal="center" vertical="center"/>
    </xf>
    <xf numFmtId="1" fontId="11" fillId="0" borderId="188" xfId="0" applyNumberFormat="1" applyFont="1" applyBorder="1" applyAlignment="1">
      <alignment horizontal="center" vertical="center"/>
    </xf>
    <xf numFmtId="2" fontId="63" fillId="21" borderId="35" xfId="0" applyNumberFormat="1" applyFont="1" applyFill="1" applyBorder="1" applyAlignment="1">
      <alignment horizontal="center" vertical="center"/>
    </xf>
    <xf numFmtId="2" fontId="63" fillId="21" borderId="56" xfId="0" applyNumberFormat="1" applyFont="1" applyFill="1" applyBorder="1" applyAlignment="1">
      <alignment horizontal="center" vertical="center"/>
    </xf>
    <xf numFmtId="1" fontId="11" fillId="0" borderId="231" xfId="0" applyNumberFormat="1" applyFont="1" applyBorder="1" applyAlignment="1">
      <alignment horizontal="center" vertical="center"/>
    </xf>
    <xf numFmtId="1" fontId="11" fillId="0" borderId="232" xfId="0" applyNumberFormat="1" applyFont="1" applyBorder="1" applyAlignment="1">
      <alignment horizontal="center" vertical="center"/>
    </xf>
    <xf numFmtId="2" fontId="20" fillId="20" borderId="216" xfId="0" applyNumberFormat="1" applyFont="1" applyFill="1" applyBorder="1" applyAlignment="1">
      <alignment horizontal="center" vertical="center"/>
    </xf>
    <xf numFmtId="2" fontId="20" fillId="20" borderId="217" xfId="0" applyNumberFormat="1" applyFont="1" applyFill="1" applyBorder="1" applyAlignment="1">
      <alignment horizontal="center" vertical="center"/>
    </xf>
    <xf numFmtId="2" fontId="20" fillId="20" borderId="232" xfId="0" applyNumberFormat="1" applyFont="1" applyFill="1" applyBorder="1" applyAlignment="1">
      <alignment horizontal="center" vertical="center"/>
    </xf>
    <xf numFmtId="2" fontId="20" fillId="20" borderId="233" xfId="0" applyNumberFormat="1" applyFont="1" applyFill="1" applyBorder="1" applyAlignment="1">
      <alignment horizontal="center" vertical="center"/>
    </xf>
    <xf numFmtId="2" fontId="20" fillId="20" borderId="188" xfId="0" applyNumberFormat="1" applyFont="1" applyFill="1" applyBorder="1" applyAlignment="1">
      <alignment horizontal="center" vertical="center"/>
    </xf>
    <xf numFmtId="2" fontId="20" fillId="20" borderId="189" xfId="0" applyNumberFormat="1" applyFont="1" applyFill="1" applyBorder="1" applyAlignment="1">
      <alignment horizontal="center" vertical="center"/>
    </xf>
    <xf numFmtId="2" fontId="63" fillId="21" borderId="32" xfId="0" applyNumberFormat="1" applyFont="1" applyFill="1" applyBorder="1" applyAlignment="1">
      <alignment horizontal="center" vertical="center"/>
    </xf>
    <xf numFmtId="2" fontId="63" fillId="21" borderId="28" xfId="0" applyNumberFormat="1" applyFont="1" applyFill="1" applyBorder="1" applyAlignment="1">
      <alignment horizontal="center" vertical="center"/>
    </xf>
    <xf numFmtId="2" fontId="63" fillId="21" borderId="6" xfId="0" applyNumberFormat="1" applyFont="1" applyFill="1" applyBorder="1" applyAlignment="1">
      <alignment horizontal="center" vertical="center"/>
    </xf>
    <xf numFmtId="0" fontId="50" fillId="0" borderId="4" xfId="0" applyFont="1" applyBorder="1" applyAlignment="1">
      <alignment horizontal="center" vertical="center" wrapText="1"/>
    </xf>
    <xf numFmtId="0" fontId="36" fillId="10" borderId="32" xfId="5" applyFont="1" applyFill="1" applyBorder="1" applyAlignment="1" applyProtection="1">
      <alignment horizontal="center" vertical="center"/>
      <protection locked="0"/>
    </xf>
    <xf numFmtId="0" fontId="36" fillId="10" borderId="53" xfId="5" applyFont="1" applyFill="1" applyBorder="1" applyAlignment="1" applyProtection="1">
      <alignment horizontal="center" vertical="center"/>
      <protection locked="0"/>
    </xf>
    <xf numFmtId="0" fontId="36" fillId="10" borderId="16" xfId="5" applyFont="1" applyFill="1" applyBorder="1" applyAlignment="1" applyProtection="1">
      <alignment horizontal="center" vertical="center"/>
      <protection locked="0"/>
    </xf>
    <xf numFmtId="0" fontId="36" fillId="10" borderId="47" xfId="5" applyFont="1" applyFill="1" applyBorder="1" applyAlignment="1" applyProtection="1">
      <alignment horizontal="center" vertical="center"/>
      <protection locked="0"/>
    </xf>
    <xf numFmtId="2" fontId="14" fillId="21" borderId="85" xfId="0" applyNumberFormat="1" applyFont="1" applyFill="1" applyBorder="1" applyAlignment="1">
      <alignment horizontal="center" vertical="center" wrapText="1"/>
    </xf>
    <xf numFmtId="2" fontId="14" fillId="21" borderId="84" xfId="0" applyNumberFormat="1" applyFont="1" applyFill="1" applyBorder="1" applyAlignment="1">
      <alignment horizontal="center" vertical="center" wrapText="1"/>
    </xf>
    <xf numFmtId="2" fontId="14" fillId="21" borderId="80" xfId="0" applyNumberFormat="1"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6" fillId="2" borderId="1" xfId="0" applyFont="1" applyFill="1" applyBorder="1" applyAlignment="1">
      <alignment horizontal="center"/>
    </xf>
    <xf numFmtId="0" fontId="11" fillId="10" borderId="10" xfId="0" applyFont="1" applyFill="1" applyBorder="1" applyAlignment="1">
      <alignment horizontal="center" vertical="center"/>
    </xf>
    <xf numFmtId="0" fontId="11" fillId="10" borderId="6" xfId="0" applyFont="1" applyFill="1" applyBorder="1" applyAlignment="1">
      <alignment horizontal="center" vertical="center"/>
    </xf>
    <xf numFmtId="0" fontId="11" fillId="10" borderId="11" xfId="0" applyFont="1" applyFill="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21" fillId="18" borderId="10" xfId="0" applyFont="1" applyFill="1" applyBorder="1" applyAlignment="1">
      <alignment horizontal="center" vertical="center"/>
    </xf>
    <xf numFmtId="0" fontId="21" fillId="18" borderId="6" xfId="0" applyFont="1" applyFill="1" applyBorder="1" applyAlignment="1">
      <alignment horizontal="center" vertical="center"/>
    </xf>
    <xf numFmtId="0" fontId="21" fillId="18" borderId="12" xfId="0" applyFont="1" applyFill="1" applyBorder="1" applyAlignment="1">
      <alignment horizontal="center" vertical="center"/>
    </xf>
    <xf numFmtId="0" fontId="21" fillId="18" borderId="13" xfId="0" applyFont="1" applyFill="1" applyBorder="1" applyAlignment="1">
      <alignment horizontal="center" vertical="center"/>
    </xf>
    <xf numFmtId="0" fontId="21" fillId="18" borderId="11" xfId="0" applyFont="1" applyFill="1" applyBorder="1" applyAlignment="1">
      <alignment horizontal="center" vertical="center"/>
    </xf>
    <xf numFmtId="0" fontId="21" fillId="18" borderId="14" xfId="0" applyFont="1" applyFill="1" applyBorder="1" applyAlignment="1">
      <alignment horizontal="center" vertical="center"/>
    </xf>
    <xf numFmtId="2" fontId="14" fillId="17" borderId="45" xfId="0" applyNumberFormat="1" applyFont="1" applyFill="1" applyBorder="1" applyAlignment="1">
      <alignment horizontal="center" vertical="center"/>
    </xf>
    <xf numFmtId="2" fontId="14" fillId="17" borderId="46" xfId="0" applyNumberFormat="1" applyFont="1" applyFill="1" applyBorder="1" applyAlignment="1">
      <alignment horizontal="center" vertical="center"/>
    </xf>
    <xf numFmtId="2" fontId="14" fillId="17" borderId="48" xfId="0" applyNumberFormat="1" applyFont="1" applyFill="1" applyBorder="1" applyAlignment="1">
      <alignment horizontal="center" vertical="center"/>
    </xf>
    <xf numFmtId="2" fontId="14" fillId="17" borderId="50" xfId="0" applyNumberFormat="1" applyFont="1" applyFill="1" applyBorder="1" applyAlignment="1">
      <alignment horizontal="center" vertical="center"/>
    </xf>
    <xf numFmtId="2" fontId="14" fillId="17" borderId="51" xfId="0" applyNumberFormat="1" applyFont="1" applyFill="1" applyBorder="1" applyAlignment="1">
      <alignment horizontal="center" vertical="center"/>
    </xf>
    <xf numFmtId="2" fontId="14" fillId="17" borderId="54" xfId="0" applyNumberFormat="1" applyFont="1" applyFill="1" applyBorder="1" applyAlignment="1">
      <alignment horizontal="center" vertical="center"/>
    </xf>
    <xf numFmtId="0" fontId="8" fillId="0" borderId="8" xfId="0" applyFont="1" applyBorder="1" applyAlignment="1">
      <alignment horizontal="center" shrinkToFit="1"/>
    </xf>
    <xf numFmtId="0" fontId="8" fillId="0" borderId="126" xfId="0" applyFont="1" applyBorder="1" applyAlignment="1">
      <alignment horizontal="center" shrinkToFit="1"/>
    </xf>
    <xf numFmtId="0" fontId="8" fillId="0" borderId="6" xfId="0" applyFont="1" applyBorder="1" applyAlignment="1">
      <alignment horizontal="center" shrinkToFit="1"/>
    </xf>
    <xf numFmtId="0" fontId="8" fillId="0" borderId="39" xfId="0" applyFont="1" applyBorder="1" applyAlignment="1">
      <alignment horizontal="center" shrinkToFit="1"/>
    </xf>
    <xf numFmtId="0" fontId="9" fillId="0" borderId="6" xfId="0" applyFont="1" applyBorder="1" applyAlignment="1">
      <alignment horizontal="center" shrinkToFit="1"/>
    </xf>
    <xf numFmtId="0" fontId="9" fillId="0" borderId="39" xfId="0" applyFont="1" applyBorder="1" applyAlignment="1">
      <alignment horizontal="center" shrinkToFit="1"/>
    </xf>
    <xf numFmtId="165" fontId="0" fillId="0" borderId="6" xfId="0" applyNumberFormat="1" applyBorder="1" applyAlignment="1">
      <alignment horizontal="center" shrinkToFit="1"/>
    </xf>
    <xf numFmtId="165" fontId="0" fillId="0" borderId="39" xfId="0" applyNumberFormat="1" applyBorder="1" applyAlignment="1">
      <alignment horizontal="center" shrinkToFit="1"/>
    </xf>
    <xf numFmtId="165" fontId="0" fillId="0" borderId="13" xfId="0" applyNumberFormat="1" applyBorder="1" applyAlignment="1">
      <alignment horizontal="center" shrinkToFit="1"/>
    </xf>
    <xf numFmtId="165" fontId="0" fillId="0" borderId="70" xfId="0" applyNumberFormat="1" applyBorder="1" applyAlignment="1">
      <alignment horizontal="center" shrinkToFit="1"/>
    </xf>
    <xf numFmtId="0" fontId="11" fillId="6" borderId="10" xfId="0" applyFont="1" applyFill="1" applyBorder="1" applyAlignment="1">
      <alignment horizontal="center" vertical="center"/>
    </xf>
    <xf numFmtId="0" fontId="11" fillId="6" borderId="6" xfId="0" applyFont="1" applyFill="1" applyBorder="1" applyAlignment="1">
      <alignment horizontal="center" vertical="center"/>
    </xf>
    <xf numFmtId="0" fontId="11" fillId="7" borderId="6" xfId="0" applyFont="1" applyFill="1" applyBorder="1" applyAlignment="1">
      <alignment horizontal="center" vertical="center"/>
    </xf>
    <xf numFmtId="0" fontId="17" fillId="8" borderId="6" xfId="0" applyFont="1" applyFill="1" applyBorder="1" applyAlignment="1">
      <alignment horizontal="center" vertical="center"/>
    </xf>
    <xf numFmtId="0" fontId="16" fillId="9" borderId="6" xfId="0" applyFont="1" applyFill="1" applyBorder="1" applyAlignment="1">
      <alignment horizontal="center" vertical="center"/>
    </xf>
    <xf numFmtId="0" fontId="16" fillId="9" borderId="11" xfId="0" applyFont="1" applyFill="1" applyBorder="1" applyAlignment="1">
      <alignment horizontal="center" vertical="center"/>
    </xf>
    <xf numFmtId="166" fontId="11" fillId="10" borderId="226" xfId="0" applyNumberFormat="1" applyFont="1" applyFill="1" applyBorder="1" applyAlignment="1">
      <alignment horizontal="center" vertical="center"/>
    </xf>
    <xf numFmtId="166" fontId="11" fillId="10" borderId="225" xfId="0" applyNumberFormat="1" applyFont="1" applyFill="1" applyBorder="1" applyAlignment="1">
      <alignment horizontal="center" vertical="center"/>
    </xf>
    <xf numFmtId="0" fontId="36" fillId="10" borderId="225" xfId="5" applyFont="1" applyFill="1" applyBorder="1" applyAlignment="1" applyProtection="1">
      <alignment horizontal="center" vertical="center"/>
      <protection locked="0"/>
    </xf>
    <xf numFmtId="0" fontId="36" fillId="10" borderId="219" xfId="5" applyFont="1" applyFill="1" applyBorder="1" applyAlignment="1" applyProtection="1">
      <alignment horizontal="center" vertical="center"/>
      <protection locked="0"/>
    </xf>
    <xf numFmtId="166" fontId="11" fillId="10" borderId="227" xfId="0" applyNumberFormat="1" applyFont="1" applyFill="1" applyBorder="1" applyAlignment="1">
      <alignment horizontal="center" vertical="center"/>
    </xf>
    <xf numFmtId="166" fontId="11" fillId="10" borderId="228" xfId="0" applyNumberFormat="1" applyFont="1" applyFill="1" applyBorder="1" applyAlignment="1">
      <alignment horizontal="center" vertical="center"/>
    </xf>
    <xf numFmtId="0" fontId="36" fillId="10" borderId="228" xfId="5" applyFont="1" applyFill="1" applyBorder="1" applyAlignment="1" applyProtection="1">
      <alignment horizontal="center" vertical="center"/>
      <protection locked="0"/>
    </xf>
    <xf numFmtId="0" fontId="36" fillId="10" borderId="218" xfId="5" applyFont="1" applyFill="1" applyBorder="1" applyAlignment="1" applyProtection="1">
      <alignment horizontal="center" vertical="center"/>
      <protection locked="0"/>
    </xf>
    <xf numFmtId="0" fontId="11" fillId="4" borderId="247" xfId="0" applyFont="1" applyFill="1" applyBorder="1" applyAlignment="1">
      <alignment horizontal="center" vertical="center"/>
    </xf>
    <xf numFmtId="0" fontId="11" fillId="4" borderId="248" xfId="0" applyFont="1" applyFill="1" applyBorder="1" applyAlignment="1">
      <alignment horizontal="center" vertical="center"/>
    </xf>
    <xf numFmtId="0" fontId="11" fillId="4" borderId="249" xfId="0" applyFont="1" applyFill="1" applyBorder="1" applyAlignment="1">
      <alignment horizontal="center" vertical="center"/>
    </xf>
    <xf numFmtId="166" fontId="11" fillId="10" borderId="194" xfId="0" applyNumberFormat="1" applyFont="1" applyFill="1" applyBorder="1" applyAlignment="1">
      <alignment horizontal="center" vertical="center"/>
    </xf>
    <xf numFmtId="166" fontId="11" fillId="10" borderId="109" xfId="0" applyNumberFormat="1" applyFont="1" applyFill="1" applyBorder="1" applyAlignment="1">
      <alignment horizontal="center" vertical="center"/>
    </xf>
    <xf numFmtId="0" fontId="36" fillId="10" borderId="109" xfId="5" applyFont="1" applyFill="1" applyBorder="1" applyAlignment="1" applyProtection="1">
      <alignment horizontal="center" vertical="center"/>
      <protection locked="0"/>
    </xf>
    <xf numFmtId="0" fontId="36" fillId="10" borderId="221" xfId="5" applyFont="1" applyFill="1" applyBorder="1" applyAlignment="1" applyProtection="1">
      <alignment horizontal="center" vertical="center"/>
      <protection locked="0"/>
    </xf>
    <xf numFmtId="0" fontId="11" fillId="10" borderId="55" xfId="0" applyFont="1" applyFill="1" applyBorder="1" applyAlignment="1">
      <alignment horizontal="center" vertical="center" wrapText="1"/>
    </xf>
    <xf numFmtId="0" fontId="11" fillId="10" borderId="56" xfId="0" applyFont="1" applyFill="1" applyBorder="1" applyAlignment="1">
      <alignment horizontal="center" vertical="center" wrapText="1"/>
    </xf>
    <xf numFmtId="0" fontId="50" fillId="0" borderId="34"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6" xfId="0" applyFont="1" applyBorder="1" applyAlignment="1">
      <alignment horizontal="center" vertical="center" wrapText="1"/>
    </xf>
    <xf numFmtId="166" fontId="11" fillId="10" borderId="45" xfId="0" applyNumberFormat="1" applyFont="1" applyFill="1" applyBorder="1" applyAlignment="1">
      <alignment horizontal="center" vertical="center"/>
    </xf>
    <xf numFmtId="166" fontId="11" fillId="10" borderId="46" xfId="0" applyNumberFormat="1" applyFont="1" applyFill="1" applyBorder="1" applyAlignment="1">
      <alignment horizontal="center" vertical="center"/>
    </xf>
    <xf numFmtId="166" fontId="11" fillId="10" borderId="29" xfId="0" applyNumberFormat="1" applyFont="1" applyFill="1" applyBorder="1" applyAlignment="1">
      <alignment horizontal="center" vertical="center"/>
    </xf>
    <xf numFmtId="166" fontId="11" fillId="10" borderId="4" xfId="0" applyNumberFormat="1" applyFont="1" applyFill="1" applyBorder="1" applyAlignment="1">
      <alignment horizontal="center" vertical="center"/>
    </xf>
    <xf numFmtId="166" fontId="11" fillId="10" borderId="0" xfId="0" applyNumberFormat="1" applyFont="1" applyFill="1" applyAlignment="1">
      <alignment horizontal="center" vertical="center"/>
    </xf>
    <xf numFmtId="166" fontId="11" fillId="10" borderId="44" xfId="0" applyNumberFormat="1" applyFont="1" applyFill="1" applyBorder="1" applyAlignment="1">
      <alignment horizontal="center" vertical="center"/>
    </xf>
    <xf numFmtId="166" fontId="11" fillId="10" borderId="101" xfId="0" applyNumberFormat="1" applyFont="1" applyFill="1" applyBorder="1" applyAlignment="1">
      <alignment horizontal="center" vertical="center"/>
    </xf>
    <xf numFmtId="166" fontId="11" fillId="10" borderId="104" xfId="0" applyNumberFormat="1" applyFont="1" applyFill="1" applyBorder="1" applyAlignment="1">
      <alignment horizontal="center" vertical="center"/>
    </xf>
    <xf numFmtId="166" fontId="11" fillId="10" borderId="187" xfId="0" applyNumberFormat="1" applyFont="1" applyFill="1" applyBorder="1" applyAlignment="1">
      <alignment horizontal="center" vertical="center"/>
    </xf>
    <xf numFmtId="166" fontId="11" fillId="10" borderId="163" xfId="0" applyNumberFormat="1" applyFont="1" applyFill="1" applyBorder="1" applyAlignment="1">
      <alignment horizontal="center" vertical="center"/>
    </xf>
    <xf numFmtId="166" fontId="11" fillId="10" borderId="102" xfId="0" applyNumberFormat="1" applyFont="1" applyFill="1" applyBorder="1" applyAlignment="1">
      <alignment horizontal="center" vertical="center"/>
    </xf>
    <xf numFmtId="166" fontId="11" fillId="10" borderId="195" xfId="0" applyNumberFormat="1" applyFont="1" applyFill="1" applyBorder="1" applyAlignment="1">
      <alignment horizontal="center" vertical="center"/>
    </xf>
    <xf numFmtId="166" fontId="11" fillId="10" borderId="105" xfId="0" applyNumberFormat="1" applyFont="1" applyFill="1" applyBorder="1" applyAlignment="1">
      <alignment horizontal="center" vertical="center"/>
    </xf>
    <xf numFmtId="0" fontId="36" fillId="10" borderId="102" xfId="5" applyFont="1" applyFill="1" applyBorder="1" applyAlignment="1" applyProtection="1">
      <alignment horizontal="center" vertical="center"/>
      <protection locked="0"/>
    </xf>
    <xf numFmtId="0" fontId="36" fillId="10" borderId="103" xfId="5" applyFont="1" applyFill="1" applyBorder="1" applyAlignment="1" applyProtection="1">
      <alignment horizontal="center" vertical="center"/>
      <protection locked="0"/>
    </xf>
    <xf numFmtId="0" fontId="36" fillId="10" borderId="105" xfId="5" applyFont="1" applyFill="1" applyBorder="1" applyAlignment="1" applyProtection="1">
      <alignment horizontal="center" vertical="center"/>
      <protection locked="0"/>
    </xf>
    <xf numFmtId="0" fontId="36" fillId="10" borderId="106" xfId="5" applyFont="1" applyFill="1" applyBorder="1" applyAlignment="1" applyProtection="1">
      <alignment horizontal="center" vertical="center"/>
      <protection locked="0"/>
    </xf>
    <xf numFmtId="166" fontId="11" fillId="10" borderId="161" xfId="0" applyNumberFormat="1" applyFont="1" applyFill="1" applyBorder="1" applyAlignment="1">
      <alignment horizontal="center" vertical="center"/>
    </xf>
    <xf numFmtId="166" fontId="11" fillId="10" borderId="72" xfId="0" applyNumberFormat="1" applyFont="1" applyFill="1" applyBorder="1" applyAlignment="1">
      <alignment horizontal="center" vertical="center"/>
    </xf>
    <xf numFmtId="0" fontId="36" fillId="10" borderId="99" xfId="5" applyFont="1" applyFill="1" applyBorder="1" applyAlignment="1" applyProtection="1">
      <alignment horizontal="center" vertical="center"/>
      <protection locked="0"/>
    </xf>
    <xf numFmtId="0" fontId="36" fillId="10" borderId="100" xfId="5" applyFont="1" applyFill="1" applyBorder="1" applyAlignment="1" applyProtection="1">
      <alignment horizontal="center" vertical="center"/>
      <protection locked="0"/>
    </xf>
    <xf numFmtId="166" fontId="11" fillId="10" borderId="221" xfId="0" applyNumberFormat="1" applyFont="1" applyFill="1" applyBorder="1" applyAlignment="1">
      <alignment horizontal="center" vertical="center"/>
    </xf>
    <xf numFmtId="0" fontId="36" fillId="10" borderId="181" xfId="5" applyFont="1" applyFill="1" applyBorder="1" applyAlignment="1" applyProtection="1">
      <alignment horizontal="center" vertical="center"/>
      <protection locked="0"/>
    </xf>
    <xf numFmtId="0" fontId="36" fillId="10" borderId="108" xfId="5" applyFont="1" applyFill="1" applyBorder="1" applyAlignment="1" applyProtection="1">
      <alignment horizontal="center" vertical="center"/>
      <protection locked="0"/>
    </xf>
    <xf numFmtId="0" fontId="36" fillId="10" borderId="268" xfId="5" applyFont="1" applyFill="1" applyBorder="1" applyAlignment="1" applyProtection="1">
      <alignment horizontal="center" vertical="center"/>
      <protection locked="0"/>
    </xf>
    <xf numFmtId="0" fontId="36" fillId="10" borderId="110" xfId="5" applyFont="1" applyFill="1" applyBorder="1" applyAlignment="1" applyProtection="1">
      <alignment horizontal="center" vertical="center"/>
      <protection locked="0"/>
    </xf>
    <xf numFmtId="0" fontId="36" fillId="10" borderId="198" xfId="5" applyFont="1" applyFill="1" applyBorder="1" applyAlignment="1" applyProtection="1">
      <alignment horizontal="center" vertical="center"/>
      <protection locked="0"/>
    </xf>
    <xf numFmtId="0" fontId="36" fillId="10" borderId="31" xfId="5" applyFont="1" applyFill="1" applyBorder="1" applyAlignment="1" applyProtection="1">
      <alignment horizontal="center" vertical="center"/>
      <protection locked="0"/>
    </xf>
    <xf numFmtId="0" fontId="36" fillId="10" borderId="196" xfId="5" applyFont="1" applyFill="1" applyBorder="1" applyAlignment="1" applyProtection="1">
      <alignment horizontal="center" vertical="center"/>
      <protection locked="0"/>
    </xf>
    <xf numFmtId="0" fontId="36" fillId="10" borderId="190" xfId="5" applyFont="1" applyFill="1" applyBorder="1" applyAlignment="1" applyProtection="1">
      <alignment horizontal="center" vertical="center"/>
      <protection locked="0"/>
    </xf>
    <xf numFmtId="166" fontId="11" fillId="10" borderId="197" xfId="0" applyNumberFormat="1" applyFont="1" applyFill="1" applyBorder="1" applyAlignment="1">
      <alignment horizontal="center" vertical="center"/>
    </xf>
    <xf numFmtId="166" fontId="11" fillId="10" borderId="188" xfId="0" applyNumberFormat="1" applyFont="1" applyFill="1" applyBorder="1" applyAlignment="1">
      <alignment horizontal="center" vertical="center"/>
    </xf>
    <xf numFmtId="0" fontId="36" fillId="10" borderId="188" xfId="5" applyFont="1" applyFill="1" applyBorder="1" applyAlignment="1" applyProtection="1">
      <alignment horizontal="center" vertical="center"/>
      <protection locked="0"/>
    </xf>
    <xf numFmtId="0" fontId="36" fillId="10" borderId="189" xfId="5" applyFont="1" applyFill="1" applyBorder="1" applyAlignment="1" applyProtection="1">
      <alignment horizontal="center" vertical="center"/>
      <protection locked="0"/>
    </xf>
    <xf numFmtId="2" fontId="14" fillId="21" borderId="254" xfId="0" applyNumberFormat="1" applyFont="1" applyFill="1" applyBorder="1" applyAlignment="1">
      <alignment horizontal="center" vertical="center"/>
    </xf>
    <xf numFmtId="2" fontId="14" fillId="21" borderId="274" xfId="0" applyNumberFormat="1" applyFont="1" applyFill="1" applyBorder="1" applyAlignment="1">
      <alignment horizontal="center" vertical="center"/>
    </xf>
    <xf numFmtId="2" fontId="14" fillId="21" borderId="275" xfId="0" applyNumberFormat="1" applyFont="1" applyFill="1" applyBorder="1" applyAlignment="1">
      <alignment horizontal="center" vertical="center"/>
    </xf>
    <xf numFmtId="2" fontId="14" fillId="21" borderId="253" xfId="0" applyNumberFormat="1" applyFont="1" applyFill="1" applyBorder="1" applyAlignment="1">
      <alignment horizontal="center" vertical="center"/>
    </xf>
    <xf numFmtId="2" fontId="14" fillId="21" borderId="122" xfId="0" applyNumberFormat="1" applyFont="1" applyFill="1" applyBorder="1" applyAlignment="1">
      <alignment horizontal="center" vertical="center"/>
    </xf>
    <xf numFmtId="2" fontId="14" fillId="21" borderId="200" xfId="0" applyNumberFormat="1" applyFont="1" applyFill="1" applyBorder="1" applyAlignment="1">
      <alignment horizontal="center" vertical="center"/>
    </xf>
    <xf numFmtId="166" fontId="11" fillId="10" borderId="34" xfId="0" applyNumberFormat="1" applyFont="1" applyFill="1" applyBorder="1" applyAlignment="1">
      <alignment horizontal="center" vertical="center"/>
    </xf>
    <xf numFmtId="166" fontId="11" fillId="10" borderId="35" xfId="0" applyNumberFormat="1" applyFont="1" applyFill="1" applyBorder="1" applyAlignment="1">
      <alignment horizontal="center" vertical="center"/>
    </xf>
    <xf numFmtId="166" fontId="11" fillId="10" borderId="56" xfId="0" applyNumberFormat="1" applyFont="1" applyFill="1" applyBorder="1" applyAlignment="1">
      <alignment horizontal="center" vertical="center"/>
    </xf>
    <xf numFmtId="2" fontId="64" fillId="20" borderId="18" xfId="0" applyNumberFormat="1" applyFont="1" applyFill="1" applyBorder="1" applyAlignment="1">
      <alignment horizontal="center" vertical="center" wrapText="1"/>
    </xf>
    <xf numFmtId="0" fontId="36" fillId="10" borderId="13" xfId="5" applyFont="1" applyFill="1" applyBorder="1" applyAlignment="1" applyProtection="1">
      <alignment horizontal="center" vertical="center"/>
      <protection locked="0"/>
    </xf>
    <xf numFmtId="0" fontId="36" fillId="10" borderId="70" xfId="5" applyFont="1" applyFill="1" applyBorder="1" applyAlignment="1" applyProtection="1">
      <alignment horizontal="center" vertical="center"/>
      <protection locked="0"/>
    </xf>
    <xf numFmtId="2" fontId="20" fillId="20" borderId="182" xfId="0" applyNumberFormat="1" applyFont="1" applyFill="1" applyBorder="1" applyAlignment="1">
      <alignment horizontal="center" vertical="center"/>
    </xf>
    <xf numFmtId="2" fontId="64" fillId="20" borderId="18" xfId="0" applyNumberFormat="1" applyFont="1" applyFill="1" applyBorder="1" applyAlignment="1">
      <alignment horizontal="center" vertical="center"/>
    </xf>
    <xf numFmtId="2" fontId="64" fillId="20" borderId="37" xfId="0" applyNumberFormat="1" applyFont="1" applyFill="1" applyBorder="1" applyAlignment="1">
      <alignment horizontal="center" vertical="center"/>
    </xf>
    <xf numFmtId="0" fontId="11" fillId="10" borderId="8"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13" xfId="0" applyFont="1" applyFill="1" applyBorder="1" applyAlignment="1">
      <alignment horizontal="center" vertical="center"/>
    </xf>
    <xf numFmtId="0" fontId="11" fillId="10" borderId="14" xfId="0" applyFont="1" applyFill="1" applyBorder="1" applyAlignment="1">
      <alignment horizontal="center" vertical="center"/>
    </xf>
    <xf numFmtId="0" fontId="61" fillId="10" borderId="8" xfId="0" applyFont="1" applyFill="1" applyBorder="1" applyAlignment="1">
      <alignment horizontal="center" vertical="center"/>
    </xf>
    <xf numFmtId="0" fontId="61" fillId="10" borderId="6" xfId="0" applyFont="1" applyFill="1" applyBorder="1" applyAlignment="1">
      <alignment horizontal="center" vertical="center"/>
    </xf>
    <xf numFmtId="0" fontId="61" fillId="10" borderId="13" xfId="0" applyFont="1" applyFill="1" applyBorder="1" applyAlignment="1">
      <alignment horizontal="center" vertical="center"/>
    </xf>
    <xf numFmtId="0" fontId="11" fillId="10" borderId="7" xfId="0" applyFont="1" applyFill="1" applyBorder="1" applyAlignment="1">
      <alignment horizontal="center" vertical="center"/>
    </xf>
    <xf numFmtId="0" fontId="11" fillId="10" borderId="12" xfId="0" applyFont="1" applyFill="1" applyBorder="1" applyAlignment="1">
      <alignment horizontal="center" vertical="center"/>
    </xf>
    <xf numFmtId="0" fontId="11" fillId="10" borderId="237"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239" xfId="0" applyFont="1" applyFill="1" applyBorder="1" applyAlignment="1">
      <alignment horizontal="center" vertical="center" wrapText="1"/>
    </xf>
    <xf numFmtId="0" fontId="11" fillId="10" borderId="154" xfId="0" applyFont="1" applyFill="1" applyBorder="1" applyAlignment="1">
      <alignment horizontal="center" vertical="center" wrapText="1"/>
    </xf>
    <xf numFmtId="0" fontId="11" fillId="10" borderId="238" xfId="0" applyFont="1" applyFill="1" applyBorder="1" applyAlignment="1">
      <alignment horizontal="center" vertical="center" wrapText="1"/>
    </xf>
    <xf numFmtId="0" fontId="11" fillId="10" borderId="240" xfId="0" applyFont="1" applyFill="1" applyBorder="1" applyAlignment="1">
      <alignment horizontal="center" vertical="center" wrapText="1"/>
    </xf>
    <xf numFmtId="0" fontId="26" fillId="10" borderId="87" xfId="0" applyFont="1" applyFill="1" applyBorder="1" applyAlignment="1">
      <alignment horizontal="center" vertical="center" wrapText="1"/>
    </xf>
    <xf numFmtId="0" fontId="26" fillId="10" borderId="49"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4" borderId="234" xfId="0" applyFont="1" applyFill="1" applyBorder="1" applyAlignment="1">
      <alignment horizontal="center" vertical="center"/>
    </xf>
    <xf numFmtId="0" fontId="11" fillId="4" borderId="235" xfId="0" applyFont="1" applyFill="1" applyBorder="1" applyAlignment="1">
      <alignment horizontal="center" vertical="center"/>
    </xf>
    <xf numFmtId="0" fontId="11" fillId="4" borderId="229" xfId="0" applyFont="1" applyFill="1" applyBorder="1" applyAlignment="1">
      <alignment horizontal="center" vertical="center"/>
    </xf>
    <xf numFmtId="0" fontId="11" fillId="4" borderId="220" xfId="0" applyFont="1" applyFill="1" applyBorder="1" applyAlignment="1">
      <alignment horizontal="center" vertical="center"/>
    </xf>
    <xf numFmtId="0" fontId="11" fillId="4" borderId="241" xfId="0" applyFont="1" applyFill="1" applyBorder="1" applyAlignment="1">
      <alignment horizontal="center" vertical="center"/>
    </xf>
    <xf numFmtId="0" fontId="11" fillId="4" borderId="242" xfId="0" applyFont="1" applyFill="1" applyBorder="1" applyAlignment="1">
      <alignment horizontal="center" vertical="center"/>
    </xf>
    <xf numFmtId="0" fontId="11" fillId="4" borderId="243" xfId="0" applyFont="1" applyFill="1" applyBorder="1" applyAlignment="1">
      <alignment horizontal="center" vertical="center"/>
    </xf>
    <xf numFmtId="0" fontId="11" fillId="4" borderId="236" xfId="0" applyFont="1" applyFill="1" applyBorder="1" applyAlignment="1">
      <alignment horizontal="center" vertical="center"/>
    </xf>
    <xf numFmtId="0" fontId="11" fillId="4" borderId="230" xfId="0" applyFont="1" applyFill="1" applyBorder="1" applyAlignment="1">
      <alignment horizontal="center" vertical="center"/>
    </xf>
    <xf numFmtId="0" fontId="12" fillId="0" borderId="35" xfId="0" applyFont="1" applyBorder="1" applyAlignment="1">
      <alignment horizontal="center"/>
    </xf>
    <xf numFmtId="0" fontId="19" fillId="21" borderId="2" xfId="0" applyFont="1" applyFill="1" applyBorder="1" applyAlignment="1">
      <alignment horizontal="center" vertical="center" wrapText="1"/>
    </xf>
    <xf numFmtId="0" fontId="19" fillId="21" borderId="3" xfId="0" applyFont="1" applyFill="1" applyBorder="1" applyAlignment="1">
      <alignment horizontal="center" vertical="center" wrapText="1"/>
    </xf>
    <xf numFmtId="0" fontId="19" fillId="21" borderId="0" xfId="0" applyFont="1" applyFill="1" applyAlignment="1">
      <alignment horizontal="center" vertical="center" wrapText="1"/>
    </xf>
    <xf numFmtId="0" fontId="19" fillId="21" borderId="5" xfId="0" applyFont="1" applyFill="1" applyBorder="1" applyAlignment="1">
      <alignment horizontal="center" vertical="center" wrapText="1"/>
    </xf>
    <xf numFmtId="0" fontId="19" fillId="21" borderId="35" xfId="0" applyFont="1" applyFill="1" applyBorder="1" applyAlignment="1">
      <alignment horizontal="center" vertical="center" wrapText="1"/>
    </xf>
    <xf numFmtId="0" fontId="19" fillId="21" borderId="36"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51" fillId="21" borderId="1" xfId="0" applyFont="1" applyFill="1" applyBorder="1" applyAlignment="1">
      <alignment horizontal="center" vertical="center" wrapText="1"/>
    </xf>
    <xf numFmtId="0" fontId="51" fillId="21" borderId="2" xfId="0" applyFont="1" applyFill="1" applyBorder="1" applyAlignment="1">
      <alignment horizontal="center" vertical="center" wrapText="1"/>
    </xf>
    <xf numFmtId="0" fontId="51" fillId="21" borderId="156" xfId="0" applyFont="1" applyFill="1" applyBorder="1" applyAlignment="1">
      <alignment horizontal="center" vertical="center" wrapText="1"/>
    </xf>
    <xf numFmtId="0" fontId="51" fillId="21" borderId="4" xfId="0" applyFont="1" applyFill="1" applyBorder="1" applyAlignment="1">
      <alignment horizontal="center" vertical="center" wrapText="1"/>
    </xf>
    <xf numFmtId="0" fontId="51" fillId="21" borderId="0" xfId="0" applyFont="1" applyFill="1" applyAlignment="1">
      <alignment horizontal="center" vertical="center" wrapText="1"/>
    </xf>
    <xf numFmtId="0" fontId="51" fillId="21" borderId="250" xfId="0" applyFont="1" applyFill="1" applyBorder="1" applyAlignment="1">
      <alignment horizontal="center" vertical="center" wrapText="1"/>
    </xf>
    <xf numFmtId="0" fontId="51" fillId="21" borderId="34" xfId="0" applyFont="1" applyFill="1" applyBorder="1" applyAlignment="1">
      <alignment horizontal="center" vertical="center" wrapText="1"/>
    </xf>
    <xf numFmtId="0" fontId="51" fillId="21" borderId="35" xfId="0" applyFont="1" applyFill="1" applyBorder="1" applyAlignment="1">
      <alignment horizontal="center" vertical="center" wrapText="1"/>
    </xf>
    <xf numFmtId="0" fontId="51" fillId="21" borderId="251" xfId="0" applyFont="1" applyFill="1" applyBorder="1" applyAlignment="1">
      <alignment horizontal="center" vertical="center" wrapText="1"/>
    </xf>
    <xf numFmtId="0" fontId="62" fillId="0" borderId="2"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0" xfId="0" applyFont="1" applyAlignment="1">
      <alignment horizontal="center" vertical="center" wrapText="1"/>
    </xf>
    <xf numFmtId="0" fontId="62" fillId="0" borderId="5"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6" xfId="0" applyFont="1" applyBorder="1" applyAlignment="1">
      <alignment horizontal="center" vertical="center" wrapText="1"/>
    </xf>
    <xf numFmtId="1" fontId="53" fillId="0" borderId="1" xfId="0" applyNumberFormat="1" applyFont="1" applyBorder="1" applyAlignment="1">
      <alignment horizontal="center" vertical="center" wrapText="1"/>
    </xf>
    <xf numFmtId="1" fontId="53" fillId="0" borderId="2" xfId="0" applyNumberFormat="1" applyFont="1" applyBorder="1" applyAlignment="1">
      <alignment horizontal="center" vertical="center" wrapText="1"/>
    </xf>
    <xf numFmtId="1" fontId="53" fillId="0" borderId="3" xfId="0" applyNumberFormat="1" applyFont="1" applyBorder="1" applyAlignment="1">
      <alignment horizontal="center" vertical="center" wrapText="1"/>
    </xf>
    <xf numFmtId="1" fontId="53" fillId="0" borderId="4" xfId="0" applyNumberFormat="1" applyFont="1" applyBorder="1" applyAlignment="1">
      <alignment horizontal="center" vertical="center" wrapText="1"/>
    </xf>
    <xf numFmtId="1" fontId="53" fillId="0" borderId="0" xfId="0" applyNumberFormat="1" applyFont="1" applyAlignment="1">
      <alignment horizontal="center" vertical="center" wrapText="1"/>
    </xf>
    <xf numFmtId="1" fontId="53" fillId="0" borderId="5" xfId="0" applyNumberFormat="1" applyFont="1" applyBorder="1" applyAlignment="1">
      <alignment horizontal="center" vertical="center" wrapText="1"/>
    </xf>
    <xf numFmtId="1" fontId="53" fillId="0" borderId="34" xfId="0" applyNumberFormat="1" applyFont="1" applyBorder="1" applyAlignment="1">
      <alignment horizontal="center" vertical="center" wrapText="1"/>
    </xf>
    <xf numFmtId="1" fontId="53" fillId="0" borderId="35" xfId="0" applyNumberFormat="1" applyFont="1" applyBorder="1" applyAlignment="1">
      <alignment horizontal="center" vertical="center" wrapText="1"/>
    </xf>
    <xf numFmtId="1" fontId="53" fillId="0" borderId="36" xfId="0" applyNumberFormat="1" applyFont="1" applyBorder="1" applyAlignment="1">
      <alignment horizontal="center" vertical="center" wrapText="1"/>
    </xf>
    <xf numFmtId="0" fontId="6" fillId="2" borderId="7" xfId="0" applyFont="1" applyFill="1" applyBorder="1" applyAlignment="1">
      <alignment horizont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6" fillId="2" borderId="6" xfId="0" applyFont="1" applyFill="1" applyBorder="1" applyAlignment="1">
      <alignment horizontal="center"/>
    </xf>
    <xf numFmtId="0" fontId="6" fillId="2" borderId="11" xfId="0" applyFont="1" applyFill="1" applyBorder="1" applyAlignment="1">
      <alignment horizontal="center"/>
    </xf>
    <xf numFmtId="0" fontId="11" fillId="6" borderId="11" xfId="0" applyFont="1" applyFill="1" applyBorder="1" applyAlignment="1">
      <alignment horizontal="center" vertical="center"/>
    </xf>
    <xf numFmtId="0" fontId="30" fillId="6" borderId="7" xfId="0" applyFont="1" applyFill="1" applyBorder="1" applyAlignment="1">
      <alignment horizontal="center" vertical="center"/>
    </xf>
    <xf numFmtId="0" fontId="30" fillId="6" borderId="8" xfId="0" applyFont="1" applyFill="1" applyBorder="1" applyAlignment="1">
      <alignment horizontal="center" vertical="center"/>
    </xf>
    <xf numFmtId="0" fontId="30" fillId="6" borderId="10" xfId="0" applyFont="1" applyFill="1" applyBorder="1" applyAlignment="1">
      <alignment horizontal="center" vertical="center"/>
    </xf>
    <xf numFmtId="0" fontId="30" fillId="6" borderId="6" xfId="0" applyFont="1" applyFill="1" applyBorder="1" applyAlignment="1">
      <alignment horizontal="center" vertical="center"/>
    </xf>
    <xf numFmtId="0" fontId="30" fillId="7" borderId="8" xfId="0" applyFont="1" applyFill="1" applyBorder="1" applyAlignment="1">
      <alignment horizontal="center" vertical="center"/>
    </xf>
    <xf numFmtId="0" fontId="30" fillId="7" borderId="6" xfId="0" applyFont="1" applyFill="1" applyBorder="1" applyAlignment="1">
      <alignment horizontal="center" vertical="center"/>
    </xf>
    <xf numFmtId="0" fontId="66" fillId="8" borderId="8" xfId="0" applyFont="1" applyFill="1" applyBorder="1" applyAlignment="1">
      <alignment horizontal="center" vertical="center"/>
    </xf>
    <xf numFmtId="0" fontId="66" fillId="8" borderId="6" xfId="0" applyFont="1" applyFill="1" applyBorder="1" applyAlignment="1">
      <alignment horizontal="center" vertical="center"/>
    </xf>
    <xf numFmtId="0" fontId="67" fillId="9" borderId="8" xfId="0" applyFont="1" applyFill="1" applyBorder="1" applyAlignment="1">
      <alignment horizontal="center" vertical="center"/>
    </xf>
    <xf numFmtId="0" fontId="67" fillId="9" borderId="9" xfId="0" applyFont="1" applyFill="1" applyBorder="1" applyAlignment="1">
      <alignment horizontal="center" vertical="center"/>
    </xf>
    <xf numFmtId="0" fontId="67" fillId="9" borderId="6" xfId="0" applyFont="1" applyFill="1" applyBorder="1" applyAlignment="1">
      <alignment horizontal="center" vertical="center"/>
    </xf>
    <xf numFmtId="0" fontId="67" fillId="9" borderId="11" xfId="0" applyFont="1" applyFill="1" applyBorder="1" applyAlignment="1">
      <alignment horizontal="center" vertical="center"/>
    </xf>
    <xf numFmtId="0" fontId="0" fillId="0" borderId="0" xfId="0" applyAlignment="1">
      <alignment horizontal="center"/>
    </xf>
    <xf numFmtId="0" fontId="59" fillId="2" borderId="1" xfId="0" applyFont="1" applyFill="1" applyBorder="1" applyAlignment="1">
      <alignment horizontal="center" vertical="center"/>
    </xf>
    <xf numFmtId="0" fontId="59" fillId="2" borderId="2"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34" xfId="0" applyFont="1" applyFill="1" applyBorder="1" applyAlignment="1">
      <alignment horizontal="center" vertical="center"/>
    </xf>
    <xf numFmtId="0" fontId="59" fillId="2" borderId="35" xfId="0" applyFont="1" applyFill="1" applyBorder="1" applyAlignment="1">
      <alignment horizontal="center" vertical="center"/>
    </xf>
    <xf numFmtId="0" fontId="59" fillId="2" borderId="36" xfId="0" applyFont="1" applyFill="1" applyBorder="1" applyAlignment="1">
      <alignment horizontal="center" vertical="center"/>
    </xf>
    <xf numFmtId="0" fontId="12" fillId="0" borderId="1" xfId="0" applyFont="1" applyBorder="1" applyAlignment="1">
      <alignment horizontal="center"/>
    </xf>
    <xf numFmtId="0" fontId="12" fillId="0" borderId="2" xfId="0" applyFont="1" applyBorder="1" applyAlignment="1">
      <alignment horizontal="center"/>
    </xf>
    <xf numFmtId="0" fontId="12" fillId="0" borderId="42" xfId="0" applyFont="1" applyBorder="1" applyAlignment="1">
      <alignment horizontal="center"/>
    </xf>
    <xf numFmtId="0" fontId="12" fillId="0" borderId="4" xfId="0" applyFont="1" applyBorder="1" applyAlignment="1">
      <alignment horizontal="center"/>
    </xf>
    <xf numFmtId="0" fontId="12" fillId="0" borderId="0" xfId="0" applyFont="1" applyAlignment="1">
      <alignment horizontal="center"/>
    </xf>
    <xf numFmtId="0" fontId="12" fillId="0" borderId="44" xfId="0" applyFont="1" applyBorder="1" applyAlignment="1">
      <alignment horizontal="center"/>
    </xf>
    <xf numFmtId="0" fontId="12" fillId="0" borderId="41" xfId="0" applyFont="1" applyBorder="1" applyAlignment="1">
      <alignment horizontal="center"/>
    </xf>
    <xf numFmtId="0" fontId="12" fillId="0" borderId="43"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7" fillId="15" borderId="4" xfId="0" applyFont="1" applyFill="1" applyBorder="1" applyAlignment="1">
      <alignment horizontal="center"/>
    </xf>
    <xf numFmtId="0" fontId="7" fillId="15" borderId="0" xfId="0" applyFont="1" applyFill="1" applyAlignment="1">
      <alignment horizontal="center"/>
    </xf>
    <xf numFmtId="0" fontId="7" fillId="15" borderId="44" xfId="0" applyFont="1" applyFill="1" applyBorder="1" applyAlignment="1">
      <alignment horizontal="center"/>
    </xf>
    <xf numFmtId="0" fontId="7" fillId="15" borderId="43" xfId="0" applyFont="1" applyFill="1" applyBorder="1" applyAlignment="1">
      <alignment horizontal="center"/>
    </xf>
    <xf numFmtId="0" fontId="7" fillId="15" borderId="5" xfId="0" applyFont="1" applyFill="1" applyBorder="1" applyAlignment="1">
      <alignment horizontal="center"/>
    </xf>
    <xf numFmtId="0" fontId="7" fillId="15" borderId="50" xfId="0" applyFont="1" applyFill="1" applyBorder="1" applyAlignment="1">
      <alignment horizontal="center" wrapText="1"/>
    </xf>
    <xf numFmtId="0" fontId="7" fillId="15" borderId="51" xfId="0" applyFont="1" applyFill="1" applyBorder="1" applyAlignment="1">
      <alignment horizontal="center" wrapText="1"/>
    </xf>
    <xf numFmtId="0" fontId="7" fillId="15" borderId="52" xfId="0" applyFont="1" applyFill="1" applyBorder="1" applyAlignment="1">
      <alignment horizontal="center" wrapText="1"/>
    </xf>
    <xf numFmtId="0" fontId="7" fillId="15" borderId="53" xfId="0" applyFont="1" applyFill="1" applyBorder="1" applyAlignment="1">
      <alignment horizontal="center" wrapText="1"/>
    </xf>
    <xf numFmtId="0" fontId="7" fillId="15" borderId="54" xfId="0" applyFont="1" applyFill="1" applyBorder="1" applyAlignment="1">
      <alignment horizontal="center" wrapText="1"/>
    </xf>
    <xf numFmtId="0" fontId="7" fillId="14" borderId="15" xfId="0" applyFont="1" applyFill="1" applyBorder="1" applyAlignment="1" applyProtection="1">
      <alignment horizontal="center"/>
      <protection locked="0"/>
    </xf>
    <xf numFmtId="0" fontId="7" fillId="14" borderId="16" xfId="0" applyFont="1" applyFill="1" applyBorder="1" applyAlignment="1" applyProtection="1">
      <alignment horizontal="center"/>
      <protection locked="0"/>
    </xf>
    <xf numFmtId="0" fontId="7" fillId="14" borderId="47" xfId="0" applyFont="1" applyFill="1" applyBorder="1" applyAlignment="1" applyProtection="1">
      <alignment horizontal="center"/>
      <protection locked="0"/>
    </xf>
    <xf numFmtId="0" fontId="7" fillId="14" borderId="46" xfId="0" applyFont="1" applyFill="1" applyBorder="1" applyAlignment="1" applyProtection="1">
      <alignment horizontal="center"/>
      <protection locked="0"/>
    </xf>
    <xf numFmtId="0" fontId="7" fillId="14" borderId="48" xfId="0" applyFont="1" applyFill="1" applyBorder="1" applyAlignment="1" applyProtection="1">
      <alignment horizont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7" fillId="15" borderId="2" xfId="0" applyFont="1" applyFill="1" applyBorder="1" applyAlignment="1">
      <alignment horizontal="center" vertical="center" textRotation="180"/>
    </xf>
    <xf numFmtId="0" fontId="7" fillId="15" borderId="0" xfId="0" applyFont="1" applyFill="1" applyAlignment="1">
      <alignment horizontal="center" vertical="center" textRotation="180"/>
    </xf>
    <xf numFmtId="0" fontId="7" fillId="15" borderId="51" xfId="0" applyFont="1" applyFill="1" applyBorder="1" applyAlignment="1">
      <alignment horizontal="center" vertical="center" textRotation="180"/>
    </xf>
    <xf numFmtId="0" fontId="7" fillId="15" borderId="42" xfId="0" applyFont="1" applyFill="1" applyBorder="1" applyAlignment="1">
      <alignment horizontal="center" vertical="center" textRotation="180"/>
    </xf>
    <xf numFmtId="0" fontId="7" fillId="15" borderId="44" xfId="0" applyFont="1" applyFill="1" applyBorder="1" applyAlignment="1">
      <alignment horizontal="center" vertical="center" textRotation="180"/>
    </xf>
    <xf numFmtId="0" fontId="7" fillId="15" borderId="52" xfId="0" applyFont="1" applyFill="1" applyBorder="1" applyAlignment="1">
      <alignment horizontal="center" vertical="center" textRotation="180"/>
    </xf>
    <xf numFmtId="0" fontId="7" fillId="14" borderId="41" xfId="0" applyFont="1" applyFill="1" applyBorder="1" applyAlignment="1" applyProtection="1">
      <alignment horizontal="center" vertical="center" textRotation="180"/>
      <protection locked="0"/>
    </xf>
    <xf numFmtId="0" fontId="7" fillId="14" borderId="43" xfId="0" applyFont="1" applyFill="1" applyBorder="1" applyAlignment="1" applyProtection="1">
      <alignment horizontal="center" vertical="center" textRotation="180"/>
      <protection locked="0"/>
    </xf>
    <xf numFmtId="0" fontId="7" fillId="14" borderId="53" xfId="0" applyFont="1" applyFill="1" applyBorder="1" applyAlignment="1" applyProtection="1">
      <alignment horizontal="center" vertical="center" textRotation="180"/>
      <protection locked="0"/>
    </xf>
    <xf numFmtId="0" fontId="7" fillId="14" borderId="42" xfId="0" applyFont="1" applyFill="1" applyBorder="1" applyAlignment="1" applyProtection="1">
      <alignment horizontal="center" vertical="center" textRotation="90"/>
      <protection locked="0"/>
    </xf>
    <xf numFmtId="0" fontId="7" fillId="14" borderId="44" xfId="0" applyFont="1" applyFill="1" applyBorder="1" applyAlignment="1" applyProtection="1">
      <alignment horizontal="center" vertical="center" textRotation="90"/>
      <protection locked="0"/>
    </xf>
    <xf numFmtId="0" fontId="7" fillId="14" borderId="52" xfId="0" applyFont="1" applyFill="1" applyBorder="1" applyAlignment="1" applyProtection="1">
      <alignment horizontal="center" vertical="center" textRotation="90"/>
      <protection locked="0"/>
    </xf>
    <xf numFmtId="0" fontId="7" fillId="15" borderId="41" xfId="0" applyFont="1" applyFill="1" applyBorder="1" applyAlignment="1">
      <alignment horizontal="center" vertical="center" textRotation="90"/>
    </xf>
    <xf numFmtId="0" fontId="7" fillId="15" borderId="43" xfId="0" applyFont="1" applyFill="1" applyBorder="1" applyAlignment="1">
      <alignment horizontal="center" vertical="center" textRotation="90"/>
    </xf>
    <xf numFmtId="0" fontId="7" fillId="15" borderId="53" xfId="0" applyFont="1" applyFill="1" applyBorder="1" applyAlignment="1">
      <alignment horizontal="center" vertical="center" textRotation="90"/>
    </xf>
    <xf numFmtId="0" fontId="7" fillId="15" borderId="2" xfId="0" applyFont="1" applyFill="1" applyBorder="1" applyAlignment="1">
      <alignment horizontal="center" vertical="center" textRotation="90"/>
    </xf>
    <xf numFmtId="0" fontId="7" fillId="15" borderId="0" xfId="0" applyFont="1" applyFill="1" applyAlignment="1">
      <alignment horizontal="center" vertical="center" textRotation="90"/>
    </xf>
    <xf numFmtId="0" fontId="7" fillId="15" borderId="51" xfId="0" applyFont="1" applyFill="1" applyBorder="1" applyAlignment="1">
      <alignment horizontal="center" vertical="center" textRotation="9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54" xfId="0" applyFont="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7" fillId="15" borderId="46" xfId="0" applyFont="1" applyFill="1" applyBorder="1" applyAlignment="1">
      <alignment horizontal="center" vertical="center" textRotation="180"/>
    </xf>
    <xf numFmtId="0" fontId="7" fillId="15" borderId="29" xfId="0" applyFont="1" applyFill="1" applyBorder="1" applyAlignment="1">
      <alignment horizontal="center" vertical="center" textRotation="180"/>
    </xf>
    <xf numFmtId="0" fontId="7" fillId="14" borderId="29" xfId="0" applyFont="1" applyFill="1" applyBorder="1" applyAlignment="1" applyProtection="1">
      <alignment horizontal="center" vertical="center" textRotation="90"/>
      <protection locked="0"/>
    </xf>
    <xf numFmtId="0" fontId="7" fillId="15" borderId="47" xfId="0" applyFont="1" applyFill="1" applyBorder="1" applyAlignment="1">
      <alignment horizontal="center" vertical="center" textRotation="90"/>
    </xf>
    <xf numFmtId="0" fontId="7" fillId="15" borderId="46" xfId="0" applyFont="1" applyFill="1" applyBorder="1" applyAlignment="1">
      <alignment horizontal="center" vertical="center" textRotation="90"/>
    </xf>
    <xf numFmtId="0" fontId="11" fillId="0" borderId="48" xfId="0" applyFont="1" applyBorder="1" applyAlignment="1">
      <alignment horizontal="center" vertical="center"/>
    </xf>
    <xf numFmtId="0" fontId="7" fillId="14" borderId="56" xfId="0" applyFont="1" applyFill="1" applyBorder="1" applyAlignment="1" applyProtection="1">
      <alignment horizontal="center" vertical="center" textRotation="90"/>
      <protection locked="0"/>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7" fillId="15" borderId="35" xfId="0" applyFont="1" applyFill="1" applyBorder="1" applyAlignment="1">
      <alignment horizontal="center" vertical="center" textRotation="180"/>
    </xf>
    <xf numFmtId="0" fontId="7" fillId="15" borderId="56" xfId="0" applyFont="1" applyFill="1" applyBorder="1" applyAlignment="1">
      <alignment horizontal="center" vertical="center" textRotation="180"/>
    </xf>
    <xf numFmtId="0" fontId="7" fillId="14" borderId="47" xfId="0" applyFont="1" applyFill="1" applyBorder="1" applyAlignment="1" applyProtection="1">
      <alignment horizontal="center" vertical="center" textRotation="180"/>
      <protection locked="0"/>
    </xf>
    <xf numFmtId="0" fontId="7" fillId="14" borderId="55" xfId="0" applyFont="1" applyFill="1" applyBorder="1" applyAlignment="1" applyProtection="1">
      <alignment horizontal="center" vertical="center" textRotation="180"/>
      <protection locked="0"/>
    </xf>
    <xf numFmtId="0" fontId="7" fillId="15" borderId="55" xfId="0" applyFont="1" applyFill="1" applyBorder="1" applyAlignment="1">
      <alignment horizontal="center" vertical="center" textRotation="90"/>
    </xf>
    <xf numFmtId="0" fontId="7" fillId="15" borderId="35" xfId="0" applyFont="1" applyFill="1" applyBorder="1" applyAlignment="1">
      <alignment horizontal="center" vertical="center" textRotation="90"/>
    </xf>
    <xf numFmtId="0" fontId="11" fillId="0" borderId="36" xfId="0" applyFont="1" applyBorder="1" applyAlignment="1">
      <alignment horizontal="center" vertical="center"/>
    </xf>
    <xf numFmtId="1" fontId="23" fillId="16" borderId="4" xfId="0" applyNumberFormat="1" applyFont="1" applyFill="1" applyBorder="1" applyAlignment="1">
      <alignment horizontal="center" vertical="center"/>
    </xf>
    <xf numFmtId="1" fontId="23" fillId="16" borderId="0" xfId="0" applyNumberFormat="1" applyFont="1" applyFill="1" applyAlignment="1">
      <alignment horizontal="center" vertical="center"/>
    </xf>
    <xf numFmtId="1" fontId="23" fillId="16" borderId="5" xfId="0" applyNumberFormat="1" applyFont="1" applyFill="1" applyBorder="1" applyAlignment="1">
      <alignment horizontal="center" vertical="center"/>
    </xf>
    <xf numFmtId="1" fontId="23" fillId="16" borderId="34" xfId="0" applyNumberFormat="1" applyFont="1" applyFill="1" applyBorder="1" applyAlignment="1">
      <alignment horizontal="center" vertical="center"/>
    </xf>
    <xf numFmtId="1" fontId="23" fillId="16" borderId="35" xfId="0" applyNumberFormat="1" applyFont="1" applyFill="1" applyBorder="1" applyAlignment="1">
      <alignment horizontal="center" vertical="center"/>
    </xf>
    <xf numFmtId="1" fontId="23" fillId="16" borderId="36" xfId="0" applyNumberFormat="1" applyFont="1" applyFill="1" applyBorder="1" applyAlignment="1">
      <alignment horizontal="center" vertical="center"/>
    </xf>
    <xf numFmtId="0" fontId="7" fillId="14" borderId="50" xfId="0" applyFont="1" applyFill="1" applyBorder="1" applyAlignment="1" applyProtection="1">
      <alignment horizontal="center"/>
      <protection locked="0"/>
    </xf>
    <xf numFmtId="0" fontId="7" fillId="14" borderId="51" xfId="0" applyFont="1" applyFill="1" applyBorder="1" applyAlignment="1" applyProtection="1">
      <alignment horizontal="center"/>
      <protection locked="0"/>
    </xf>
    <xf numFmtId="0" fontId="7" fillId="14" borderId="52" xfId="0" applyFont="1" applyFill="1" applyBorder="1" applyAlignment="1" applyProtection="1">
      <alignment horizontal="center"/>
      <protection locked="0"/>
    </xf>
    <xf numFmtId="0" fontId="7" fillId="14" borderId="53" xfId="0" applyFont="1" applyFill="1" applyBorder="1" applyAlignment="1" applyProtection="1">
      <alignment horizontal="center"/>
      <protection locked="0"/>
    </xf>
    <xf numFmtId="0" fontId="7" fillId="14" borderId="54" xfId="0" applyFont="1" applyFill="1" applyBorder="1" applyAlignment="1" applyProtection="1">
      <alignment horizontal="center"/>
      <protection locked="0"/>
    </xf>
    <xf numFmtId="0" fontId="7" fillId="15" borderId="45" xfId="0" applyFont="1" applyFill="1" applyBorder="1" applyAlignment="1">
      <alignment horizontal="center"/>
    </xf>
    <xf numFmtId="0" fontId="7" fillId="15" borderId="46" xfId="0" applyFont="1" applyFill="1" applyBorder="1" applyAlignment="1">
      <alignment horizontal="center"/>
    </xf>
    <xf numFmtId="0" fontId="7" fillId="15" borderId="29" xfId="0" applyFont="1" applyFill="1" applyBorder="1" applyAlignment="1">
      <alignment horizontal="center"/>
    </xf>
    <xf numFmtId="0" fontId="7" fillId="15" borderId="47" xfId="0" applyFont="1" applyFill="1" applyBorder="1" applyAlignment="1">
      <alignment horizontal="center"/>
    </xf>
    <xf numFmtId="0" fontId="7" fillId="15" borderId="48" xfId="0" applyFont="1" applyFill="1" applyBorder="1" applyAlignment="1">
      <alignment horizontal="center"/>
    </xf>
    <xf numFmtId="0" fontId="12" fillId="0" borderId="34" xfId="0" applyFont="1" applyBorder="1" applyAlignment="1">
      <alignment horizontal="center"/>
    </xf>
    <xf numFmtId="0" fontId="12" fillId="0" borderId="56" xfId="0" applyFont="1" applyBorder="1" applyAlignment="1">
      <alignment horizontal="center"/>
    </xf>
    <xf numFmtId="0" fontId="12" fillId="0" borderId="55" xfId="0" applyFont="1" applyBorder="1" applyAlignment="1">
      <alignment horizontal="center"/>
    </xf>
    <xf numFmtId="0" fontId="12" fillId="0" borderId="36" xfId="0" applyFont="1" applyBorder="1" applyAlignment="1">
      <alignment horizontal="center"/>
    </xf>
    <xf numFmtId="0" fontId="9" fillId="0" borderId="47" xfId="0" applyFont="1" applyBorder="1" applyAlignment="1">
      <alignment horizontal="center" shrinkToFit="1"/>
    </xf>
    <xf numFmtId="0" fontId="9" fillId="0" borderId="46" xfId="0" applyFont="1" applyBorder="1" applyAlignment="1">
      <alignment horizontal="center" shrinkToFit="1"/>
    </xf>
    <xf numFmtId="0" fontId="9" fillId="0" borderId="53" xfId="0" applyFont="1" applyBorder="1" applyAlignment="1">
      <alignment horizontal="center" shrinkToFit="1"/>
    </xf>
    <xf numFmtId="0" fontId="9" fillId="0" borderId="51" xfId="0" applyFont="1" applyBorder="1" applyAlignment="1">
      <alignment horizontal="center" shrinkToFit="1"/>
    </xf>
    <xf numFmtId="165" fontId="0" fillId="0" borderId="47" xfId="0" applyNumberFormat="1" applyBorder="1" applyAlignment="1">
      <alignment horizontal="center" shrinkToFit="1"/>
    </xf>
    <xf numFmtId="165" fontId="0" fillId="0" borderId="46" xfId="0" applyNumberFormat="1" applyBorder="1" applyAlignment="1">
      <alignment horizontal="center" shrinkToFit="1"/>
    </xf>
    <xf numFmtId="165" fontId="0" fillId="0" borderId="55" xfId="0" applyNumberFormat="1" applyBorder="1" applyAlignment="1">
      <alignment horizontal="center" shrinkToFit="1"/>
    </xf>
    <xf numFmtId="165" fontId="0" fillId="0" borderId="35" xfId="0" applyNumberFormat="1" applyBorder="1" applyAlignment="1">
      <alignment horizontal="center" shrinkToFit="1"/>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0" xfId="0" applyFont="1" applyAlignment="1">
      <alignment horizontal="center" vertical="center" wrapText="1"/>
    </xf>
    <xf numFmtId="0" fontId="53" fillId="0" borderId="5" xfId="0" applyFont="1" applyBorder="1" applyAlignment="1">
      <alignment horizontal="center" vertical="center" wrapText="1"/>
    </xf>
    <xf numFmtId="0" fontId="53" fillId="0" borderId="34"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36" xfId="0" applyFont="1" applyBorder="1" applyAlignment="1">
      <alignment horizontal="center" vertical="center" wrapText="1"/>
    </xf>
    <xf numFmtId="0" fontId="11" fillId="0" borderId="10"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12" fontId="8" fillId="0" borderId="41" xfId="0" applyNumberFormat="1" applyFont="1" applyBorder="1" applyAlignment="1">
      <alignment horizontal="center" shrinkToFit="1"/>
    </xf>
    <xf numFmtId="12" fontId="8" fillId="0" borderId="2" xfId="0" applyNumberFormat="1" applyFont="1" applyBorder="1" applyAlignment="1">
      <alignment horizontal="center" shrinkToFit="1"/>
    </xf>
    <xf numFmtId="12" fontId="8" fillId="0" borderId="3" xfId="0" applyNumberFormat="1" applyFont="1" applyBorder="1" applyAlignment="1">
      <alignment horizontal="center" shrinkToFit="1"/>
    </xf>
    <xf numFmtId="12" fontId="8" fillId="0" borderId="53" xfId="0" applyNumberFormat="1" applyFont="1" applyBorder="1" applyAlignment="1">
      <alignment horizontal="center" shrinkToFit="1"/>
    </xf>
    <xf numFmtId="12" fontId="8" fillId="0" borderId="51" xfId="0" applyNumberFormat="1" applyFont="1" applyBorder="1" applyAlignment="1">
      <alignment horizontal="center" shrinkToFit="1"/>
    </xf>
    <xf numFmtId="12" fontId="8" fillId="0" borderId="54" xfId="0" applyNumberFormat="1" applyFont="1" applyBorder="1" applyAlignment="1">
      <alignment horizontal="center" shrinkToFit="1"/>
    </xf>
    <xf numFmtId="0" fontId="14" fillId="2" borderId="6" xfId="0" applyFont="1" applyFill="1" applyBorder="1" applyAlignment="1">
      <alignment horizontal="center" vertical="center"/>
    </xf>
    <xf numFmtId="0" fontId="26" fillId="10" borderId="6" xfId="0" applyFont="1" applyFill="1" applyBorder="1" applyAlignment="1">
      <alignment horizontal="center" vertical="center" wrapText="1"/>
    </xf>
    <xf numFmtId="0" fontId="0" fillId="10" borderId="47" xfId="0" applyFill="1" applyBorder="1" applyAlignment="1">
      <alignment horizontal="center" vertical="center"/>
    </xf>
    <xf numFmtId="0" fontId="0" fillId="10" borderId="53" xfId="0" applyFill="1" applyBorder="1" applyAlignment="1">
      <alignment horizontal="center" vertical="center"/>
    </xf>
    <xf numFmtId="0" fontId="30" fillId="10" borderId="46" xfId="0" applyFont="1" applyFill="1" applyBorder="1" applyAlignment="1">
      <alignment horizontal="center" vertical="center"/>
    </xf>
    <xf numFmtId="0" fontId="30" fillId="10" borderId="29" xfId="0" applyFont="1" applyFill="1" applyBorder="1" applyAlignment="1">
      <alignment horizontal="center" vertical="center"/>
    </xf>
    <xf numFmtId="0" fontId="30" fillId="10" borderId="51" xfId="0" applyFont="1" applyFill="1" applyBorder="1" applyAlignment="1">
      <alignment horizontal="center" vertical="center"/>
    </xf>
    <xf numFmtId="0" fontId="30" fillId="10" borderId="52" xfId="0" applyFont="1" applyFill="1" applyBorder="1" applyAlignment="1">
      <alignment horizontal="center" vertical="center"/>
    </xf>
    <xf numFmtId="0" fontId="7" fillId="10" borderId="4" xfId="0" applyFont="1" applyFill="1" applyBorder="1" applyAlignment="1">
      <alignment horizontal="center"/>
    </xf>
    <xf numFmtId="0" fontId="7" fillId="10" borderId="0" xfId="0" applyFont="1" applyFill="1" applyAlignment="1">
      <alignment horizontal="center"/>
    </xf>
    <xf numFmtId="0" fontId="7" fillId="10" borderId="44" xfId="0" applyFont="1" applyFill="1" applyBorder="1" applyAlignment="1">
      <alignment horizontal="center"/>
    </xf>
    <xf numFmtId="0" fontId="7" fillId="10" borderId="43" xfId="0" applyFont="1" applyFill="1" applyBorder="1" applyAlignment="1">
      <alignment horizontal="center"/>
    </xf>
    <xf numFmtId="0" fontId="7" fillId="10" borderId="5" xfId="0" applyFont="1" applyFill="1" applyBorder="1" applyAlignment="1">
      <alignment horizontal="center"/>
    </xf>
    <xf numFmtId="0" fontId="7" fillId="10" borderId="50" xfId="0" applyFont="1" applyFill="1" applyBorder="1" applyAlignment="1">
      <alignment horizontal="center" wrapText="1"/>
    </xf>
    <xf numFmtId="0" fontId="7" fillId="10" borderId="51" xfId="0" applyFont="1" applyFill="1" applyBorder="1" applyAlignment="1">
      <alignment horizontal="center" wrapText="1"/>
    </xf>
    <xf numFmtId="0" fontId="7" fillId="10" borderId="52" xfId="0" applyFont="1" applyFill="1" applyBorder="1" applyAlignment="1">
      <alignment horizontal="center" wrapText="1"/>
    </xf>
    <xf numFmtId="0" fontId="7" fillId="10" borderId="53" xfId="0" applyFont="1" applyFill="1" applyBorder="1" applyAlignment="1">
      <alignment horizontal="center" wrapText="1"/>
    </xf>
    <xf numFmtId="0" fontId="7" fillId="10" borderId="54" xfId="0" applyFont="1" applyFill="1" applyBorder="1" applyAlignment="1">
      <alignment horizontal="center" wrapText="1"/>
    </xf>
    <xf numFmtId="0" fontId="7" fillId="0" borderId="12" xfId="0" applyFont="1" applyBorder="1" applyAlignment="1">
      <alignment horizontal="center"/>
    </xf>
    <xf numFmtId="0" fontId="7" fillId="0" borderId="13" xfId="0" applyFont="1" applyBorder="1" applyAlignment="1">
      <alignment horizontal="center"/>
    </xf>
    <xf numFmtId="0" fontId="7" fillId="0" borderId="70" xfId="0" applyFont="1" applyBorder="1" applyAlignment="1">
      <alignment horizontal="center"/>
    </xf>
    <xf numFmtId="0" fontId="7" fillId="0" borderId="84" xfId="0" applyFont="1" applyBorder="1" applyAlignment="1">
      <alignment horizontal="center"/>
    </xf>
    <xf numFmtId="0" fontId="7" fillId="0" borderId="80" xfId="0" applyFont="1" applyBorder="1" applyAlignment="1">
      <alignment horizontal="center"/>
    </xf>
    <xf numFmtId="0" fontId="7" fillId="10" borderId="2" xfId="0" applyFont="1" applyFill="1" applyBorder="1" applyAlignment="1">
      <alignment horizontal="center" vertical="center" textRotation="180"/>
    </xf>
    <xf numFmtId="0" fontId="7" fillId="10" borderId="0" xfId="0" applyFont="1" applyFill="1" applyAlignment="1">
      <alignment horizontal="center" vertical="center" textRotation="180"/>
    </xf>
    <xf numFmtId="0" fontId="7" fillId="10" borderId="51" xfId="0" applyFont="1" applyFill="1" applyBorder="1" applyAlignment="1">
      <alignment horizontal="center" vertical="center" textRotation="180"/>
    </xf>
    <xf numFmtId="0" fontId="7" fillId="10" borderId="42" xfId="0" applyFont="1" applyFill="1" applyBorder="1" applyAlignment="1">
      <alignment horizontal="center" vertical="center" textRotation="180"/>
    </xf>
    <xf numFmtId="0" fontId="7" fillId="10" borderId="44" xfId="0" applyFont="1" applyFill="1" applyBorder="1" applyAlignment="1">
      <alignment horizontal="center" vertical="center" textRotation="180"/>
    </xf>
    <xf numFmtId="0" fontId="7" fillId="10" borderId="52" xfId="0" applyFont="1" applyFill="1" applyBorder="1" applyAlignment="1">
      <alignment horizontal="center" vertical="center" textRotation="180"/>
    </xf>
    <xf numFmtId="0" fontId="7" fillId="0" borderId="88" xfId="0" applyFont="1" applyBorder="1" applyAlignment="1">
      <alignment horizontal="center" vertical="center" textRotation="180"/>
    </xf>
    <xf numFmtId="0" fontId="7" fillId="0" borderId="82" xfId="0" applyFont="1" applyBorder="1" applyAlignment="1">
      <alignment horizontal="center" vertical="center" textRotation="180"/>
    </xf>
    <xf numFmtId="0" fontId="7" fillId="0" borderId="33" xfId="0" applyFont="1" applyBorder="1" applyAlignment="1">
      <alignment horizontal="center" vertical="center" textRotation="180"/>
    </xf>
    <xf numFmtId="0" fontId="7" fillId="14" borderId="83" xfId="0" applyFont="1" applyFill="1" applyBorder="1" applyAlignment="1" applyProtection="1">
      <alignment horizontal="center" vertical="center" textRotation="90"/>
      <protection locked="0"/>
    </xf>
    <xf numFmtId="0" fontId="7" fillId="14" borderId="81" xfId="0" applyFont="1" applyFill="1" applyBorder="1" applyAlignment="1" applyProtection="1">
      <alignment horizontal="center" vertical="center" textRotation="90"/>
      <protection locked="0"/>
    </xf>
    <xf numFmtId="0" fontId="7" fillId="14" borderId="69" xfId="0" applyFont="1" applyFill="1" applyBorder="1" applyAlignment="1" applyProtection="1">
      <alignment horizontal="center" vertical="center" textRotation="90"/>
      <protection locked="0"/>
    </xf>
    <xf numFmtId="0" fontId="7" fillId="0" borderId="41" xfId="0" applyFont="1" applyBorder="1" applyAlignment="1">
      <alignment horizontal="center" vertical="center" textRotation="90"/>
    </xf>
    <xf numFmtId="0" fontId="7" fillId="0" borderId="2" xfId="0" applyFont="1" applyBorder="1" applyAlignment="1">
      <alignment horizontal="center" vertical="center" textRotation="90"/>
    </xf>
    <xf numFmtId="0" fontId="7" fillId="0" borderId="83" xfId="0" applyFont="1" applyBorder="1" applyAlignment="1">
      <alignment horizontal="center" vertical="center" textRotation="90"/>
    </xf>
    <xf numFmtId="0" fontId="7" fillId="0" borderId="81" xfId="0" applyFont="1" applyBorder="1" applyAlignment="1">
      <alignment horizontal="center" vertical="center" textRotation="90"/>
    </xf>
    <xf numFmtId="0" fontId="7" fillId="0" borderId="69" xfId="0" applyFont="1" applyBorder="1" applyAlignment="1">
      <alignment horizontal="center" vertical="center" textRotation="90"/>
    </xf>
    <xf numFmtId="0" fontId="7" fillId="0" borderId="4" xfId="0" applyFont="1" applyBorder="1" applyAlignment="1">
      <alignment horizontal="center"/>
    </xf>
    <xf numFmtId="0" fontId="7" fillId="0" borderId="0" xfId="0" applyFont="1" applyAlignment="1">
      <alignment horizontal="center"/>
    </xf>
    <xf numFmtId="0" fontId="7" fillId="0" borderId="44" xfId="0" applyFont="1" applyBorder="1" applyAlignment="1">
      <alignment horizontal="center"/>
    </xf>
    <xf numFmtId="0" fontId="7" fillId="0" borderId="43" xfId="0" applyFont="1" applyBorder="1" applyAlignment="1">
      <alignment horizontal="center"/>
    </xf>
    <xf numFmtId="0" fontId="7" fillId="0" borderId="5" xfId="0" applyFont="1" applyBorder="1" applyAlignment="1">
      <alignment horizontal="center"/>
    </xf>
    <xf numFmtId="0" fontId="7" fillId="0" borderId="50" xfId="0" applyFont="1" applyBorder="1" applyAlignment="1">
      <alignment horizontal="center" wrapText="1"/>
    </xf>
    <xf numFmtId="0" fontId="7" fillId="0" borderId="51" xfId="0" applyFont="1" applyBorder="1" applyAlignment="1">
      <alignment horizontal="center" wrapText="1"/>
    </xf>
    <xf numFmtId="0" fontId="7" fillId="0" borderId="52" xfId="0" applyFont="1" applyBorder="1" applyAlignment="1">
      <alignment horizontal="center" wrapText="1"/>
    </xf>
    <xf numFmtId="0" fontId="7" fillId="0" borderId="53" xfId="0" applyFont="1" applyBorder="1" applyAlignment="1">
      <alignment horizontal="center" wrapText="1"/>
    </xf>
    <xf numFmtId="0" fontId="7" fillId="0" borderId="54" xfId="0" applyFont="1" applyBorder="1" applyAlignment="1">
      <alignment horizontal="center" wrapText="1"/>
    </xf>
    <xf numFmtId="0" fontId="7" fillId="14" borderId="12" xfId="0" applyFont="1" applyFill="1" applyBorder="1" applyAlignment="1" applyProtection="1">
      <alignment horizontal="center"/>
      <protection locked="0"/>
    </xf>
    <xf numFmtId="0" fontId="7" fillId="14" borderId="13" xfId="0" applyFont="1" applyFill="1" applyBorder="1" applyAlignment="1" applyProtection="1">
      <alignment horizontal="center"/>
      <protection locked="0"/>
    </xf>
    <xf numFmtId="0" fontId="7" fillId="14" borderId="14" xfId="0" applyFont="1" applyFill="1" applyBorder="1" applyAlignment="1" applyProtection="1">
      <alignment horizontal="center"/>
      <protection locked="0"/>
    </xf>
    <xf numFmtId="0" fontId="7" fillId="0" borderId="46" xfId="0" applyFont="1" applyBorder="1" applyAlignment="1">
      <alignment horizontal="center" vertical="center" textRotation="180"/>
    </xf>
    <xf numFmtId="0" fontId="7" fillId="0" borderId="0" xfId="0" applyFont="1" applyAlignment="1">
      <alignment horizontal="center" vertical="center" textRotation="180"/>
    </xf>
    <xf numFmtId="0" fontId="7" fillId="0" borderId="51" xfId="0" applyFont="1" applyBorder="1" applyAlignment="1">
      <alignment horizontal="center" vertical="center" textRotation="180"/>
    </xf>
    <xf numFmtId="0" fontId="7" fillId="0" borderId="29" xfId="0" applyFont="1" applyBorder="1" applyAlignment="1">
      <alignment horizontal="center" vertical="center" textRotation="180"/>
    </xf>
    <xf numFmtId="0" fontId="7" fillId="0" borderId="44" xfId="0" applyFont="1" applyBorder="1" applyAlignment="1">
      <alignment horizontal="center" vertical="center" textRotation="180"/>
    </xf>
    <xf numFmtId="0" fontId="7" fillId="0" borderId="52" xfId="0" applyFont="1" applyBorder="1" applyAlignment="1">
      <alignment horizontal="center" vertical="center" textRotation="180"/>
    </xf>
    <xf numFmtId="0" fontId="7" fillId="14" borderId="17" xfId="0" applyFont="1" applyFill="1" applyBorder="1" applyAlignment="1" applyProtection="1">
      <alignment horizontal="center" vertical="center" textRotation="180"/>
      <protection locked="0"/>
    </xf>
    <xf numFmtId="0" fontId="7" fillId="14" borderId="82" xfId="0" applyFont="1" applyFill="1" applyBorder="1" applyAlignment="1" applyProtection="1">
      <alignment horizontal="center" vertical="center" textRotation="180"/>
      <protection locked="0"/>
    </xf>
    <xf numFmtId="0" fontId="7" fillId="14" borderId="33" xfId="0" applyFont="1" applyFill="1" applyBorder="1" applyAlignment="1" applyProtection="1">
      <alignment horizontal="center" vertical="center" textRotation="180"/>
      <protection locked="0"/>
    </xf>
    <xf numFmtId="0" fontId="7" fillId="10" borderId="41" xfId="0" applyFont="1" applyFill="1" applyBorder="1" applyAlignment="1">
      <alignment horizontal="center" vertical="center" textRotation="90"/>
    </xf>
    <xf numFmtId="0" fontId="7" fillId="10" borderId="43" xfId="0" applyFont="1" applyFill="1" applyBorder="1" applyAlignment="1">
      <alignment horizontal="center" vertical="center" textRotation="90"/>
    </xf>
    <xf numFmtId="0" fontId="7" fillId="10" borderId="53" xfId="0" applyFont="1" applyFill="1" applyBorder="1" applyAlignment="1">
      <alignment horizontal="center" vertical="center" textRotation="90"/>
    </xf>
    <xf numFmtId="0" fontId="7" fillId="10" borderId="2" xfId="0" applyFont="1" applyFill="1" applyBorder="1" applyAlignment="1">
      <alignment horizontal="center" vertical="center" textRotation="90"/>
    </xf>
    <xf numFmtId="0" fontId="7" fillId="10" borderId="0" xfId="0" applyFont="1" applyFill="1" applyAlignment="1">
      <alignment horizontal="center" vertical="center" textRotation="90"/>
    </xf>
    <xf numFmtId="0" fontId="7" fillId="10" borderId="51" xfId="0" applyFont="1" applyFill="1" applyBorder="1" applyAlignment="1">
      <alignment horizontal="center" vertical="center" textRotation="90"/>
    </xf>
    <xf numFmtId="0" fontId="7" fillId="10" borderId="46" xfId="0" applyFont="1" applyFill="1" applyBorder="1" applyAlignment="1">
      <alignment horizontal="center" vertical="center" textRotation="180"/>
    </xf>
    <xf numFmtId="0" fontId="7" fillId="10" borderId="29" xfId="0" applyFont="1" applyFill="1" applyBorder="1" applyAlignment="1">
      <alignment horizontal="center" vertical="center" textRotation="180"/>
    </xf>
    <xf numFmtId="0" fontId="7" fillId="0" borderId="2" xfId="0" applyFont="1" applyBorder="1" applyAlignment="1">
      <alignment horizontal="center" vertical="center" textRotation="180"/>
    </xf>
    <xf numFmtId="0" fontId="7" fillId="0" borderId="42" xfId="0" applyFont="1" applyBorder="1" applyAlignment="1">
      <alignment horizontal="center" vertical="center" textRotation="180"/>
    </xf>
    <xf numFmtId="0" fontId="7" fillId="14" borderId="88" xfId="0" applyFont="1" applyFill="1" applyBorder="1" applyAlignment="1" applyProtection="1">
      <alignment horizontal="center" vertical="center" textRotation="180"/>
      <protection locked="0"/>
    </xf>
    <xf numFmtId="0" fontId="7" fillId="14" borderId="15" xfId="0" applyFont="1" applyFill="1" applyBorder="1" applyAlignment="1" applyProtection="1">
      <alignment horizontal="center" vertical="center" textRotation="90"/>
      <protection locked="0"/>
    </xf>
    <xf numFmtId="0" fontId="7" fillId="0" borderId="47" xfId="0" applyFont="1" applyBorder="1" applyAlignment="1">
      <alignment horizontal="center" vertical="center" textRotation="90"/>
    </xf>
    <xf numFmtId="0" fontId="7" fillId="0" borderId="46" xfId="0" applyFont="1" applyBorder="1" applyAlignment="1">
      <alignment horizontal="center" vertical="center" textRotation="90"/>
    </xf>
    <xf numFmtId="0" fontId="7" fillId="0" borderId="15" xfId="0" applyFont="1" applyBorder="1" applyAlignment="1">
      <alignment horizontal="center" vertical="center" textRotation="90"/>
    </xf>
    <xf numFmtId="0" fontId="7" fillId="10" borderId="47" xfId="0" applyFont="1" applyFill="1" applyBorder="1" applyAlignment="1">
      <alignment horizontal="center" vertical="center" textRotation="90"/>
    </xf>
    <xf numFmtId="0" fontId="7" fillId="10" borderId="46" xfId="0" applyFont="1" applyFill="1" applyBorder="1" applyAlignment="1">
      <alignment horizontal="center" vertical="center" textRotation="90"/>
    </xf>
    <xf numFmtId="0" fontId="7" fillId="14" borderId="90" xfId="0" applyFont="1" applyFill="1" applyBorder="1" applyAlignment="1" applyProtection="1">
      <alignment horizontal="center" vertical="center" textRotation="90"/>
      <protection locked="0"/>
    </xf>
    <xf numFmtId="0" fontId="7" fillId="0" borderId="90" xfId="0" applyFont="1" applyBorder="1" applyAlignment="1">
      <alignment horizontal="center" vertical="center" textRotation="90"/>
    </xf>
    <xf numFmtId="0" fontId="7" fillId="10" borderId="35" xfId="0" applyFont="1" applyFill="1" applyBorder="1" applyAlignment="1">
      <alignment horizontal="center" vertical="center" textRotation="180"/>
    </xf>
    <xf numFmtId="0" fontId="7" fillId="10" borderId="56" xfId="0" applyFont="1" applyFill="1" applyBorder="1" applyAlignment="1">
      <alignment horizontal="center" vertical="center" textRotation="180"/>
    </xf>
    <xf numFmtId="0" fontId="7" fillId="0" borderId="17" xfId="0" applyFont="1" applyBorder="1" applyAlignment="1">
      <alignment horizontal="center" vertical="center" textRotation="180"/>
    </xf>
    <xf numFmtId="0" fontId="7" fillId="0" borderId="89" xfId="0" applyFont="1" applyBorder="1" applyAlignment="1">
      <alignment horizontal="center" vertical="center" textRotation="180"/>
    </xf>
    <xf numFmtId="0" fontId="7" fillId="0" borderId="35" xfId="0" applyFont="1" applyBorder="1" applyAlignment="1">
      <alignment horizontal="center" vertical="center" textRotation="180"/>
    </xf>
    <xf numFmtId="0" fontId="7" fillId="0" borderId="56" xfId="0" applyFont="1" applyBorder="1" applyAlignment="1">
      <alignment horizontal="center" vertical="center" textRotation="180"/>
    </xf>
    <xf numFmtId="0" fontId="7" fillId="14" borderId="89" xfId="0" applyFont="1" applyFill="1" applyBorder="1" applyAlignment="1" applyProtection="1">
      <alignment horizontal="center" vertical="center" textRotation="180"/>
      <protection locked="0"/>
    </xf>
    <xf numFmtId="0" fontId="7" fillId="10" borderId="55" xfId="0" applyFont="1" applyFill="1" applyBorder="1" applyAlignment="1">
      <alignment horizontal="center" vertical="center" textRotation="90"/>
    </xf>
    <xf numFmtId="0" fontId="7" fillId="10" borderId="35" xfId="0" applyFont="1" applyFill="1" applyBorder="1" applyAlignment="1">
      <alignment horizontal="center" vertical="center" textRotation="90"/>
    </xf>
    <xf numFmtId="0" fontId="7" fillId="14" borderId="77" xfId="0" applyFont="1" applyFill="1" applyBorder="1" applyAlignment="1" applyProtection="1">
      <alignment horizontal="center"/>
      <protection locked="0"/>
    </xf>
    <xf numFmtId="0" fontId="7" fillId="14" borderId="78" xfId="0" applyFont="1" applyFill="1" applyBorder="1" applyAlignment="1" applyProtection="1">
      <alignment horizontal="center"/>
      <protection locked="0"/>
    </xf>
    <xf numFmtId="0" fontId="7" fillId="14" borderId="127" xfId="0" applyFont="1" applyFill="1" applyBorder="1" applyAlignment="1" applyProtection="1">
      <alignment horizontal="center"/>
      <protection locked="0"/>
    </xf>
    <xf numFmtId="0" fontId="7" fillId="14" borderId="126" xfId="0" applyFont="1" applyFill="1" applyBorder="1" applyAlignment="1" applyProtection="1">
      <alignment horizontal="center"/>
      <protection locked="0"/>
    </xf>
    <xf numFmtId="0" fontId="7" fillId="14" borderId="75" xfId="0" applyFont="1" applyFill="1" applyBorder="1" applyAlignment="1" applyProtection="1">
      <alignment horizontal="center"/>
      <protection locked="0"/>
    </xf>
    <xf numFmtId="0" fontId="7" fillId="0" borderId="45" xfId="0" applyFont="1" applyBorder="1" applyAlignment="1">
      <alignment horizontal="center"/>
    </xf>
    <xf numFmtId="0" fontId="7" fillId="0" borderId="46" xfId="0" applyFont="1" applyBorder="1" applyAlignment="1">
      <alignment horizontal="center"/>
    </xf>
    <xf numFmtId="0" fontId="7" fillId="0" borderId="2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77" xfId="0" applyFont="1" applyBorder="1" applyAlignment="1">
      <alignment horizontal="center"/>
    </xf>
    <xf numFmtId="0" fontId="7" fillId="0" borderId="78" xfId="0" applyFont="1" applyBorder="1" applyAlignment="1">
      <alignment horizontal="center"/>
    </xf>
    <xf numFmtId="0" fontId="7" fillId="0" borderId="127" xfId="0" applyFont="1" applyBorder="1" applyAlignment="1">
      <alignment horizontal="center"/>
    </xf>
    <xf numFmtId="0" fontId="7" fillId="0" borderId="126" xfId="0" applyFont="1" applyBorder="1" applyAlignment="1">
      <alignment horizontal="center"/>
    </xf>
    <xf numFmtId="0" fontId="7" fillId="0" borderId="75" xfId="0" applyFont="1" applyBorder="1" applyAlignment="1">
      <alignment horizontal="center"/>
    </xf>
    <xf numFmtId="0" fontId="7" fillId="10" borderId="45" xfId="0" applyFont="1" applyFill="1" applyBorder="1" applyAlignment="1">
      <alignment horizontal="center"/>
    </xf>
    <xf numFmtId="0" fontId="7" fillId="10" borderId="46" xfId="0" applyFont="1" applyFill="1" applyBorder="1" applyAlignment="1">
      <alignment horizontal="center"/>
    </xf>
    <xf numFmtId="0" fontId="7" fillId="10" borderId="29" xfId="0" applyFont="1" applyFill="1" applyBorder="1" applyAlignment="1">
      <alignment horizontal="center"/>
    </xf>
    <xf numFmtId="0" fontId="7" fillId="10" borderId="47" xfId="0" applyFont="1" applyFill="1" applyBorder="1" applyAlignment="1">
      <alignment horizontal="center"/>
    </xf>
    <xf numFmtId="0" fontId="7" fillId="10" borderId="48" xfId="0" applyFont="1" applyFill="1" applyBorder="1" applyAlignment="1">
      <alignment horizontal="center"/>
    </xf>
    <xf numFmtId="0" fontId="7" fillId="6" borderId="29" xfId="0" applyFont="1" applyFill="1" applyBorder="1" applyAlignment="1">
      <alignment horizontal="center" vertical="center" textRotation="180"/>
    </xf>
    <xf numFmtId="0" fontId="7" fillId="6" borderId="44" xfId="0" applyFont="1" applyFill="1" applyBorder="1" applyAlignment="1">
      <alignment horizontal="center" vertical="center" textRotation="180"/>
    </xf>
    <xf numFmtId="0" fontId="7" fillId="6" borderId="56" xfId="0" applyFont="1" applyFill="1" applyBorder="1" applyAlignment="1">
      <alignment horizontal="center" vertical="center" textRotation="180"/>
    </xf>
    <xf numFmtId="0" fontId="12" fillId="4" borderId="145" xfId="0" applyFont="1" applyFill="1" applyBorder="1" applyAlignment="1">
      <alignment horizontal="center"/>
    </xf>
    <xf numFmtId="0" fontId="7" fillId="14" borderId="45" xfId="0" applyFont="1" applyFill="1" applyBorder="1" applyAlignment="1" applyProtection="1">
      <alignment horizontal="center"/>
      <protection locked="0"/>
    </xf>
    <xf numFmtId="0" fontId="7" fillId="14" borderId="29" xfId="0" applyFont="1" applyFill="1" applyBorder="1" applyAlignment="1" applyProtection="1">
      <alignment horizontal="center"/>
      <protection locked="0"/>
    </xf>
    <xf numFmtId="0" fontId="7" fillId="6" borderId="42" xfId="0" applyFont="1" applyFill="1" applyBorder="1" applyAlignment="1">
      <alignment horizontal="center" vertical="center" textRotation="180"/>
    </xf>
    <xf numFmtId="0" fontId="7" fillId="6" borderId="52" xfId="0" applyFont="1" applyFill="1" applyBorder="1" applyAlignment="1">
      <alignment horizontal="center" vertical="center" textRotation="180"/>
    </xf>
    <xf numFmtId="0" fontId="12" fillId="4" borderId="148" xfId="0" applyFont="1" applyFill="1" applyBorder="1" applyAlignment="1">
      <alignment horizontal="center"/>
    </xf>
    <xf numFmtId="0" fontId="12" fillId="4" borderId="146" xfId="0" applyFont="1" applyFill="1" applyBorder="1" applyAlignment="1">
      <alignment horizontal="center"/>
    </xf>
    <xf numFmtId="0" fontId="12" fillId="4" borderId="151" xfId="0" applyFont="1" applyFill="1" applyBorder="1" applyAlignment="1">
      <alignment horizontal="center"/>
    </xf>
    <xf numFmtId="0" fontId="7" fillId="14" borderId="69" xfId="0" applyFont="1" applyFill="1" applyBorder="1" applyAlignment="1" applyProtection="1">
      <alignment horizontal="center"/>
      <protection locked="0"/>
    </xf>
    <xf numFmtId="0" fontId="7" fillId="14" borderId="32" xfId="0" applyFont="1" applyFill="1" applyBorder="1" applyAlignment="1" applyProtection="1">
      <alignment horizontal="center"/>
      <protection locked="0"/>
    </xf>
    <xf numFmtId="0" fontId="7" fillId="14" borderId="33" xfId="0" applyFont="1" applyFill="1" applyBorder="1" applyAlignment="1" applyProtection="1">
      <alignment horizontal="center"/>
      <protection locked="0"/>
    </xf>
    <xf numFmtId="0" fontId="7" fillId="4" borderId="134" xfId="0" applyFont="1" applyFill="1" applyBorder="1" applyAlignment="1">
      <alignment horizontal="center" vertical="center" textRotation="90"/>
    </xf>
    <xf numFmtId="0" fontId="7" fillId="4" borderId="135" xfId="0" applyFont="1" applyFill="1" applyBorder="1" applyAlignment="1">
      <alignment horizontal="center" vertical="center" textRotation="90"/>
    </xf>
    <xf numFmtId="0" fontId="7" fillId="4" borderId="137" xfId="0" applyFont="1" applyFill="1" applyBorder="1" applyAlignment="1">
      <alignment horizontal="center" vertical="center" textRotation="90"/>
    </xf>
    <xf numFmtId="0" fontId="7" fillId="0" borderId="43" xfId="0" applyFont="1" applyBorder="1" applyAlignment="1">
      <alignment horizontal="center" vertical="center" textRotation="90"/>
    </xf>
    <xf numFmtId="0" fontId="7" fillId="0" borderId="55" xfId="0" applyFont="1" applyBorder="1" applyAlignment="1">
      <alignment horizontal="center" vertical="center" textRotation="90"/>
    </xf>
    <xf numFmtId="0" fontId="7" fillId="0" borderId="0" xfId="0" applyFont="1" applyAlignment="1">
      <alignment horizontal="center" vertical="center" textRotation="90"/>
    </xf>
    <xf numFmtId="0" fontId="7" fillId="0" borderId="35" xfId="0" applyFont="1" applyBorder="1" applyAlignment="1">
      <alignment horizontal="center" vertical="center" textRotation="90"/>
    </xf>
    <xf numFmtId="0" fontId="7" fillId="4" borderId="136" xfId="0" applyFont="1" applyFill="1" applyBorder="1" applyAlignment="1">
      <alignment horizontal="center" vertical="center" textRotation="90"/>
    </xf>
    <xf numFmtId="0" fontId="12" fillId="4" borderId="131" xfId="0" applyFont="1" applyFill="1" applyBorder="1" applyAlignment="1">
      <alignment horizontal="center"/>
    </xf>
    <xf numFmtId="0" fontId="12" fillId="4" borderId="133" xfId="0" applyFont="1" applyFill="1" applyBorder="1" applyAlignment="1">
      <alignment horizontal="center"/>
    </xf>
    <xf numFmtId="0" fontId="7" fillId="4" borderId="143" xfId="0" applyFont="1" applyFill="1" applyBorder="1" applyAlignment="1">
      <alignment horizontal="center" vertical="center" textRotation="180"/>
    </xf>
    <xf numFmtId="0" fontId="7" fillId="4" borderId="141" xfId="0" applyFont="1" applyFill="1" applyBorder="1" applyAlignment="1">
      <alignment horizontal="center" vertical="center" textRotation="180"/>
    </xf>
    <xf numFmtId="0" fontId="7" fillId="4" borderId="142" xfId="0" applyFont="1" applyFill="1" applyBorder="1" applyAlignment="1">
      <alignment horizontal="center" vertical="center" textRotation="180"/>
    </xf>
    <xf numFmtId="0" fontId="7" fillId="0" borderId="51" xfId="0" applyFont="1" applyBorder="1" applyAlignment="1">
      <alignment horizontal="center" vertical="center" textRotation="90"/>
    </xf>
    <xf numFmtId="0" fontId="7" fillId="4" borderId="140" xfId="0" applyFont="1" applyFill="1" applyBorder="1" applyAlignment="1">
      <alignment horizontal="center" vertical="center" textRotation="180"/>
    </xf>
    <xf numFmtId="0" fontId="7" fillId="0" borderId="53" xfId="0" applyFont="1" applyBorder="1" applyAlignment="1">
      <alignment horizontal="center" vertical="center" textRotation="90"/>
    </xf>
    <xf numFmtId="0" fontId="8" fillId="0" borderId="4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53" xfId="0" applyFont="1" applyBorder="1" applyAlignment="1">
      <alignment horizontal="center"/>
    </xf>
    <xf numFmtId="0" fontId="8" fillId="0" borderId="51" xfId="0" applyFont="1" applyBorder="1" applyAlignment="1">
      <alignment horizontal="center"/>
    </xf>
    <xf numFmtId="0" fontId="8" fillId="0" borderId="54" xfId="0" applyFont="1" applyBorder="1" applyAlignment="1">
      <alignment horizontal="center"/>
    </xf>
    <xf numFmtId="0" fontId="9" fillId="0" borderId="47" xfId="0" applyFont="1" applyBorder="1" applyAlignment="1">
      <alignment horizontal="center"/>
    </xf>
    <xf numFmtId="0" fontId="9" fillId="0" borderId="46" xfId="0" applyFont="1" applyBorder="1" applyAlignment="1">
      <alignment horizontal="center"/>
    </xf>
    <xf numFmtId="0" fontId="9" fillId="0" borderId="53" xfId="0" applyFont="1" applyBorder="1" applyAlignment="1">
      <alignment horizontal="center"/>
    </xf>
    <xf numFmtId="0" fontId="9" fillId="0" borderId="51" xfId="0" applyFont="1" applyBorder="1" applyAlignment="1">
      <alignment horizontal="center"/>
    </xf>
    <xf numFmtId="165" fontId="0" fillId="0" borderId="47" xfId="0" applyNumberFormat="1" applyBorder="1" applyAlignment="1">
      <alignment horizontal="center"/>
    </xf>
    <xf numFmtId="165" fontId="0" fillId="0" borderId="46" xfId="0" applyNumberFormat="1" applyBorder="1" applyAlignment="1">
      <alignment horizontal="center"/>
    </xf>
    <xf numFmtId="165" fontId="0" fillId="0" borderId="55" xfId="0" applyNumberFormat="1" applyBorder="1" applyAlignment="1">
      <alignment horizontal="center"/>
    </xf>
    <xf numFmtId="165" fontId="0" fillId="0" borderId="35" xfId="0" applyNumberFormat="1" applyBorder="1" applyAlignment="1">
      <alignment horizontal="center"/>
    </xf>
    <xf numFmtId="0" fontId="19" fillId="21" borderId="1" xfId="0" applyFont="1" applyFill="1" applyBorder="1" applyAlignment="1">
      <alignment horizontal="center" vertical="center" wrapText="1"/>
    </xf>
    <xf numFmtId="0" fontId="12" fillId="4" borderId="147" xfId="0" applyFont="1" applyFill="1" applyBorder="1" applyAlignment="1">
      <alignment horizontal="center"/>
    </xf>
    <xf numFmtId="0" fontId="7" fillId="14" borderId="85" xfId="0" applyFont="1" applyFill="1" applyBorder="1" applyAlignment="1" applyProtection="1">
      <alignment horizontal="center"/>
      <protection locked="0"/>
    </xf>
    <xf numFmtId="0" fontId="7" fillId="14" borderId="84" xfId="0" applyFont="1" applyFill="1" applyBorder="1" applyAlignment="1" applyProtection="1">
      <alignment horizontal="center"/>
      <protection locked="0"/>
    </xf>
    <xf numFmtId="0" fontId="7" fillId="14" borderId="128" xfId="0" applyFont="1" applyFill="1" applyBorder="1" applyAlignment="1" applyProtection="1">
      <alignment horizontal="center"/>
      <protection locked="0"/>
    </xf>
    <xf numFmtId="0" fontId="7" fillId="14" borderId="70" xfId="0" applyFont="1" applyFill="1" applyBorder="1" applyAlignment="1" applyProtection="1">
      <alignment horizontal="center"/>
      <protection locked="0"/>
    </xf>
    <xf numFmtId="0" fontId="7" fillId="14" borderId="80" xfId="0" applyFont="1" applyFill="1" applyBorder="1" applyAlignment="1" applyProtection="1">
      <alignment horizontal="center"/>
      <protection locked="0"/>
    </xf>
    <xf numFmtId="0" fontId="7" fillId="14" borderId="7" xfId="0" applyFont="1" applyFill="1" applyBorder="1" applyAlignment="1" applyProtection="1">
      <alignment horizontal="center"/>
      <protection locked="0"/>
    </xf>
    <xf numFmtId="0" fontId="7" fillId="14" borderId="8" xfId="0" applyFont="1" applyFill="1" applyBorder="1" applyAlignment="1" applyProtection="1">
      <alignment horizontal="center"/>
      <protection locked="0"/>
    </xf>
    <xf numFmtId="0" fontId="7" fillId="14" borderId="9" xfId="0" applyFont="1" applyFill="1" applyBorder="1" applyAlignment="1" applyProtection="1">
      <alignment horizontal="center"/>
      <protection locked="0"/>
    </xf>
    <xf numFmtId="0" fontId="12" fillId="4" borderId="144" xfId="0" applyFont="1" applyFill="1" applyBorder="1" applyAlignment="1">
      <alignment horizontal="center"/>
    </xf>
    <xf numFmtId="0" fontId="7" fillId="4" borderId="150" xfId="0" applyFont="1" applyFill="1" applyBorder="1" applyAlignment="1">
      <alignment horizontal="center" vertical="center" textRotation="90"/>
    </xf>
    <xf numFmtId="0" fontId="7" fillId="4" borderId="149" xfId="0" applyFont="1" applyFill="1" applyBorder="1" applyAlignment="1">
      <alignment horizontal="center" vertical="center" textRotation="180"/>
    </xf>
    <xf numFmtId="0" fontId="7" fillId="10" borderId="81" xfId="0" applyFont="1" applyFill="1" applyBorder="1" applyAlignment="1">
      <alignment horizontal="center"/>
    </xf>
    <xf numFmtId="0" fontId="7" fillId="10" borderId="49" xfId="0" applyFont="1" applyFill="1" applyBorder="1" applyAlignment="1">
      <alignment horizontal="center"/>
    </xf>
    <xf numFmtId="0" fontId="7" fillId="10" borderId="82" xfId="0" applyFont="1" applyFill="1" applyBorder="1" applyAlignment="1">
      <alignment horizontal="center"/>
    </xf>
    <xf numFmtId="0" fontId="7" fillId="10" borderId="81" xfId="0" applyFont="1" applyFill="1" applyBorder="1" applyAlignment="1">
      <alignment horizontal="center" wrapText="1"/>
    </xf>
    <xf numFmtId="0" fontId="7" fillId="10" borderId="49" xfId="0" applyFont="1" applyFill="1" applyBorder="1" applyAlignment="1">
      <alignment horizontal="center" wrapText="1"/>
    </xf>
    <xf numFmtId="0" fontId="7" fillId="10" borderId="82" xfId="0" applyFont="1" applyFill="1" applyBorder="1" applyAlignment="1">
      <alignment horizontal="center" wrapText="1"/>
    </xf>
    <xf numFmtId="0" fontId="12" fillId="0" borderId="7" xfId="0" applyFont="1" applyBorder="1" applyAlignment="1">
      <alignment horizontal="center"/>
    </xf>
    <xf numFmtId="0" fontId="12" fillId="0" borderId="8" xfId="0" applyFont="1" applyBorder="1" applyAlignment="1">
      <alignment horizontal="center"/>
    </xf>
    <xf numFmtId="0" fontId="12" fillId="0" borderId="10" xfId="0" applyFont="1" applyBorder="1" applyAlignment="1">
      <alignment horizontal="center"/>
    </xf>
    <xf numFmtId="0" fontId="12" fillId="0" borderId="6" xfId="0" applyFont="1" applyBorder="1" applyAlignment="1">
      <alignment horizontal="center"/>
    </xf>
    <xf numFmtId="0" fontId="12" fillId="0" borderId="15" xfId="0" applyFont="1" applyBorder="1" applyAlignment="1">
      <alignment horizontal="center"/>
    </xf>
    <xf numFmtId="0" fontId="12" fillId="0" borderId="16" xfId="0" applyFont="1" applyBorder="1" applyAlignment="1">
      <alignment horizontal="center"/>
    </xf>
    <xf numFmtId="0" fontId="12" fillId="0" borderId="9" xfId="0" applyFont="1" applyBorder="1" applyAlignment="1">
      <alignment horizontal="center"/>
    </xf>
    <xf numFmtId="0" fontId="12" fillId="0" borderId="11" xfId="0" applyFont="1" applyBorder="1" applyAlignment="1">
      <alignment horizontal="center"/>
    </xf>
    <xf numFmtId="0" fontId="12" fillId="0" borderId="17" xfId="0" applyFont="1" applyBorder="1" applyAlignment="1">
      <alignment horizontal="center"/>
    </xf>
    <xf numFmtId="0" fontId="7" fillId="14" borderId="10" xfId="0" applyFont="1" applyFill="1" applyBorder="1" applyAlignment="1" applyProtection="1">
      <alignment horizontal="center"/>
      <protection locked="0"/>
    </xf>
    <xf numFmtId="0" fontId="7" fillId="14" borderId="6" xfId="0" applyFont="1" applyFill="1" applyBorder="1" applyAlignment="1" applyProtection="1">
      <alignment horizontal="center"/>
      <protection locked="0"/>
    </xf>
    <xf numFmtId="0" fontId="12" fillId="4" borderId="152" xfId="0" applyFont="1" applyFill="1" applyBorder="1" applyAlignment="1">
      <alignment horizontal="center"/>
    </xf>
    <xf numFmtId="0" fontId="12" fillId="4" borderId="129" xfId="0" applyFont="1" applyFill="1" applyBorder="1" applyAlignment="1">
      <alignment horizontal="center"/>
    </xf>
    <xf numFmtId="0" fontId="7" fillId="4" borderId="1" xfId="0" applyFont="1" applyFill="1" applyBorder="1" applyAlignment="1">
      <alignment horizontal="center"/>
    </xf>
    <xf numFmtId="0" fontId="7" fillId="0" borderId="81" xfId="0" applyFont="1" applyBorder="1" applyAlignment="1">
      <alignment horizontal="center"/>
    </xf>
    <xf numFmtId="0" fontId="7" fillId="0" borderId="49" xfId="0" applyFont="1" applyBorder="1" applyAlignment="1">
      <alignment horizontal="center"/>
    </xf>
    <xf numFmtId="0" fontId="7" fillId="0" borderId="82" xfId="0" applyFont="1" applyBorder="1" applyAlignment="1">
      <alignment horizontal="center"/>
    </xf>
    <xf numFmtId="0" fontId="12" fillId="0" borderId="49" xfId="0" applyFont="1" applyBorder="1" applyAlignment="1">
      <alignment horizontal="center"/>
    </xf>
    <xf numFmtId="0" fontId="12" fillId="0" borderId="82" xfId="0" applyFont="1" applyBorder="1" applyAlignment="1">
      <alignment horizontal="center"/>
    </xf>
    <xf numFmtId="0" fontId="12" fillId="0" borderId="57" xfId="0" applyFont="1" applyBorder="1" applyAlignment="1">
      <alignment horizontal="center"/>
    </xf>
    <xf numFmtId="0" fontId="12" fillId="0" borderId="89" xfId="0" applyFont="1" applyBorder="1" applyAlignment="1">
      <alignment horizontal="center"/>
    </xf>
    <xf numFmtId="0" fontId="7" fillId="10" borderId="78" xfId="0" applyFont="1" applyFill="1" applyBorder="1" applyAlignment="1">
      <alignment horizontal="center" vertical="center" textRotation="90"/>
    </xf>
    <xf numFmtId="0" fontId="7" fillId="10" borderId="40" xfId="0" applyFont="1" applyFill="1" applyBorder="1" applyAlignment="1">
      <alignment horizontal="center" vertical="center" textRotation="90"/>
    </xf>
    <xf numFmtId="0" fontId="11" fillId="0" borderId="12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28" xfId="0" applyFont="1" applyBorder="1" applyAlignment="1">
      <alignment horizontal="center" vertical="center"/>
    </xf>
    <xf numFmtId="0" fontId="11" fillId="0" borderId="39" xfId="0" applyFont="1" applyBorder="1" applyAlignment="1">
      <alignment horizontal="center" vertical="center"/>
    </xf>
    <xf numFmtId="0" fontId="7" fillId="10" borderId="40" xfId="0" applyFont="1" applyFill="1" applyBorder="1" applyAlignment="1">
      <alignment horizontal="center" vertical="center" textRotation="180"/>
    </xf>
    <xf numFmtId="0" fontId="7" fillId="10" borderId="28" xfId="0" applyFont="1" applyFill="1" applyBorder="1" applyAlignment="1">
      <alignment horizontal="center" vertical="center" textRotation="180"/>
    </xf>
    <xf numFmtId="0" fontId="7" fillId="14" borderId="11" xfId="0" applyFont="1" applyFill="1" applyBorder="1" applyAlignment="1" applyProtection="1">
      <alignment horizontal="center" vertical="center" textRotation="180"/>
      <protection locked="0"/>
    </xf>
    <xf numFmtId="0" fontId="7" fillId="14" borderId="10" xfId="0" applyFont="1" applyFill="1" applyBorder="1" applyAlignment="1" applyProtection="1">
      <alignment horizontal="center" vertical="center" textRotation="90"/>
      <protection locked="0"/>
    </xf>
    <xf numFmtId="0" fontId="7" fillId="10" borderId="39" xfId="0" applyFont="1" applyFill="1" applyBorder="1" applyAlignment="1">
      <alignment horizontal="center" vertical="center" textRotation="90"/>
    </xf>
    <xf numFmtId="0" fontId="11" fillId="0" borderId="7" xfId="0" applyFont="1" applyBorder="1" applyAlignment="1">
      <alignment horizontal="center" vertical="center"/>
    </xf>
    <xf numFmtId="0" fontId="11" fillId="0" borderId="126" xfId="0" applyFont="1" applyBorder="1" applyAlignment="1">
      <alignment horizontal="center" vertical="center"/>
    </xf>
    <xf numFmtId="0" fontId="7" fillId="10" borderId="78" xfId="0" applyFont="1" applyFill="1" applyBorder="1" applyAlignment="1">
      <alignment horizontal="center" vertical="center" textRotation="180"/>
    </xf>
    <xf numFmtId="0" fontId="7" fillId="10" borderId="127" xfId="0" applyFont="1" applyFill="1" applyBorder="1" applyAlignment="1">
      <alignment horizontal="center" vertical="center" textRotation="180"/>
    </xf>
    <xf numFmtId="0" fontId="7" fillId="4" borderId="132" xfId="0" applyFont="1" applyFill="1" applyBorder="1" applyAlignment="1">
      <alignment horizontal="center" vertical="center" textRotation="180"/>
    </xf>
    <xf numFmtId="0" fontId="7" fillId="4" borderId="129" xfId="0" applyFont="1" applyFill="1" applyBorder="1" applyAlignment="1">
      <alignment horizontal="center" vertical="center" textRotation="180"/>
    </xf>
    <xf numFmtId="0" fontId="7" fillId="14" borderId="7" xfId="0" applyFont="1" applyFill="1" applyBorder="1" applyAlignment="1" applyProtection="1">
      <alignment horizontal="center" vertical="center" textRotation="90"/>
      <protection locked="0"/>
    </xf>
    <xf numFmtId="0" fontId="7" fillId="10" borderId="126" xfId="0" applyFont="1" applyFill="1" applyBorder="1" applyAlignment="1">
      <alignment horizontal="center" vertical="center" textRotation="90"/>
    </xf>
    <xf numFmtId="0" fontId="7" fillId="10" borderId="84" xfId="0" applyFont="1" applyFill="1" applyBorder="1" applyAlignment="1">
      <alignment horizontal="center" vertical="center" textRotation="90"/>
    </xf>
    <xf numFmtId="0" fontId="11" fillId="0" borderId="128"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2" fillId="0" borderId="83" xfId="0" applyFont="1" applyBorder="1" applyAlignment="1">
      <alignment horizontal="center"/>
    </xf>
    <xf numFmtId="0" fontId="12" fillId="0" borderId="87" xfId="0" applyFont="1" applyBorder="1" applyAlignment="1">
      <alignment horizontal="center"/>
    </xf>
    <xf numFmtId="0" fontId="12" fillId="0" borderId="88" xfId="0" applyFont="1" applyBorder="1" applyAlignment="1">
      <alignment horizontal="center"/>
    </xf>
    <xf numFmtId="0" fontId="12" fillId="0" borderId="81" xfId="0" applyFont="1" applyBorder="1" applyAlignment="1">
      <alignment horizontal="center"/>
    </xf>
    <xf numFmtId="0" fontId="7" fillId="0" borderId="81" xfId="0" applyFont="1" applyBorder="1" applyAlignment="1">
      <alignment horizontal="center" wrapText="1"/>
    </xf>
    <xf numFmtId="0" fontId="7" fillId="0" borderId="49" xfId="0" applyFont="1" applyBorder="1" applyAlignment="1">
      <alignment horizontal="center" wrapText="1"/>
    </xf>
    <xf numFmtId="0" fontId="7" fillId="0" borderId="82" xfId="0" applyFont="1" applyBorder="1" applyAlignment="1">
      <alignment horizontal="center" wrapText="1"/>
    </xf>
    <xf numFmtId="0" fontId="7" fillId="4" borderId="90" xfId="0" applyFont="1" applyFill="1" applyBorder="1" applyAlignment="1">
      <alignment horizontal="center"/>
    </xf>
    <xf numFmtId="0" fontId="7" fillId="4" borderId="57" xfId="0" applyFont="1" applyFill="1" applyBorder="1" applyAlignment="1">
      <alignment horizontal="center"/>
    </xf>
    <xf numFmtId="0" fontId="7" fillId="4" borderId="89" xfId="0" applyFont="1" applyFill="1" applyBorder="1" applyAlignment="1">
      <alignment horizontal="center"/>
    </xf>
    <xf numFmtId="0" fontId="11" fillId="0" borderId="12" xfId="0" applyFont="1" applyBorder="1" applyAlignment="1">
      <alignment horizontal="center" vertical="center"/>
    </xf>
    <xf numFmtId="0" fontId="11" fillId="0" borderId="70" xfId="0" applyFont="1" applyBorder="1" applyAlignment="1">
      <alignment horizontal="center" vertical="center"/>
    </xf>
    <xf numFmtId="0" fontId="7" fillId="10" borderId="84" xfId="0" applyFont="1" applyFill="1" applyBorder="1" applyAlignment="1">
      <alignment horizontal="center" vertical="center" textRotation="180"/>
    </xf>
    <xf numFmtId="0" fontId="7" fillId="10" borderId="128" xfId="0" applyFont="1" applyFill="1" applyBorder="1" applyAlignment="1">
      <alignment horizontal="center" vertical="center" textRotation="180"/>
    </xf>
    <xf numFmtId="0" fontId="7" fillId="14" borderId="14" xfId="0" applyFont="1" applyFill="1" applyBorder="1" applyAlignment="1" applyProtection="1">
      <alignment horizontal="center" vertical="center" textRotation="180"/>
      <protection locked="0"/>
    </xf>
    <xf numFmtId="0" fontId="7" fillId="4" borderId="130" xfId="0" applyFont="1" applyFill="1" applyBorder="1" applyAlignment="1">
      <alignment horizontal="center" vertical="center" textRotation="90"/>
    </xf>
    <xf numFmtId="0" fontId="7" fillId="4" borderId="144" xfId="0" applyFont="1" applyFill="1" applyBorder="1" applyAlignment="1">
      <alignment horizontal="center" vertical="center" textRotation="90"/>
    </xf>
    <xf numFmtId="0" fontId="7" fillId="10" borderId="70" xfId="0" applyFont="1" applyFill="1" applyBorder="1" applyAlignment="1">
      <alignment horizontal="center" vertical="center" textRotation="90"/>
    </xf>
    <xf numFmtId="0" fontId="12" fillId="0" borderId="69" xfId="0" applyFont="1" applyBorder="1" applyAlignment="1">
      <alignment horizontal="center"/>
    </xf>
    <xf numFmtId="0" fontId="12" fillId="0" borderId="32" xfId="0" applyFont="1" applyBorder="1" applyAlignment="1">
      <alignment horizontal="center"/>
    </xf>
    <xf numFmtId="0" fontId="12" fillId="0" borderId="12" xfId="0" applyFont="1" applyBorder="1" applyAlignment="1">
      <alignment horizontal="center"/>
    </xf>
    <xf numFmtId="0" fontId="12" fillId="0" borderId="13" xfId="0" applyFont="1" applyBorder="1" applyAlignment="1">
      <alignment horizontal="center"/>
    </xf>
    <xf numFmtId="0" fontId="12" fillId="0" borderId="33" xfId="0" applyFont="1" applyBorder="1" applyAlignment="1">
      <alignment horizontal="center"/>
    </xf>
    <xf numFmtId="0" fontId="12" fillId="0" borderId="14" xfId="0" applyFont="1" applyBorder="1" applyAlignment="1">
      <alignment horizontal="center"/>
    </xf>
    <xf numFmtId="0" fontId="12" fillId="4" borderId="138" xfId="0" applyFont="1" applyFill="1" applyBorder="1" applyAlignment="1">
      <alignment horizontal="center"/>
    </xf>
    <xf numFmtId="0" fontId="12" fillId="4" borderId="139" xfId="0" applyFont="1" applyFill="1" applyBorder="1" applyAlignment="1">
      <alignment horizontal="center"/>
    </xf>
    <xf numFmtId="0" fontId="7" fillId="10" borderId="15" xfId="0" applyFont="1" applyFill="1" applyBorder="1" applyAlignment="1">
      <alignment horizontal="center"/>
    </xf>
    <xf numFmtId="0" fontId="7" fillId="10" borderId="16" xfId="0" applyFont="1" applyFill="1" applyBorder="1" applyAlignment="1">
      <alignment horizontal="center"/>
    </xf>
    <xf numFmtId="0" fontId="7" fillId="10" borderId="17" xfId="0" applyFont="1" applyFill="1" applyBorder="1" applyAlignment="1">
      <alignment horizontal="center"/>
    </xf>
    <xf numFmtId="0" fontId="7" fillId="15" borderId="49" xfId="0" applyFont="1" applyFill="1" applyBorder="1" applyAlignment="1">
      <alignment horizontal="center"/>
    </xf>
    <xf numFmtId="0" fontId="7" fillId="15" borderId="82" xfId="0" applyFont="1" applyFill="1" applyBorder="1" applyAlignment="1">
      <alignment horizontal="center"/>
    </xf>
    <xf numFmtId="0" fontId="7" fillId="15" borderId="69" xfId="0" applyFont="1" applyFill="1" applyBorder="1" applyAlignment="1">
      <alignment horizontal="center" wrapText="1"/>
    </xf>
    <xf numFmtId="0" fontId="7" fillId="15" borderId="32" xfId="0" applyFont="1" applyFill="1" applyBorder="1" applyAlignment="1">
      <alignment horizontal="center" wrapText="1"/>
    </xf>
    <xf numFmtId="0" fontId="7" fillId="15" borderId="33" xfId="0" applyFont="1" applyFill="1" applyBorder="1" applyAlignment="1">
      <alignment horizontal="center" wrapText="1"/>
    </xf>
    <xf numFmtId="0" fontId="7" fillId="15" borderId="126" xfId="0" applyFont="1" applyFill="1" applyBorder="1" applyAlignment="1">
      <alignment horizontal="center" vertical="center" textRotation="90"/>
    </xf>
    <xf numFmtId="0" fontId="7" fillId="15" borderId="39" xfId="0" applyFont="1" applyFill="1" applyBorder="1" applyAlignment="1">
      <alignment horizontal="center" vertical="center" textRotation="90"/>
    </xf>
    <xf numFmtId="0" fontId="7" fillId="15" borderId="78" xfId="0" applyFont="1" applyFill="1" applyBorder="1" applyAlignment="1">
      <alignment horizontal="center" vertical="center" textRotation="90"/>
    </xf>
    <xf numFmtId="0" fontId="7" fillId="15" borderId="40" xfId="0" applyFont="1" applyFill="1" applyBorder="1" applyAlignment="1">
      <alignment horizontal="center" vertical="center" textRotation="90"/>
    </xf>
    <xf numFmtId="0" fontId="11" fillId="0" borderId="78" xfId="0" applyFont="1" applyBorder="1" applyAlignment="1">
      <alignment horizontal="center" vertical="center"/>
    </xf>
    <xf numFmtId="0" fontId="11" fillId="0" borderId="75" xfId="0" applyFont="1" applyBorder="1" applyAlignment="1">
      <alignment horizontal="center" vertical="center"/>
    </xf>
    <xf numFmtId="0" fontId="11" fillId="0" borderId="40" xfId="0" applyFont="1" applyBorder="1" applyAlignment="1">
      <alignment horizontal="center" vertical="center"/>
    </xf>
    <xf numFmtId="0" fontId="11" fillId="0" borderId="76" xfId="0" applyFont="1" applyBorder="1" applyAlignment="1">
      <alignment horizontal="center" vertical="center"/>
    </xf>
    <xf numFmtId="0" fontId="11" fillId="0" borderId="77" xfId="0" applyFont="1" applyBorder="1" applyAlignment="1">
      <alignment horizontal="center" vertical="center"/>
    </xf>
    <xf numFmtId="0" fontId="11" fillId="0" borderId="79" xfId="0" applyFont="1" applyBorder="1" applyAlignment="1">
      <alignment horizontal="center" vertical="center"/>
    </xf>
    <xf numFmtId="0" fontId="7" fillId="15" borderId="78" xfId="0" applyFont="1" applyFill="1" applyBorder="1" applyAlignment="1">
      <alignment horizontal="center" vertical="center" textRotation="180"/>
    </xf>
    <xf numFmtId="0" fontId="7" fillId="15" borderId="40" xfId="0" applyFont="1" applyFill="1" applyBorder="1" applyAlignment="1">
      <alignment horizontal="center" vertical="center" textRotation="180"/>
    </xf>
    <xf numFmtId="0" fontId="7" fillId="15" borderId="127" xfId="0" applyFont="1" applyFill="1" applyBorder="1" applyAlignment="1">
      <alignment horizontal="center" vertical="center" textRotation="180"/>
    </xf>
    <xf numFmtId="0" fontId="7" fillId="15" borderId="28" xfId="0" applyFont="1" applyFill="1" applyBorder="1" applyAlignment="1">
      <alignment horizontal="center" vertical="center" textRotation="180"/>
    </xf>
    <xf numFmtId="0" fontId="7" fillId="4" borderId="77" xfId="0" applyFont="1" applyFill="1" applyBorder="1" applyAlignment="1">
      <alignment horizontal="center" vertical="center" textRotation="90"/>
    </xf>
    <xf numFmtId="0" fontId="7" fillId="4" borderId="79" xfId="0" applyFont="1" applyFill="1" applyBorder="1" applyAlignment="1">
      <alignment horizontal="center" vertical="center" textRotation="90"/>
    </xf>
    <xf numFmtId="0" fontId="7" fillId="4" borderId="85" xfId="0" applyFont="1" applyFill="1" applyBorder="1" applyAlignment="1">
      <alignment horizontal="center" vertical="center" textRotation="90"/>
    </xf>
    <xf numFmtId="0" fontId="7" fillId="0" borderId="78" xfId="0" applyFont="1" applyBorder="1" applyAlignment="1">
      <alignment horizontal="center" vertical="center" textRotation="90"/>
    </xf>
    <xf numFmtId="0" fontId="7" fillId="0" borderId="40" xfId="0" applyFont="1" applyBorder="1" applyAlignment="1">
      <alignment horizontal="center" vertical="center" textRotation="90"/>
    </xf>
    <xf numFmtId="0" fontId="7" fillId="0" borderId="84" xfId="0" applyFont="1" applyBorder="1" applyAlignment="1">
      <alignment horizontal="center" vertical="center" textRotation="90"/>
    </xf>
    <xf numFmtId="0" fontId="11" fillId="0" borderId="84" xfId="0" applyFont="1" applyBorder="1" applyAlignment="1">
      <alignment horizontal="center" vertical="center"/>
    </xf>
    <xf numFmtId="0" fontId="11" fillId="0" borderId="80" xfId="0" applyFont="1" applyBorder="1" applyAlignment="1">
      <alignment horizontal="center" vertical="center"/>
    </xf>
    <xf numFmtId="0" fontId="7" fillId="15" borderId="81" xfId="0" applyFont="1" applyFill="1" applyBorder="1" applyAlignment="1">
      <alignment horizontal="center"/>
    </xf>
    <xf numFmtId="0" fontId="11" fillId="0" borderId="85" xfId="0" applyFont="1" applyBorder="1" applyAlignment="1">
      <alignment horizontal="center" vertical="center"/>
    </xf>
    <xf numFmtId="0" fontId="7" fillId="15" borderId="84" xfId="0" applyFont="1" applyFill="1" applyBorder="1" applyAlignment="1">
      <alignment horizontal="center" vertical="center" textRotation="180"/>
    </xf>
    <xf numFmtId="0" fontId="7" fillId="15" borderId="128" xfId="0" applyFont="1" applyFill="1" applyBorder="1" applyAlignment="1">
      <alignment horizontal="center" vertical="center" textRotation="180"/>
    </xf>
    <xf numFmtId="0" fontId="7" fillId="15" borderId="70" xfId="0" applyFont="1" applyFill="1" applyBorder="1" applyAlignment="1">
      <alignment horizontal="center" vertical="center" textRotation="90"/>
    </xf>
    <xf numFmtId="0" fontId="7" fillId="15" borderId="84" xfId="0" applyFont="1" applyFill="1" applyBorder="1" applyAlignment="1">
      <alignment horizontal="center" vertical="center" textRotation="90"/>
    </xf>
    <xf numFmtId="0" fontId="7" fillId="0" borderId="78" xfId="0" applyFont="1" applyBorder="1" applyAlignment="1">
      <alignment horizontal="center" vertical="center" textRotation="180"/>
    </xf>
    <xf numFmtId="0" fontId="7" fillId="0" borderId="40" xfId="0" applyFont="1" applyBorder="1" applyAlignment="1">
      <alignment horizontal="center" vertical="center" textRotation="180"/>
    </xf>
    <xf numFmtId="0" fontId="7" fillId="0" borderId="84" xfId="0" applyFont="1" applyBorder="1" applyAlignment="1">
      <alignment horizontal="center" vertical="center" textRotation="180"/>
    </xf>
    <xf numFmtId="0" fontId="7" fillId="6" borderId="78" xfId="0" applyFont="1" applyFill="1" applyBorder="1" applyAlignment="1">
      <alignment horizontal="center" vertical="center" textRotation="180"/>
    </xf>
    <xf numFmtId="0" fontId="7" fillId="6" borderId="40" xfId="0" applyFont="1" applyFill="1" applyBorder="1" applyAlignment="1">
      <alignment horizontal="center" vertical="center" textRotation="180"/>
    </xf>
    <xf numFmtId="0" fontId="7" fillId="6" borderId="84" xfId="0" applyFont="1" applyFill="1" applyBorder="1" applyAlignment="1">
      <alignment horizontal="center" vertical="center" textRotation="180"/>
    </xf>
    <xf numFmtId="0" fontId="7" fillId="4" borderId="3" xfId="0" applyFont="1" applyFill="1" applyBorder="1" applyAlignment="1">
      <alignment horizontal="center" vertical="center" textRotation="180"/>
    </xf>
    <xf numFmtId="0" fontId="7" fillId="4" borderId="5" xfId="0" applyFont="1" applyFill="1" applyBorder="1" applyAlignment="1">
      <alignment horizontal="center" vertical="center" textRotation="180"/>
    </xf>
    <xf numFmtId="0" fontId="7" fillId="4" borderId="36" xfId="0" applyFont="1" applyFill="1" applyBorder="1" applyAlignment="1">
      <alignment horizontal="center" vertical="center" textRotation="180"/>
    </xf>
    <xf numFmtId="0" fontId="12" fillId="0" borderId="90" xfId="0" applyFont="1" applyBorder="1" applyAlignment="1">
      <alignment horizontal="center"/>
    </xf>
    <xf numFmtId="0" fontId="7" fillId="15" borderId="15" xfId="0" applyFont="1" applyFill="1" applyBorder="1" applyAlignment="1">
      <alignment horizontal="center"/>
    </xf>
    <xf numFmtId="0" fontId="7" fillId="15" borderId="16" xfId="0" applyFont="1" applyFill="1" applyBorder="1" applyAlignment="1">
      <alignment horizontal="center"/>
    </xf>
    <xf numFmtId="0" fontId="7" fillId="15" borderId="17" xfId="0" applyFont="1" applyFill="1" applyBorder="1" applyAlignment="1">
      <alignment horizontal="center"/>
    </xf>
    <xf numFmtId="0" fontId="7" fillId="4" borderId="83" xfId="0" applyFont="1" applyFill="1" applyBorder="1" applyAlignment="1">
      <alignment horizontal="center"/>
    </xf>
    <xf numFmtId="0" fontId="7" fillId="4" borderId="87" xfId="0" applyFont="1" applyFill="1" applyBorder="1" applyAlignment="1">
      <alignment horizontal="center"/>
    </xf>
    <xf numFmtId="0" fontId="7" fillId="4" borderId="88" xfId="0" applyFont="1" applyFill="1" applyBorder="1" applyAlignment="1">
      <alignment horizontal="center"/>
    </xf>
    <xf numFmtId="0" fontId="7" fillId="4" borderId="75" xfId="0" applyFont="1" applyFill="1" applyBorder="1" applyAlignment="1">
      <alignment horizontal="center" vertical="center" textRotation="180"/>
    </xf>
    <xf numFmtId="0" fontId="7" fillId="4" borderId="76" xfId="0" applyFont="1" applyFill="1" applyBorder="1" applyAlignment="1">
      <alignment horizontal="center" vertical="center" textRotation="180"/>
    </xf>
    <xf numFmtId="0" fontId="7" fillId="4" borderId="80" xfId="0" applyFont="1" applyFill="1" applyBorder="1" applyAlignment="1">
      <alignment horizontal="center" vertical="center" textRotation="180"/>
    </xf>
    <xf numFmtId="1" fontId="53" fillId="6" borderId="1" xfId="0" applyNumberFormat="1"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0" xfId="0" applyFont="1" applyFill="1" applyAlignment="1">
      <alignment horizontal="center" vertical="center" wrapText="1"/>
    </xf>
    <xf numFmtId="0" fontId="53" fillId="6" borderId="5" xfId="0" applyFont="1" applyFill="1" applyBorder="1" applyAlignment="1">
      <alignment horizontal="center" vertical="center" wrapText="1"/>
    </xf>
    <xf numFmtId="0" fontId="53" fillId="6" borderId="34"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36" xfId="0" applyFont="1" applyFill="1" applyBorder="1" applyAlignment="1">
      <alignment horizontal="center" vertical="center" wrapText="1"/>
    </xf>
    <xf numFmtId="0" fontId="7" fillId="10" borderId="69" xfId="0" applyFont="1" applyFill="1" applyBorder="1" applyAlignment="1">
      <alignment horizontal="center" wrapText="1"/>
    </xf>
    <xf numFmtId="0" fontId="7" fillId="10" borderId="32" xfId="0" applyFont="1" applyFill="1" applyBorder="1" applyAlignment="1">
      <alignment horizontal="center" wrapText="1"/>
    </xf>
    <xf numFmtId="0" fontId="7" fillId="10" borderId="33" xfId="0" applyFont="1" applyFill="1" applyBorder="1" applyAlignment="1">
      <alignment horizont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7" xfId="0" applyFont="1" applyBorder="1" applyAlignment="1">
      <alignment horizontal="center"/>
    </xf>
    <xf numFmtId="0" fontId="7" fillId="19" borderId="32" xfId="0" applyFont="1" applyFill="1" applyBorder="1" applyAlignment="1">
      <alignment horizontal="center" wrapText="1"/>
    </xf>
    <xf numFmtId="0" fontId="7" fillId="15" borderId="40" xfId="0" applyFont="1" applyFill="1" applyBorder="1" applyAlignment="1">
      <alignment horizontal="center" vertical="top" textRotation="180"/>
    </xf>
    <xf numFmtId="0" fontId="7" fillId="4" borderId="13" xfId="0" applyFont="1" applyFill="1" applyBorder="1" applyAlignment="1">
      <alignment horizontal="center"/>
    </xf>
    <xf numFmtId="0" fontId="7" fillId="15" borderId="78" xfId="0" applyFont="1" applyFill="1" applyBorder="1" applyAlignment="1">
      <alignment horizontal="center" vertical="top" textRotation="180"/>
    </xf>
    <xf numFmtId="0" fontId="7" fillId="19" borderId="49" xfId="0" applyFont="1" applyFill="1" applyBorder="1" applyAlignment="1">
      <alignment horizontal="center"/>
    </xf>
    <xf numFmtId="0" fontId="7" fillId="15" borderId="84" xfId="0" applyFont="1" applyFill="1" applyBorder="1" applyAlignment="1">
      <alignment horizontal="center" vertical="top" textRotation="180"/>
    </xf>
    <xf numFmtId="0" fontId="7" fillId="15" borderId="78" xfId="0" applyFont="1" applyFill="1" applyBorder="1" applyAlignment="1">
      <alignment horizontal="center" textRotation="90"/>
    </xf>
    <xf numFmtId="0" fontId="7" fillId="15" borderId="40" xfId="0" applyFont="1" applyFill="1" applyBorder="1" applyAlignment="1">
      <alignment horizontal="center" textRotation="90"/>
    </xf>
    <xf numFmtId="0" fontId="7" fillId="15" borderId="84" xfId="0" applyFont="1" applyFill="1" applyBorder="1" applyAlignment="1">
      <alignment horizontal="center" textRotation="90"/>
    </xf>
    <xf numFmtId="0" fontId="7" fillId="4" borderId="32" xfId="0" applyFont="1" applyFill="1" applyBorder="1" applyAlignment="1">
      <alignment horizontal="center"/>
    </xf>
    <xf numFmtId="0" fontId="7" fillId="19" borderId="16" xfId="0" applyFont="1" applyFill="1" applyBorder="1" applyAlignment="1">
      <alignment horizontal="center"/>
    </xf>
    <xf numFmtId="0" fontId="7" fillId="0" borderId="69" xfId="0" applyFont="1" applyBorder="1" applyAlignment="1">
      <alignment horizontal="center" wrapText="1"/>
    </xf>
    <xf numFmtId="0" fontId="7" fillId="0" borderId="32" xfId="0" applyFont="1" applyBorder="1" applyAlignment="1">
      <alignment horizontal="center" wrapText="1"/>
    </xf>
    <xf numFmtId="0" fontId="7" fillId="0" borderId="33" xfId="0" applyFont="1" applyBorder="1" applyAlignment="1">
      <alignment horizontal="center" wrapText="1"/>
    </xf>
    <xf numFmtId="0" fontId="9" fillId="0" borderId="48" xfId="0" applyFont="1" applyBorder="1" applyAlignment="1">
      <alignment horizontal="center"/>
    </xf>
    <xf numFmtId="0" fontId="9" fillId="0" borderId="54" xfId="0" applyFont="1" applyBorder="1" applyAlignment="1">
      <alignment horizontal="center"/>
    </xf>
    <xf numFmtId="165" fontId="0" fillId="0" borderId="48" xfId="0" applyNumberFormat="1" applyBorder="1" applyAlignment="1">
      <alignment horizontal="center"/>
    </xf>
    <xf numFmtId="165" fontId="0" fillId="0" borderId="36" xfId="0" applyNumberFormat="1" applyBorder="1" applyAlignment="1">
      <alignment horizontal="center"/>
    </xf>
    <xf numFmtId="2" fontId="11" fillId="0" borderId="10" xfId="0" applyNumberFormat="1" applyFont="1" applyBorder="1" applyAlignment="1">
      <alignment horizontal="center" vertical="center"/>
    </xf>
    <xf numFmtId="2" fontId="11" fillId="0" borderId="6" xfId="0" applyNumberFormat="1" applyFont="1" applyBorder="1" applyAlignment="1">
      <alignment horizontal="center" vertical="center"/>
    </xf>
    <xf numFmtId="2" fontId="11" fillId="0" borderId="11" xfId="0" applyNumberFormat="1" applyFont="1" applyBorder="1" applyAlignment="1">
      <alignment horizontal="center" vertical="center"/>
    </xf>
    <xf numFmtId="0" fontId="7" fillId="4" borderId="131" xfId="0" applyFont="1" applyFill="1" applyBorder="1" applyAlignment="1">
      <alignment horizontal="center"/>
    </xf>
    <xf numFmtId="0" fontId="7" fillId="4" borderId="133" xfId="0" applyFont="1" applyFill="1" applyBorder="1" applyAlignment="1">
      <alignment horizontal="center"/>
    </xf>
    <xf numFmtId="0" fontId="7" fillId="19" borderId="126" xfId="0" applyFont="1" applyFill="1" applyBorder="1" applyAlignment="1">
      <alignment horizontal="center" vertical="center" textRotation="90"/>
    </xf>
    <xf numFmtId="0" fontId="7" fillId="19" borderId="39" xfId="0" applyFont="1" applyFill="1" applyBorder="1" applyAlignment="1">
      <alignment horizontal="center" vertical="center" textRotation="90"/>
    </xf>
    <xf numFmtId="0" fontId="7" fillId="19" borderId="70" xfId="0" applyFont="1" applyFill="1" applyBorder="1" applyAlignment="1">
      <alignment horizontal="center" vertical="center" textRotation="90"/>
    </xf>
    <xf numFmtId="0" fontId="7" fillId="19" borderId="78" xfId="0" applyFont="1" applyFill="1" applyBorder="1" applyAlignment="1">
      <alignment horizontal="center" textRotation="90"/>
    </xf>
    <xf numFmtId="0" fontId="7" fillId="19" borderId="40" xfId="0" applyFont="1" applyFill="1" applyBorder="1" applyAlignment="1">
      <alignment horizontal="center" textRotation="90"/>
    </xf>
    <xf numFmtId="0" fontId="7" fillId="19" borderId="84" xfId="0" applyFont="1" applyFill="1" applyBorder="1" applyAlignment="1">
      <alignment horizontal="center" textRotation="90"/>
    </xf>
    <xf numFmtId="0" fontId="7" fillId="14" borderId="12" xfId="0" applyFont="1" applyFill="1" applyBorder="1" applyAlignment="1" applyProtection="1">
      <alignment horizontal="center" vertical="center" textRotation="90"/>
      <protection locked="0"/>
    </xf>
    <xf numFmtId="0" fontId="7" fillId="0" borderId="126" xfId="0" applyFont="1" applyBorder="1" applyAlignment="1">
      <alignment horizontal="center" vertical="center" textRotation="90"/>
    </xf>
    <xf numFmtId="0" fontId="7" fillId="0" borderId="39" xfId="0" applyFont="1" applyBorder="1" applyAlignment="1">
      <alignment horizontal="center" vertical="center" textRotation="90"/>
    </xf>
    <xf numFmtId="0" fontId="7" fillId="0" borderId="70" xfId="0" applyFont="1" applyBorder="1" applyAlignment="1">
      <alignment horizontal="center" vertical="center" textRotation="90"/>
    </xf>
    <xf numFmtId="0" fontId="7" fillId="0" borderId="2" xfId="0" applyFont="1" applyBorder="1" applyAlignment="1">
      <alignment horizontal="center" textRotation="90"/>
    </xf>
    <xf numFmtId="0" fontId="7" fillId="0" borderId="0" xfId="0" applyFont="1" applyAlignment="1">
      <alignment horizontal="center" textRotation="90"/>
    </xf>
    <xf numFmtId="0" fontId="7" fillId="0" borderId="35" xfId="0" applyFont="1" applyBorder="1" applyAlignment="1">
      <alignment horizontal="center" textRotation="90"/>
    </xf>
    <xf numFmtId="0" fontId="7" fillId="4" borderId="15" xfId="0" applyFont="1" applyFill="1" applyBorder="1" applyAlignment="1">
      <alignment horizontal="center" vertical="center" textRotation="90"/>
    </xf>
    <xf numFmtId="0" fontId="7" fillId="4" borderId="81" xfId="0" applyFont="1" applyFill="1" applyBorder="1" applyAlignment="1">
      <alignment horizontal="center" vertical="center" textRotation="90"/>
    </xf>
    <xf numFmtId="0" fontId="7" fillId="4" borderId="69" xfId="0" applyFont="1" applyFill="1" applyBorder="1" applyAlignment="1">
      <alignment horizontal="center" vertical="center" textRotation="90"/>
    </xf>
    <xf numFmtId="0" fontId="7" fillId="19" borderId="40" xfId="0" applyFont="1" applyFill="1" applyBorder="1" applyAlignment="1">
      <alignment horizontal="center" vertical="top" textRotation="180"/>
    </xf>
    <xf numFmtId="0" fontId="7" fillId="19" borderId="28" xfId="0" applyFont="1" applyFill="1" applyBorder="1" applyAlignment="1">
      <alignment horizontal="center" vertical="center" textRotation="180"/>
    </xf>
    <xf numFmtId="0" fontId="7" fillId="0" borderId="2" xfId="0" applyFont="1" applyBorder="1" applyAlignment="1">
      <alignment horizontal="center" vertical="top" textRotation="180"/>
    </xf>
    <xf numFmtId="0" fontId="7" fillId="0" borderId="0" xfId="0" applyFont="1" applyAlignment="1">
      <alignment horizontal="center" vertical="top" textRotation="180"/>
    </xf>
    <xf numFmtId="0" fontId="7" fillId="0" borderId="35" xfId="0" applyFont="1" applyBorder="1" applyAlignment="1">
      <alignment horizontal="center" vertical="top" textRotation="180"/>
    </xf>
    <xf numFmtId="0" fontId="7" fillId="0" borderId="127" xfId="0" applyFont="1" applyBorder="1" applyAlignment="1">
      <alignment horizontal="center" vertical="center" textRotation="180"/>
    </xf>
    <xf numFmtId="0" fontId="7" fillId="0" borderId="28" xfId="0" applyFont="1" applyBorder="1" applyAlignment="1">
      <alignment horizontal="center" vertical="center" textRotation="180"/>
    </xf>
    <xf numFmtId="0" fontId="7" fillId="0" borderId="128" xfId="0" applyFont="1" applyBorder="1" applyAlignment="1">
      <alignment horizontal="center" vertical="center" textRotation="180"/>
    </xf>
    <xf numFmtId="0" fontId="7" fillId="14" borderId="9" xfId="0" applyFont="1" applyFill="1" applyBorder="1" applyAlignment="1" applyProtection="1">
      <alignment horizontal="center" vertical="center" textRotation="180"/>
      <protection locked="0"/>
    </xf>
    <xf numFmtId="0" fontId="7" fillId="19" borderId="78" xfId="0" applyFont="1" applyFill="1" applyBorder="1" applyAlignment="1">
      <alignment horizontal="center" vertical="top" textRotation="180"/>
    </xf>
    <xf numFmtId="0" fontId="7" fillId="19" borderId="84" xfId="0" applyFont="1" applyFill="1" applyBorder="1" applyAlignment="1">
      <alignment horizontal="center" vertical="top" textRotation="180"/>
    </xf>
    <xf numFmtId="0" fontId="7" fillId="19" borderId="127" xfId="0" applyFont="1" applyFill="1" applyBorder="1" applyAlignment="1">
      <alignment horizontal="center" vertical="center" textRotation="180"/>
    </xf>
    <xf numFmtId="0" fontId="7" fillId="19" borderId="128" xfId="0" applyFont="1" applyFill="1" applyBorder="1" applyAlignment="1">
      <alignment horizontal="center" vertical="center" textRotation="180"/>
    </xf>
    <xf numFmtId="0" fontId="7" fillId="4" borderId="138" xfId="0" applyFont="1" applyFill="1" applyBorder="1" applyAlignment="1">
      <alignment horizontal="center"/>
    </xf>
    <xf numFmtId="0" fontId="7" fillId="4" borderId="139" xfId="0" applyFont="1" applyFill="1" applyBorder="1" applyAlignment="1">
      <alignment horizontal="center"/>
    </xf>
    <xf numFmtId="0" fontId="7" fillId="4" borderId="17" xfId="0" applyFont="1" applyFill="1" applyBorder="1" applyAlignment="1">
      <alignment horizontal="center" vertical="center" textRotation="180"/>
    </xf>
    <xf numFmtId="0" fontId="7" fillId="4" borderId="82" xfId="0" applyFont="1" applyFill="1" applyBorder="1" applyAlignment="1">
      <alignment horizontal="center" vertical="center" textRotation="180"/>
    </xf>
    <xf numFmtId="0" fontId="7" fillId="4" borderId="33" xfId="0" applyFont="1" applyFill="1" applyBorder="1" applyAlignment="1">
      <alignment horizontal="center" vertical="center" textRotation="180"/>
    </xf>
    <xf numFmtId="0" fontId="7" fillId="4" borderId="8" xfId="0" applyFont="1" applyFill="1" applyBorder="1" applyAlignment="1">
      <alignment horizontal="center"/>
    </xf>
    <xf numFmtId="0" fontId="51" fillId="21" borderId="50" xfId="0" applyFont="1" applyFill="1" applyBorder="1" applyAlignment="1">
      <alignment horizontal="center" vertical="center" wrapText="1"/>
    </xf>
    <xf numFmtId="0" fontId="51" fillId="21" borderId="51" xfId="0" applyFont="1" applyFill="1" applyBorder="1" applyAlignment="1">
      <alignment horizontal="center" vertical="center" wrapText="1"/>
    </xf>
    <xf numFmtId="0" fontId="51" fillId="21" borderId="254" xfId="0" applyFont="1" applyFill="1" applyBorder="1" applyAlignment="1">
      <alignment horizontal="center" vertical="center" wrapText="1"/>
    </xf>
    <xf numFmtId="0" fontId="51" fillId="21" borderId="79" xfId="0" applyFont="1" applyFill="1" applyBorder="1" applyAlignment="1">
      <alignment horizontal="center" vertical="center" wrapText="1"/>
    </xf>
    <xf numFmtId="0" fontId="51" fillId="21" borderId="40" xfId="0" applyFont="1" applyFill="1" applyBorder="1" applyAlignment="1">
      <alignment horizontal="center" vertical="center" wrapText="1"/>
    </xf>
    <xf numFmtId="0" fontId="51" fillId="21" borderId="252" xfId="0" applyFont="1" applyFill="1" applyBorder="1" applyAlignment="1">
      <alignment horizontal="center" vertical="center" wrapText="1"/>
    </xf>
    <xf numFmtId="0" fontId="51" fillId="21" borderId="85" xfId="0" applyFont="1" applyFill="1" applyBorder="1" applyAlignment="1">
      <alignment horizontal="center" vertical="center" wrapText="1"/>
    </xf>
    <xf numFmtId="0" fontId="51" fillId="21" borderId="84" xfId="0" applyFont="1" applyFill="1" applyBorder="1" applyAlignment="1">
      <alignment horizontal="center" vertical="center" wrapText="1"/>
    </xf>
    <xf numFmtId="0" fontId="51" fillId="21" borderId="253" xfId="0" applyFont="1" applyFill="1" applyBorder="1" applyAlignment="1">
      <alignment horizontal="center" vertical="center" wrapText="1"/>
    </xf>
    <xf numFmtId="0" fontId="62" fillId="0" borderId="51"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40" xfId="0" applyFont="1" applyBorder="1" applyAlignment="1">
      <alignment horizontal="center" vertical="center" wrapText="1"/>
    </xf>
    <xf numFmtId="0" fontId="62" fillId="0" borderId="76" xfId="0" applyFont="1" applyBorder="1" applyAlignment="1">
      <alignment horizontal="center" vertical="center" wrapText="1"/>
    </xf>
    <xf numFmtId="0" fontId="62" fillId="0" borderId="84" xfId="0" applyFont="1" applyBorder="1" applyAlignment="1">
      <alignment horizontal="center" vertical="center" wrapText="1"/>
    </xf>
    <xf numFmtId="0" fontId="62" fillId="0" borderId="80" xfId="0" applyFont="1" applyBorder="1" applyAlignment="1">
      <alignment horizontal="center" vertical="center" wrapText="1"/>
    </xf>
    <xf numFmtId="1" fontId="53" fillId="0" borderId="77" xfId="0" applyNumberFormat="1" applyFont="1" applyBorder="1" applyAlignment="1">
      <alignment horizontal="center" vertical="center" wrapText="1"/>
    </xf>
    <xf numFmtId="1" fontId="53" fillId="0" borderId="78" xfId="0" applyNumberFormat="1" applyFont="1" applyBorder="1" applyAlignment="1">
      <alignment horizontal="center" vertical="center" wrapText="1"/>
    </xf>
    <xf numFmtId="1" fontId="53" fillId="0" borderId="75" xfId="0" applyNumberFormat="1" applyFont="1" applyBorder="1" applyAlignment="1">
      <alignment horizontal="center" vertical="center" wrapText="1"/>
    </xf>
    <xf numFmtId="1" fontId="53" fillId="0" borderId="79" xfId="0" applyNumberFormat="1" applyFont="1" applyBorder="1" applyAlignment="1">
      <alignment horizontal="center" vertical="center" wrapText="1"/>
    </xf>
    <xf numFmtId="1" fontId="53" fillId="0" borderId="40" xfId="0" applyNumberFormat="1" applyFont="1" applyBorder="1" applyAlignment="1">
      <alignment horizontal="center" vertical="center" wrapText="1"/>
    </xf>
    <xf numFmtId="1" fontId="53" fillId="0" borderId="76" xfId="0" applyNumberFormat="1" applyFont="1" applyBorder="1" applyAlignment="1">
      <alignment horizontal="center" vertical="center" wrapText="1"/>
    </xf>
    <xf numFmtId="1" fontId="53" fillId="0" borderId="85" xfId="0" applyNumberFormat="1" applyFont="1" applyBorder="1" applyAlignment="1">
      <alignment horizontal="center" vertical="center" wrapText="1"/>
    </xf>
    <xf numFmtId="1" fontId="53" fillId="0" borderId="84" xfId="0" applyNumberFormat="1" applyFont="1" applyBorder="1" applyAlignment="1">
      <alignment horizontal="center" vertical="center" wrapText="1"/>
    </xf>
    <xf numFmtId="1" fontId="53" fillId="0" borderId="80" xfId="0" applyNumberFormat="1" applyFont="1" applyBorder="1" applyAlignment="1">
      <alignment horizontal="center" vertical="center" wrapText="1"/>
    </xf>
    <xf numFmtId="0" fontId="7" fillId="0" borderId="78" xfId="0" applyFont="1" applyBorder="1" applyAlignment="1">
      <alignment horizontal="center" textRotation="90"/>
    </xf>
    <xf numFmtId="0" fontId="7" fillId="0" borderId="40" xfId="0" applyFont="1" applyBorder="1" applyAlignment="1">
      <alignment horizontal="center" textRotation="90"/>
    </xf>
    <xf numFmtId="0" fontId="7" fillId="0" borderId="84" xfId="0" applyFont="1" applyBorder="1" applyAlignment="1">
      <alignment horizontal="center" textRotation="90"/>
    </xf>
    <xf numFmtId="0" fontId="7" fillId="0" borderId="78" xfId="0" applyFont="1" applyBorder="1" applyAlignment="1">
      <alignment horizontal="center" vertical="top" textRotation="180"/>
    </xf>
    <xf numFmtId="0" fontId="7" fillId="0" borderId="40" xfId="0" applyFont="1" applyBorder="1" applyAlignment="1">
      <alignment horizontal="center" vertical="top" textRotation="180"/>
    </xf>
    <xf numFmtId="0" fontId="7" fillId="0" borderId="84" xfId="0" applyFont="1" applyBorder="1" applyAlignment="1">
      <alignment horizontal="center" vertical="top" textRotation="180"/>
    </xf>
    <xf numFmtId="0" fontId="7" fillId="6" borderId="127" xfId="0" applyFont="1" applyFill="1" applyBorder="1" applyAlignment="1">
      <alignment horizontal="center" vertical="center" textRotation="180"/>
    </xf>
    <xf numFmtId="0" fontId="7" fillId="6" borderId="28" xfId="0" applyFont="1" applyFill="1" applyBorder="1" applyAlignment="1">
      <alignment horizontal="center" vertical="center" textRotation="180"/>
    </xf>
    <xf numFmtId="0" fontId="7" fillId="6" borderId="128" xfId="0" applyFont="1" applyFill="1" applyBorder="1" applyAlignment="1">
      <alignment horizontal="center" vertical="center" textRotation="180"/>
    </xf>
    <xf numFmtId="0" fontId="7" fillId="15" borderId="46" xfId="0" applyFont="1" applyFill="1" applyBorder="1" applyAlignment="1">
      <alignment horizontal="center" textRotation="90"/>
    </xf>
    <xf numFmtId="0" fontId="7" fillId="15" borderId="0" xfId="0" applyFont="1" applyFill="1" applyAlignment="1">
      <alignment horizontal="center" textRotation="90"/>
    </xf>
    <xf numFmtId="0" fontId="7" fillId="15" borderId="51" xfId="0" applyFont="1" applyFill="1" applyBorder="1" applyAlignment="1">
      <alignment horizontal="center" textRotation="90"/>
    </xf>
    <xf numFmtId="0" fontId="62" fillId="23" borderId="2" xfId="0" applyFont="1" applyFill="1" applyBorder="1" applyAlignment="1">
      <alignment horizontal="center" vertical="center" wrapText="1"/>
    </xf>
    <xf numFmtId="0" fontId="62" fillId="23" borderId="3" xfId="0" applyFont="1" applyFill="1" applyBorder="1" applyAlignment="1">
      <alignment horizontal="center" vertical="center" wrapText="1"/>
    </xf>
    <xf numFmtId="0" fontId="62" fillId="23" borderId="0" xfId="0" applyFont="1" applyFill="1" applyAlignment="1">
      <alignment horizontal="center" vertical="center" wrapText="1"/>
    </xf>
    <xf numFmtId="0" fontId="62" fillId="23" borderId="5" xfId="0" applyFont="1" applyFill="1" applyBorder="1" applyAlignment="1">
      <alignment horizontal="center" vertical="center" wrapText="1"/>
    </xf>
    <xf numFmtId="0" fontId="62" fillId="23" borderId="35" xfId="0" applyFont="1" applyFill="1" applyBorder="1" applyAlignment="1">
      <alignment horizontal="center" vertical="center" wrapText="1"/>
    </xf>
    <xf numFmtId="0" fontId="62" fillId="23" borderId="36" xfId="0" applyFont="1" applyFill="1" applyBorder="1" applyAlignment="1">
      <alignment horizontal="center" vertical="center" wrapText="1"/>
    </xf>
    <xf numFmtId="0" fontId="7" fillId="10" borderId="78" xfId="0" applyFont="1" applyFill="1" applyBorder="1" applyAlignment="1">
      <alignment horizontal="center" textRotation="90"/>
    </xf>
    <xf numFmtId="0" fontId="7" fillId="10" borderId="40" xfId="0" applyFont="1" applyFill="1" applyBorder="1" applyAlignment="1">
      <alignment horizontal="center" textRotation="90"/>
    </xf>
    <xf numFmtId="0" fontId="7" fillId="10" borderId="40" xfId="0" applyFont="1" applyFill="1" applyBorder="1" applyAlignment="1">
      <alignment horizontal="center" vertical="top" textRotation="180"/>
    </xf>
    <xf numFmtId="0" fontId="7" fillId="10" borderId="78" xfId="0" applyFont="1" applyFill="1" applyBorder="1" applyAlignment="1">
      <alignment horizontal="center" vertical="top" textRotation="180"/>
    </xf>
    <xf numFmtId="0" fontId="7" fillId="14" borderId="127" xfId="0" applyFont="1" applyFill="1" applyBorder="1" applyAlignment="1" applyProtection="1">
      <alignment horizontal="center" vertical="center" textRotation="90"/>
      <protection locked="0"/>
    </xf>
    <xf numFmtId="0" fontId="7" fillId="14" borderId="28" xfId="0" applyFont="1" applyFill="1" applyBorder="1" applyAlignment="1" applyProtection="1">
      <alignment horizontal="center" vertical="center" textRotation="90"/>
      <protection locked="0"/>
    </xf>
    <xf numFmtId="0" fontId="7" fillId="14" borderId="128" xfId="0" applyFont="1" applyFill="1" applyBorder="1" applyAlignment="1" applyProtection="1">
      <alignment horizontal="center" vertical="center" textRotation="90"/>
      <protection locked="0"/>
    </xf>
    <xf numFmtId="0" fontId="7" fillId="10" borderId="84" xfId="0" applyFont="1" applyFill="1" applyBorder="1" applyAlignment="1">
      <alignment horizontal="center" vertical="top" textRotation="180"/>
    </xf>
    <xf numFmtId="0" fontId="7" fillId="10" borderId="84" xfId="0" applyFont="1" applyFill="1" applyBorder="1" applyAlignment="1">
      <alignment horizontal="center" textRotation="90"/>
    </xf>
    <xf numFmtId="0" fontId="7" fillId="10" borderId="7" xfId="0" applyFont="1" applyFill="1" applyBorder="1" applyAlignment="1">
      <alignment horizontal="center"/>
    </xf>
    <xf numFmtId="0" fontId="7" fillId="10" borderId="8" xfId="0" applyFont="1" applyFill="1" applyBorder="1" applyAlignment="1">
      <alignment horizontal="center"/>
    </xf>
    <xf numFmtId="0" fontId="7" fillId="10" borderId="12" xfId="0" applyFont="1" applyFill="1" applyBorder="1" applyAlignment="1">
      <alignment horizontal="center"/>
    </xf>
    <xf numFmtId="0" fontId="7" fillId="10" borderId="13" xfId="0" applyFont="1" applyFill="1" applyBorder="1" applyAlignment="1">
      <alignment horizontal="center"/>
    </xf>
    <xf numFmtId="168" fontId="7" fillId="0" borderId="287" xfId="0" applyNumberFormat="1" applyFont="1" applyBorder="1" applyAlignment="1">
      <alignment horizontal="center" vertical="center" textRotation="180"/>
    </xf>
    <xf numFmtId="168" fontId="7" fillId="0" borderId="288" xfId="0" applyNumberFormat="1" applyFont="1" applyBorder="1" applyAlignment="1">
      <alignment horizontal="center" vertical="center" textRotation="180"/>
    </xf>
    <xf numFmtId="168" fontId="7" fillId="0" borderId="289" xfId="0" applyNumberFormat="1" applyFont="1" applyBorder="1" applyAlignment="1">
      <alignment horizontal="center" vertical="center" textRotation="180"/>
    </xf>
    <xf numFmtId="168" fontId="7" fillId="0" borderId="290" xfId="0" applyNumberFormat="1" applyFont="1" applyBorder="1" applyAlignment="1">
      <alignment horizontal="center"/>
    </xf>
    <xf numFmtId="168" fontId="7" fillId="0" borderId="291" xfId="0" applyNumberFormat="1" applyFont="1" applyBorder="1" applyAlignment="1">
      <alignment horizontal="center"/>
    </xf>
    <xf numFmtId="168" fontId="7" fillId="0" borderId="292" xfId="0" applyNumberFormat="1" applyFont="1" applyBorder="1" applyAlignment="1">
      <alignment horizontal="center"/>
    </xf>
    <xf numFmtId="168" fontId="7" fillId="0" borderId="290" xfId="0" applyNumberFormat="1" applyFont="1" applyBorder="1" applyAlignment="1">
      <alignment horizontal="center" wrapText="1"/>
    </xf>
    <xf numFmtId="168" fontId="7" fillId="0" borderId="291" xfId="0" applyNumberFormat="1" applyFont="1" applyBorder="1" applyAlignment="1">
      <alignment horizontal="center" wrapText="1"/>
    </xf>
    <xf numFmtId="168" fontId="7" fillId="0" borderId="292" xfId="0" applyNumberFormat="1" applyFont="1" applyBorder="1" applyAlignment="1">
      <alignment horizontal="center" wrapText="1"/>
    </xf>
    <xf numFmtId="0" fontId="7" fillId="4" borderId="9" xfId="0" applyFont="1" applyFill="1" applyBorder="1" applyAlignment="1">
      <alignment horizontal="center" vertical="center" textRotation="90"/>
    </xf>
    <xf numFmtId="0" fontId="7" fillId="4" borderId="11" xfId="0" applyFont="1" applyFill="1" applyBorder="1" applyAlignment="1">
      <alignment horizontal="center" vertical="center" textRotation="90"/>
    </xf>
    <xf numFmtId="0" fontId="7" fillId="10" borderId="10" xfId="0" applyFont="1" applyFill="1" applyBorder="1" applyAlignment="1">
      <alignment horizontal="center" vertical="center" textRotation="90"/>
    </xf>
    <xf numFmtId="0" fontId="7" fillId="10" borderId="12" xfId="0" applyFont="1" applyFill="1" applyBorder="1" applyAlignment="1">
      <alignment horizontal="center" vertical="center" textRotation="90"/>
    </xf>
    <xf numFmtId="0" fontId="7" fillId="10" borderId="11" xfId="0" applyFont="1" applyFill="1" applyBorder="1" applyAlignment="1">
      <alignment horizontal="center" vertical="center" textRotation="90"/>
    </xf>
    <xf numFmtId="0" fontId="7" fillId="10" borderId="14" xfId="0" applyFont="1" applyFill="1" applyBorder="1" applyAlignment="1">
      <alignment horizontal="center" vertical="center" textRotation="90"/>
    </xf>
    <xf numFmtId="0" fontId="7" fillId="14" borderId="13" xfId="0" applyFont="1" applyFill="1" applyBorder="1" applyAlignment="1" applyProtection="1">
      <alignment horizontal="center" wrapText="1"/>
      <protection locked="0"/>
    </xf>
    <xf numFmtId="0" fontId="7" fillId="14" borderId="70" xfId="0" applyFont="1" applyFill="1" applyBorder="1" applyAlignment="1" applyProtection="1">
      <alignment horizontal="center" wrapText="1"/>
      <protection locked="0"/>
    </xf>
    <xf numFmtId="168" fontId="7" fillId="0" borderId="287" xfId="0" applyNumberFormat="1" applyFont="1" applyBorder="1" applyAlignment="1">
      <alignment horizontal="center" vertical="center" textRotation="90"/>
    </xf>
    <xf numFmtId="168" fontId="7" fillId="0" borderId="288" xfId="0" applyNumberFormat="1" applyFont="1" applyBorder="1" applyAlignment="1">
      <alignment horizontal="center" vertical="center" textRotation="90"/>
    </xf>
    <xf numFmtId="168" fontId="7" fillId="0" borderId="289" xfId="0" applyNumberFormat="1" applyFont="1" applyBorder="1" applyAlignment="1">
      <alignment horizontal="center" vertical="center" textRotation="90"/>
    </xf>
    <xf numFmtId="2" fontId="38" fillId="16" borderId="1" xfId="0" applyNumberFormat="1" applyFont="1" applyFill="1" applyBorder="1" applyAlignment="1">
      <alignment horizontal="center" vertical="center"/>
    </xf>
    <xf numFmtId="2" fontId="38" fillId="16" borderId="2" xfId="0" applyNumberFormat="1" applyFont="1" applyFill="1" applyBorder="1" applyAlignment="1">
      <alignment horizontal="center" vertical="center"/>
    </xf>
    <xf numFmtId="2" fontId="38" fillId="16" borderId="3" xfId="0" applyNumberFormat="1" applyFont="1" applyFill="1" applyBorder="1" applyAlignment="1">
      <alignment horizontal="center" vertical="center"/>
    </xf>
    <xf numFmtId="2" fontId="38" fillId="16" borderId="34" xfId="0" applyNumberFormat="1" applyFont="1" applyFill="1" applyBorder="1" applyAlignment="1">
      <alignment horizontal="center" vertical="center"/>
    </xf>
    <xf numFmtId="2" fontId="38" fillId="16" borderId="35" xfId="0" applyNumberFormat="1" applyFont="1" applyFill="1" applyBorder="1" applyAlignment="1">
      <alignment horizontal="center" vertical="center"/>
    </xf>
    <xf numFmtId="2" fontId="38" fillId="16" borderId="36" xfId="0" applyNumberFormat="1" applyFont="1" applyFill="1" applyBorder="1" applyAlignment="1">
      <alignment horizontal="center" vertical="center"/>
    </xf>
    <xf numFmtId="0" fontId="25" fillId="2" borderId="202" xfId="0" applyFont="1" applyFill="1" applyBorder="1" applyAlignment="1">
      <alignment horizontal="center" vertical="center" textRotation="90" wrapText="1"/>
    </xf>
    <xf numFmtId="0" fontId="25" fillId="2" borderId="92" xfId="0" applyFont="1" applyFill="1" applyBorder="1" applyAlignment="1">
      <alignment horizontal="center" vertical="center" textRotation="90" wrapText="1"/>
    </xf>
    <xf numFmtId="0" fontId="25" fillId="2" borderId="93" xfId="0" applyFont="1" applyFill="1" applyBorder="1" applyAlignment="1">
      <alignment horizontal="center" vertical="center" textRotation="90" wrapText="1"/>
    </xf>
    <xf numFmtId="0" fontId="26" fillId="12" borderId="6" xfId="0" applyFont="1" applyFill="1" applyBorder="1" applyAlignment="1">
      <alignment horizontal="center"/>
    </xf>
    <xf numFmtId="0" fontId="7" fillId="4" borderId="8" xfId="0" applyFont="1" applyFill="1" applyBorder="1" applyAlignment="1">
      <alignment horizontal="center" wrapText="1"/>
    </xf>
    <xf numFmtId="0" fontId="7" fillId="4" borderId="9" xfId="0" applyFont="1" applyFill="1" applyBorder="1" applyAlignment="1">
      <alignment horizontal="center" wrapText="1"/>
    </xf>
    <xf numFmtId="0" fontId="7" fillId="4" borderId="10" xfId="0" applyFont="1" applyFill="1" applyBorder="1" applyAlignment="1">
      <alignment horizontal="center" vertical="center" textRotation="180"/>
    </xf>
    <xf numFmtId="0" fontId="7" fillId="4" borderId="12" xfId="0" applyFont="1" applyFill="1" applyBorder="1" applyAlignment="1">
      <alignment horizontal="center" vertical="center" textRotation="180"/>
    </xf>
    <xf numFmtId="0" fontId="7" fillId="10" borderId="7" xfId="0" applyFont="1" applyFill="1" applyBorder="1" applyAlignment="1">
      <alignment horizontal="center" vertical="center" textRotation="180"/>
    </xf>
    <xf numFmtId="0" fontId="7" fillId="10" borderId="10" xfId="0" applyFont="1" applyFill="1" applyBorder="1" applyAlignment="1">
      <alignment horizontal="center" vertical="center" textRotation="180"/>
    </xf>
    <xf numFmtId="0" fontId="7" fillId="10" borderId="9" xfId="0" applyFont="1" applyFill="1" applyBorder="1" applyAlignment="1">
      <alignment horizontal="center" vertical="center" textRotation="180"/>
    </xf>
    <xf numFmtId="0" fontId="7" fillId="10" borderId="11" xfId="0" applyFont="1" applyFill="1" applyBorder="1" applyAlignment="1">
      <alignment horizontal="center" vertical="center" textRotation="180"/>
    </xf>
    <xf numFmtId="0" fontId="25" fillId="11" borderId="45" xfId="0" applyFont="1" applyFill="1" applyBorder="1" applyAlignment="1">
      <alignment horizontal="center"/>
    </xf>
    <xf numFmtId="0" fontId="25" fillId="11" borderId="46" xfId="0" applyFont="1" applyFill="1" applyBorder="1" applyAlignment="1">
      <alignment horizontal="center"/>
    </xf>
    <xf numFmtId="0" fontId="25" fillId="11" borderId="48" xfId="0" applyFont="1" applyFill="1" applyBorder="1" applyAlignment="1">
      <alignment horizontal="center"/>
    </xf>
    <xf numFmtId="0" fontId="25" fillId="11" borderId="50" xfId="0" applyFont="1" applyFill="1" applyBorder="1" applyAlignment="1">
      <alignment horizontal="center"/>
    </xf>
    <xf numFmtId="0" fontId="25" fillId="11" borderId="51" xfId="0" applyFont="1" applyFill="1" applyBorder="1" applyAlignment="1">
      <alignment horizontal="center"/>
    </xf>
    <xf numFmtId="0" fontId="25" fillId="11" borderId="54" xfId="0" applyFont="1" applyFill="1" applyBorder="1" applyAlignment="1">
      <alignment horizontal="center"/>
    </xf>
    <xf numFmtId="1" fontId="11" fillId="0" borderId="10" xfId="0" applyNumberFormat="1" applyFont="1" applyBorder="1" applyAlignment="1">
      <alignment horizontal="center" vertical="center"/>
    </xf>
    <xf numFmtId="1" fontId="11" fillId="0" borderId="6" xfId="0"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0" fontId="7" fillId="0" borderId="9" xfId="0" applyFont="1" applyBorder="1" applyAlignment="1" applyProtection="1">
      <alignment horizontal="center" vertical="center" textRotation="180"/>
      <protection locked="0"/>
    </xf>
    <xf numFmtId="0" fontId="7" fillId="0" borderId="11" xfId="0" applyFont="1" applyBorder="1" applyAlignment="1" applyProtection="1">
      <alignment horizontal="center" vertical="center" textRotation="180"/>
      <protection locked="0"/>
    </xf>
    <xf numFmtId="0" fontId="7" fillId="0" borderId="14" xfId="0" applyFont="1" applyBorder="1" applyAlignment="1" applyProtection="1">
      <alignment horizontal="center" vertical="center" textRotation="180"/>
      <protection locked="0"/>
    </xf>
    <xf numFmtId="0" fontId="25" fillId="2" borderId="94" xfId="0" applyFont="1" applyFill="1" applyBorder="1" applyAlignment="1">
      <alignment horizontal="center" vertical="center" wrapText="1"/>
    </xf>
    <xf numFmtId="0" fontId="25" fillId="2" borderId="95" xfId="0" applyFont="1" applyFill="1" applyBorder="1" applyAlignment="1">
      <alignment horizontal="center" vertical="center" wrapText="1"/>
    </xf>
    <xf numFmtId="0" fontId="25" fillId="2" borderId="96" xfId="0" applyFont="1" applyFill="1" applyBorder="1" applyAlignment="1">
      <alignment horizontal="center" vertical="center" wrapText="1"/>
    </xf>
    <xf numFmtId="2" fontId="38" fillId="16" borderId="1" xfId="0" applyNumberFormat="1" applyFont="1" applyFill="1" applyBorder="1" applyAlignment="1">
      <alignment horizontal="center" vertical="center" textRotation="180"/>
    </xf>
    <xf numFmtId="2" fontId="38" fillId="16" borderId="3" xfId="0" applyNumberFormat="1" applyFont="1" applyFill="1" applyBorder="1" applyAlignment="1">
      <alignment horizontal="center" vertical="center" textRotation="180"/>
    </xf>
    <xf numFmtId="2" fontId="38" fillId="16" borderId="4" xfId="0" applyNumberFormat="1" applyFont="1" applyFill="1" applyBorder="1" applyAlignment="1">
      <alignment horizontal="center" vertical="center" textRotation="180"/>
    </xf>
    <xf numFmtId="2" fontId="38" fillId="16" borderId="5" xfId="0" applyNumberFormat="1" applyFont="1" applyFill="1" applyBorder="1" applyAlignment="1">
      <alignment horizontal="center" vertical="center" textRotation="180"/>
    </xf>
    <xf numFmtId="2" fontId="38" fillId="16" borderId="34" xfId="0" applyNumberFormat="1" applyFont="1" applyFill="1" applyBorder="1" applyAlignment="1">
      <alignment horizontal="center" vertical="center" textRotation="180"/>
    </xf>
    <xf numFmtId="2" fontId="38" fillId="16" borderId="36" xfId="0" applyNumberFormat="1" applyFont="1" applyFill="1" applyBorder="1" applyAlignment="1">
      <alignment horizontal="center" vertical="center" textRotation="180"/>
    </xf>
    <xf numFmtId="0" fontId="7" fillId="10" borderId="9" xfId="0" applyFont="1" applyFill="1" applyBorder="1" applyAlignment="1">
      <alignment horizontal="center"/>
    </xf>
    <xf numFmtId="0" fontId="7" fillId="10" borderId="10" xfId="0" applyFont="1" applyFill="1" applyBorder="1" applyAlignment="1">
      <alignment horizontal="center"/>
    </xf>
    <xf numFmtId="0" fontId="7" fillId="10" borderId="6" xfId="0" applyFont="1" applyFill="1" applyBorder="1" applyAlignment="1">
      <alignment horizontal="center"/>
    </xf>
    <xf numFmtId="0" fontId="7" fillId="10" borderId="11" xfId="0" applyFont="1" applyFill="1" applyBorder="1" applyAlignment="1">
      <alignment horizontal="center"/>
    </xf>
    <xf numFmtId="0" fontId="12" fillId="0" borderId="7"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2" fillId="0" borderId="9" xfId="0" applyFont="1" applyBorder="1" applyAlignment="1" applyProtection="1">
      <alignment horizontal="center"/>
      <protection locked="0"/>
    </xf>
    <xf numFmtId="1" fontId="7" fillId="0" borderId="10" xfId="0" applyNumberFormat="1" applyFont="1" applyBorder="1" applyAlignment="1">
      <alignment horizontal="center"/>
    </xf>
    <xf numFmtId="1" fontId="7" fillId="0" borderId="6" xfId="0" applyNumberFormat="1" applyFont="1" applyBorder="1" applyAlignment="1">
      <alignment horizontal="center"/>
    </xf>
    <xf numFmtId="1" fontId="7" fillId="0" borderId="11" xfId="0" applyNumberFormat="1" applyFont="1" applyBorder="1" applyAlignment="1">
      <alignment horizontal="center"/>
    </xf>
    <xf numFmtId="0" fontId="7" fillId="0" borderId="10" xfId="0" applyFont="1" applyBorder="1" applyAlignment="1">
      <alignment horizontal="center"/>
    </xf>
    <xf numFmtId="0" fontId="7" fillId="0" borderId="6" xfId="0" applyFont="1" applyBorder="1" applyAlignment="1">
      <alignment horizontal="center"/>
    </xf>
    <xf numFmtId="0" fontId="7" fillId="0" borderId="11" xfId="0" applyFont="1" applyBorder="1" applyAlignment="1">
      <alignment horizontal="center"/>
    </xf>
    <xf numFmtId="0" fontId="33" fillId="11" borderId="1" xfId="0" applyFont="1" applyFill="1" applyBorder="1" applyAlignment="1">
      <alignment horizontal="center" vertical="center" wrapText="1"/>
    </xf>
    <xf numFmtId="0" fontId="33" fillId="11" borderId="2" xfId="0" applyFont="1" applyFill="1" applyBorder="1" applyAlignment="1">
      <alignment horizontal="center" vertical="center" wrapText="1"/>
    </xf>
    <xf numFmtId="0" fontId="33" fillId="11" borderId="3" xfId="0" applyFont="1" applyFill="1" applyBorder="1" applyAlignment="1">
      <alignment horizontal="center" vertical="center" wrapText="1"/>
    </xf>
    <xf numFmtId="0" fontId="33" fillId="11" borderId="4" xfId="0" applyFont="1" applyFill="1" applyBorder="1" applyAlignment="1">
      <alignment horizontal="center" vertical="center" wrapText="1"/>
    </xf>
    <xf numFmtId="0" fontId="33" fillId="11" borderId="0" xfId="0" applyFont="1" applyFill="1" applyAlignment="1">
      <alignment horizontal="center" vertical="center" wrapText="1"/>
    </xf>
    <xf numFmtId="0" fontId="33" fillId="11" borderId="5" xfId="0" applyFont="1" applyFill="1" applyBorder="1" applyAlignment="1">
      <alignment horizontal="center" vertical="center" wrapText="1"/>
    </xf>
    <xf numFmtId="0" fontId="33" fillId="11" borderId="50" xfId="0" applyFont="1" applyFill="1" applyBorder="1" applyAlignment="1">
      <alignment horizontal="center" vertical="center" wrapText="1"/>
    </xf>
    <xf numFmtId="0" fontId="33" fillId="11" borderId="51" xfId="0" applyFont="1" applyFill="1" applyBorder="1" applyAlignment="1">
      <alignment horizontal="center" vertical="center" wrapText="1"/>
    </xf>
    <xf numFmtId="0" fontId="33" fillId="11" borderId="54" xfId="0" applyFont="1" applyFill="1" applyBorder="1" applyAlignment="1">
      <alignment horizontal="center" vertical="center" wrapText="1"/>
    </xf>
    <xf numFmtId="0" fontId="7" fillId="10" borderId="6" xfId="0" applyFont="1" applyFill="1" applyBorder="1" applyAlignment="1">
      <alignment horizontal="center" vertical="center" textRotation="180"/>
    </xf>
    <xf numFmtId="0" fontId="7" fillId="10" borderId="13" xfId="0" applyFont="1" applyFill="1" applyBorder="1" applyAlignment="1">
      <alignment horizontal="center" vertical="center" textRotation="180"/>
    </xf>
    <xf numFmtId="0" fontId="7" fillId="10" borderId="14" xfId="0" applyFont="1" applyFill="1" applyBorder="1" applyAlignment="1">
      <alignment horizontal="center" vertical="center" textRotation="180"/>
    </xf>
    <xf numFmtId="0" fontId="7" fillId="0" borderId="8" xfId="0" applyFont="1" applyBorder="1" applyAlignment="1">
      <alignment horizontal="center" vertical="center" textRotation="180"/>
    </xf>
    <xf numFmtId="0" fontId="7" fillId="0" borderId="6" xfId="0" applyFont="1" applyBorder="1" applyAlignment="1">
      <alignment horizontal="center" vertical="center" textRotation="180"/>
    </xf>
    <xf numFmtId="0" fontId="7" fillId="0" borderId="13" xfId="0" applyFont="1" applyBorder="1" applyAlignment="1">
      <alignment horizontal="center" vertical="center" textRotation="180"/>
    </xf>
    <xf numFmtId="1" fontId="7" fillId="0" borderId="8" xfId="0" applyNumberFormat="1" applyFont="1" applyBorder="1" applyAlignment="1">
      <alignment horizontal="center" vertical="center" textRotation="180"/>
    </xf>
    <xf numFmtId="1" fontId="7" fillId="0" borderId="6" xfId="0" applyNumberFormat="1" applyFont="1" applyBorder="1" applyAlignment="1">
      <alignment horizontal="center" vertical="center" textRotation="180"/>
    </xf>
    <xf numFmtId="1" fontId="7" fillId="0" borderId="13" xfId="0" applyNumberFormat="1" applyFont="1" applyBorder="1" applyAlignment="1">
      <alignment horizontal="center" vertical="center" textRotation="180"/>
    </xf>
    <xf numFmtId="0" fontId="7" fillId="10" borderId="6" xfId="0" applyFont="1" applyFill="1" applyBorder="1" applyAlignment="1">
      <alignment horizontal="center" vertical="center" textRotation="90"/>
    </xf>
    <xf numFmtId="0" fontId="7" fillId="10" borderId="13" xfId="0" applyFont="1" applyFill="1" applyBorder="1" applyAlignment="1">
      <alignment horizontal="center" vertical="center" textRotation="90"/>
    </xf>
    <xf numFmtId="0" fontId="11" fillId="0" borderId="43" xfId="0" applyFont="1" applyBorder="1" applyAlignment="1">
      <alignment horizontal="center" vertical="center" textRotation="90"/>
    </xf>
    <xf numFmtId="0" fontId="11" fillId="0" borderId="44" xfId="0" applyFont="1" applyBorder="1" applyAlignment="1">
      <alignment horizontal="center" vertical="center" textRotation="90"/>
    </xf>
    <xf numFmtId="0" fontId="11" fillId="0" borderId="53" xfId="0" applyFont="1" applyBorder="1" applyAlignment="1">
      <alignment horizontal="center" vertical="center" textRotation="90"/>
    </xf>
    <xf numFmtId="0" fontId="11" fillId="0" borderId="52" xfId="0" applyFont="1" applyBorder="1" applyAlignment="1">
      <alignment horizontal="center" vertical="center" textRotation="90"/>
    </xf>
    <xf numFmtId="0" fontId="11" fillId="0" borderId="47" xfId="0" applyFont="1" applyBorder="1" applyAlignment="1">
      <alignment horizontal="center" textRotation="90"/>
    </xf>
    <xf numFmtId="0" fontId="11" fillId="0" borderId="29" xfId="0" applyFont="1" applyBorder="1" applyAlignment="1">
      <alignment horizontal="center" textRotation="90"/>
    </xf>
    <xf numFmtId="0" fontId="11" fillId="0" borderId="43" xfId="0" applyFont="1" applyBorder="1" applyAlignment="1">
      <alignment horizontal="center" textRotation="90"/>
    </xf>
    <xf numFmtId="0" fontId="11" fillId="0" borderId="44" xfId="0" applyFont="1" applyBorder="1" applyAlignment="1">
      <alignment horizontal="center" textRotation="90"/>
    </xf>
    <xf numFmtId="0" fontId="7" fillId="10" borderId="8" xfId="0" applyFont="1" applyFill="1" applyBorder="1" applyAlignment="1">
      <alignment horizontal="center" vertical="center" textRotation="180"/>
    </xf>
    <xf numFmtId="0" fontId="11" fillId="0" borderId="43" xfId="0" applyFont="1" applyBorder="1" applyAlignment="1">
      <alignment horizontal="center" vertical="top" textRotation="180"/>
    </xf>
    <xf numFmtId="0" fontId="11" fillId="0" borderId="44" xfId="0" applyFont="1" applyBorder="1" applyAlignment="1">
      <alignment horizontal="center" vertical="top" textRotation="180"/>
    </xf>
    <xf numFmtId="0" fontId="11" fillId="0" borderId="53" xfId="0" applyFont="1" applyBorder="1" applyAlignment="1">
      <alignment horizontal="center" vertical="top" textRotation="180"/>
    </xf>
    <xf numFmtId="0" fontId="11" fillId="0" borderId="52" xfId="0" applyFont="1" applyBorder="1" applyAlignment="1">
      <alignment horizontal="center" vertical="top" textRotation="180"/>
    </xf>
    <xf numFmtId="0" fontId="26" fillId="12" borderId="6" xfId="0" applyFont="1" applyFill="1" applyBorder="1" applyAlignment="1">
      <alignment horizontal="center" vertical="center" textRotation="180"/>
    </xf>
    <xf numFmtId="0" fontId="11" fillId="0" borderId="47" xfId="0" applyFont="1" applyBorder="1" applyAlignment="1">
      <alignment horizontal="center" vertical="center" textRotation="180"/>
    </xf>
    <xf numFmtId="0" fontId="11" fillId="0" borderId="29" xfId="0" applyFont="1" applyBorder="1" applyAlignment="1">
      <alignment horizontal="center" vertical="center" textRotation="180"/>
    </xf>
    <xf numFmtId="0" fontId="11" fillId="0" borderId="43" xfId="0" applyFont="1" applyBorder="1" applyAlignment="1">
      <alignment horizontal="center" vertical="center" textRotation="180"/>
    </xf>
    <xf numFmtId="0" fontId="11" fillId="0" borderId="44" xfId="0" applyFont="1" applyBorder="1" applyAlignment="1">
      <alignment horizontal="center" vertical="center" textRotation="180"/>
    </xf>
    <xf numFmtId="0" fontId="26" fillId="12" borderId="6" xfId="0" applyFont="1" applyFill="1" applyBorder="1" applyAlignment="1">
      <alignment horizontal="center" vertical="center" textRotation="90"/>
    </xf>
    <xf numFmtId="0" fontId="7" fillId="10" borderId="7" xfId="0" applyFont="1" applyFill="1" applyBorder="1" applyAlignment="1">
      <alignment horizontal="center" vertical="center" textRotation="90"/>
    </xf>
    <xf numFmtId="0" fontId="7" fillId="10" borderId="8" xfId="0" applyFont="1" applyFill="1" applyBorder="1" applyAlignment="1">
      <alignment horizontal="center" vertical="center" textRotation="90"/>
    </xf>
    <xf numFmtId="2" fontId="38" fillId="16" borderId="1" xfId="0" applyNumberFormat="1" applyFont="1" applyFill="1" applyBorder="1" applyAlignment="1">
      <alignment horizontal="center" vertical="center" textRotation="90"/>
    </xf>
    <xf numFmtId="2" fontId="38" fillId="16" borderId="3" xfId="0" applyNumberFormat="1" applyFont="1" applyFill="1" applyBorder="1" applyAlignment="1">
      <alignment horizontal="center" vertical="center" textRotation="90"/>
    </xf>
    <xf numFmtId="2" fontId="38" fillId="16" borderId="4" xfId="0" applyNumberFormat="1" applyFont="1" applyFill="1" applyBorder="1" applyAlignment="1">
      <alignment horizontal="center" vertical="center" textRotation="90"/>
    </xf>
    <xf numFmtId="2" fontId="38" fillId="16" borderId="5" xfId="0" applyNumberFormat="1" applyFont="1" applyFill="1" applyBorder="1" applyAlignment="1">
      <alignment horizontal="center" vertical="center" textRotation="90"/>
    </xf>
    <xf numFmtId="2" fontId="38" fillId="16" borderId="34" xfId="0" applyNumberFormat="1" applyFont="1" applyFill="1" applyBorder="1" applyAlignment="1">
      <alignment horizontal="center" vertical="center" textRotation="90"/>
    </xf>
    <xf numFmtId="2" fontId="38" fillId="16" borderId="36" xfId="0" applyNumberFormat="1" applyFont="1" applyFill="1" applyBorder="1" applyAlignment="1">
      <alignment horizontal="center" vertical="center" textRotation="90"/>
    </xf>
    <xf numFmtId="0" fontId="25" fillId="2" borderId="97" xfId="0" applyFont="1" applyFill="1" applyBorder="1" applyAlignment="1">
      <alignment horizontal="center" vertical="center" wrapText="1"/>
    </xf>
    <xf numFmtId="0" fontId="7" fillId="0" borderId="7" xfId="0" applyFont="1" applyBorder="1" applyAlignment="1" applyProtection="1">
      <alignment horizontal="center" vertical="center" textRotation="90"/>
      <protection locked="0"/>
    </xf>
    <xf numFmtId="0" fontId="7" fillId="0" borderId="10" xfId="0" applyFont="1" applyBorder="1" applyAlignment="1" applyProtection="1">
      <alignment horizontal="center" vertical="center" textRotation="90"/>
      <protection locked="0"/>
    </xf>
    <xf numFmtId="0" fontId="7" fillId="0" borderId="12" xfId="0" applyFont="1" applyBorder="1" applyAlignment="1" applyProtection="1">
      <alignment horizontal="center" vertical="center" textRotation="90"/>
      <protection locked="0"/>
    </xf>
    <xf numFmtId="1" fontId="7" fillId="0" borderId="8" xfId="0" applyNumberFormat="1" applyFont="1" applyBorder="1" applyAlignment="1">
      <alignment horizontal="center" vertical="center" textRotation="90"/>
    </xf>
    <xf numFmtId="1" fontId="7" fillId="0" borderId="6" xfId="0" applyNumberFormat="1" applyFont="1" applyBorder="1" applyAlignment="1">
      <alignment horizontal="center" vertical="center" textRotation="90"/>
    </xf>
    <xf numFmtId="1" fontId="7" fillId="0" borderId="13" xfId="0" applyNumberFormat="1" applyFont="1" applyBorder="1" applyAlignment="1">
      <alignment horizontal="center" vertical="center" textRotation="90"/>
    </xf>
    <xf numFmtId="0" fontId="7" fillId="0" borderId="8"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13" xfId="0" applyFont="1" applyBorder="1" applyAlignment="1">
      <alignment horizontal="center" vertical="center" textRotation="90"/>
    </xf>
    <xf numFmtId="0" fontId="7" fillId="0" borderId="12"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25" fillId="2" borderId="91" xfId="0" applyFont="1" applyFill="1" applyBorder="1" applyAlignment="1">
      <alignment horizontal="center" vertical="center" textRotation="180" wrapText="1"/>
    </xf>
    <xf numFmtId="0" fontId="25" fillId="2" borderId="92" xfId="0" applyFont="1" applyFill="1" applyBorder="1" applyAlignment="1">
      <alignment horizontal="center" vertical="center" textRotation="180" wrapText="1"/>
    </xf>
    <xf numFmtId="0" fontId="25" fillId="2" borderId="201" xfId="0" applyFont="1" applyFill="1" applyBorder="1" applyAlignment="1">
      <alignment horizontal="center" vertical="center" textRotation="180" wrapText="1"/>
    </xf>
    <xf numFmtId="1" fontId="7" fillId="0" borderId="10" xfId="0" applyNumberFormat="1" applyFont="1" applyBorder="1" applyAlignment="1">
      <alignment horizontal="center" wrapText="1"/>
    </xf>
    <xf numFmtId="1" fontId="7" fillId="0" borderId="6" xfId="0" applyNumberFormat="1" applyFont="1" applyBorder="1" applyAlignment="1">
      <alignment horizontal="center" wrapText="1"/>
    </xf>
    <xf numFmtId="1" fontId="7" fillId="0" borderId="11" xfId="0" applyNumberFormat="1" applyFont="1" applyBorder="1" applyAlignment="1">
      <alignment horizontal="center" wrapText="1"/>
    </xf>
    <xf numFmtId="0" fontId="7" fillId="10" borderId="12" xfId="0" applyFont="1" applyFill="1" applyBorder="1" applyAlignment="1">
      <alignment horizontal="center" wrapText="1"/>
    </xf>
    <xf numFmtId="0" fontId="7" fillId="10" borderId="13" xfId="0" applyFont="1" applyFill="1" applyBorder="1" applyAlignment="1">
      <alignment horizontal="center" wrapText="1"/>
    </xf>
    <xf numFmtId="0" fontId="7" fillId="10" borderId="14" xfId="0" applyFont="1" applyFill="1" applyBorder="1" applyAlignment="1">
      <alignment horizontal="center" wrapText="1"/>
    </xf>
    <xf numFmtId="2" fontId="14"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99" xfId="0" applyFont="1" applyFill="1" applyBorder="1" applyAlignment="1">
      <alignment horizontal="center" vertical="center"/>
    </xf>
    <xf numFmtId="0" fontId="14" fillId="21" borderId="122" xfId="0" applyFont="1" applyFill="1" applyBorder="1" applyAlignment="1">
      <alignment horizontal="center" vertical="center"/>
    </xf>
    <xf numFmtId="0" fontId="11" fillId="0" borderId="115"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1" fontId="11" fillId="0" borderId="114" xfId="0" applyNumberFormat="1" applyFont="1" applyBorder="1" applyAlignment="1">
      <alignment horizontal="center" vertical="center"/>
    </xf>
    <xf numFmtId="1" fontId="11" fillId="0" borderId="115" xfId="0" applyNumberFormat="1" applyFont="1" applyBorder="1" applyAlignment="1">
      <alignment horizontal="center" vertical="center"/>
    </xf>
    <xf numFmtId="0" fontId="11" fillId="0" borderId="115" xfId="0" applyFont="1" applyBorder="1" applyAlignment="1">
      <alignment horizontal="center" vertical="center"/>
    </xf>
    <xf numFmtId="0" fontId="11" fillId="0" borderId="120" xfId="0" applyFont="1" applyBorder="1" applyAlignment="1">
      <alignment horizontal="center" vertical="center"/>
    </xf>
    <xf numFmtId="2" fontId="65" fillId="0" borderId="45" xfId="0" applyNumberFormat="1" applyFont="1" applyBorder="1" applyAlignment="1">
      <alignment horizontal="center" vertical="center"/>
    </xf>
    <xf numFmtId="2" fontId="65" fillId="0" borderId="46" xfId="0" applyNumberFormat="1" applyFont="1" applyBorder="1" applyAlignment="1">
      <alignment horizontal="center" vertical="center"/>
    </xf>
    <xf numFmtId="2" fontId="65" fillId="0" borderId="282" xfId="0" applyNumberFormat="1" applyFont="1" applyBorder="1" applyAlignment="1">
      <alignment horizontal="center" vertical="center"/>
    </xf>
    <xf numFmtId="2" fontId="65" fillId="0" borderId="34" xfId="0" applyNumberFormat="1" applyFont="1" applyBorder="1" applyAlignment="1">
      <alignment horizontal="center" vertical="center"/>
    </xf>
    <xf numFmtId="2" fontId="65" fillId="0" borderId="35" xfId="0" applyNumberFormat="1" applyFont="1" applyBorder="1" applyAlignment="1">
      <alignment horizontal="center" vertical="center"/>
    </xf>
    <xf numFmtId="2" fontId="65" fillId="0" borderId="251" xfId="0" applyNumberFormat="1" applyFont="1" applyBorder="1" applyAlignment="1">
      <alignment horizontal="center" vertical="center"/>
    </xf>
    <xf numFmtId="2" fontId="14" fillId="21" borderId="280" xfId="0" applyNumberFormat="1" applyFont="1" applyFill="1" applyBorder="1" applyAlignment="1">
      <alignment horizontal="center" vertical="center" wrapText="1"/>
    </xf>
    <xf numFmtId="0" fontId="14" fillId="21" borderId="2"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263" xfId="0" applyFont="1" applyFill="1" applyBorder="1" applyAlignment="1">
      <alignment horizontal="center" vertical="center" wrapText="1"/>
    </xf>
    <xf numFmtId="0" fontId="14" fillId="21" borderId="35" xfId="0" applyFont="1" applyFill="1" applyBorder="1" applyAlignment="1">
      <alignment horizontal="center" vertical="center" wrapText="1"/>
    </xf>
    <xf numFmtId="0" fontId="14" fillId="21" borderId="36" xfId="0" applyFont="1" applyFill="1" applyBorder="1" applyAlignment="1">
      <alignment horizontal="center" vertical="center" wrapText="1"/>
    </xf>
    <xf numFmtId="2" fontId="14" fillId="21" borderId="281" xfId="0" applyNumberFormat="1" applyFont="1" applyFill="1" applyBorder="1" applyAlignment="1">
      <alignment horizontal="center" vertical="center" wrapText="1"/>
    </xf>
    <xf numFmtId="0" fontId="14" fillId="21" borderId="46" xfId="0" applyFont="1" applyFill="1" applyBorder="1" applyAlignment="1">
      <alignment horizontal="center" vertical="center" wrapText="1"/>
    </xf>
    <xf numFmtId="0" fontId="14" fillId="21" borderId="48"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5" xfId="0" applyFont="1" applyFill="1" applyBorder="1" applyAlignment="1">
      <alignment horizontal="center" vertical="center" wrapText="1"/>
    </xf>
    <xf numFmtId="0" fontId="10" fillId="2" borderId="34" xfId="0" applyFont="1" applyFill="1" applyBorder="1" applyAlignment="1">
      <alignment horizontal="center" vertical="center"/>
    </xf>
    <xf numFmtId="0" fontId="10" fillId="2" borderId="35" xfId="0" applyFont="1" applyFill="1" applyBorder="1" applyAlignment="1">
      <alignment horizontal="center" vertical="center"/>
    </xf>
    <xf numFmtId="0" fontId="56" fillId="0" borderId="4" xfId="0" applyFont="1" applyBorder="1" applyAlignment="1">
      <alignment horizontal="center" vertical="center" wrapText="1"/>
    </xf>
    <xf numFmtId="0" fontId="56" fillId="0" borderId="0" xfId="0" applyFont="1" applyAlignment="1">
      <alignment horizontal="center" vertical="center" wrapText="1"/>
    </xf>
    <xf numFmtId="0" fontId="56" fillId="0" borderId="44"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56" xfId="0" applyFont="1" applyBorder="1" applyAlignment="1">
      <alignment horizontal="center" vertical="center" wrapText="1"/>
    </xf>
    <xf numFmtId="0" fontId="31" fillId="10" borderId="32" xfId="0" applyFont="1" applyFill="1" applyBorder="1" applyAlignment="1">
      <alignment horizontal="center" vertical="center" wrapText="1"/>
    </xf>
    <xf numFmtId="0" fontId="0" fillId="10" borderId="32" xfId="0" applyFill="1" applyBorder="1" applyAlignment="1">
      <alignment horizontal="center" vertical="center" wrapText="1"/>
    </xf>
    <xf numFmtId="0" fontId="0" fillId="10" borderId="13" xfId="0" applyFill="1" applyBorder="1" applyAlignment="1">
      <alignment horizontal="center" vertical="center" wrapText="1"/>
    </xf>
    <xf numFmtId="0" fontId="11" fillId="14" borderId="32" xfId="0" applyFont="1" applyFill="1" applyBorder="1" applyAlignment="1" applyProtection="1">
      <alignment horizontal="center" vertical="center" wrapText="1"/>
      <protection locked="0"/>
    </xf>
    <xf numFmtId="0" fontId="11" fillId="14" borderId="33" xfId="0" applyFont="1" applyFill="1" applyBorder="1" applyAlignment="1" applyProtection="1">
      <alignment horizontal="center" vertical="center" wrapText="1"/>
      <protection locked="0"/>
    </xf>
    <xf numFmtId="0" fontId="11" fillId="14" borderId="13" xfId="0" applyFont="1" applyFill="1" applyBorder="1" applyAlignment="1" applyProtection="1">
      <alignment horizontal="center" vertical="center" wrapText="1"/>
      <protection locked="0"/>
    </xf>
    <xf numFmtId="0" fontId="11" fillId="14" borderId="14" xfId="0" applyFont="1" applyFill="1" applyBorder="1" applyAlignment="1" applyProtection="1">
      <alignment horizontal="center" vertical="center" wrapText="1"/>
      <protection locked="0"/>
    </xf>
    <xf numFmtId="0" fontId="32" fillId="2" borderId="0" xfId="0" applyFont="1" applyFill="1" applyAlignment="1">
      <alignment horizontal="center" vertical="center"/>
    </xf>
    <xf numFmtId="0" fontId="11" fillId="0" borderId="29" xfId="0" applyFont="1" applyBorder="1" applyAlignment="1">
      <alignment horizontal="center" vertical="center"/>
    </xf>
    <xf numFmtId="0" fontId="11" fillId="0" borderId="56" xfId="0" applyFont="1" applyBorder="1" applyAlignment="1">
      <alignment horizontal="center" vertical="center"/>
    </xf>
    <xf numFmtId="0" fontId="32" fillId="2" borderId="2" xfId="0" applyFont="1" applyFill="1" applyBorder="1" applyAlignment="1">
      <alignment horizontal="center" vertical="center"/>
    </xf>
    <xf numFmtId="2" fontId="38" fillId="16" borderId="7" xfId="0" applyNumberFormat="1" applyFont="1" applyFill="1" applyBorder="1" applyAlignment="1">
      <alignment horizontal="center" vertical="center"/>
    </xf>
    <xf numFmtId="2" fontId="38" fillId="16" borderId="8" xfId="0" applyNumberFormat="1" applyFont="1" applyFill="1" applyBorder="1" applyAlignment="1">
      <alignment horizontal="center" vertical="center"/>
    </xf>
    <xf numFmtId="2" fontId="38" fillId="16" borderId="9" xfId="0" applyNumberFormat="1" applyFont="1" applyFill="1" applyBorder="1" applyAlignment="1">
      <alignment horizontal="center" vertical="center"/>
    </xf>
    <xf numFmtId="2" fontId="38" fillId="16" borderId="12" xfId="0" applyNumberFormat="1" applyFont="1" applyFill="1" applyBorder="1" applyAlignment="1">
      <alignment horizontal="center" vertical="center"/>
    </xf>
    <xf numFmtId="2" fontId="38" fillId="16" borderId="13" xfId="0" applyNumberFormat="1" applyFont="1" applyFill="1" applyBorder="1" applyAlignment="1">
      <alignment horizontal="center" vertical="center"/>
    </xf>
    <xf numFmtId="2" fontId="38" fillId="16" borderId="14" xfId="0" applyNumberFormat="1" applyFont="1" applyFill="1" applyBorder="1" applyAlignment="1">
      <alignment horizontal="center" vertic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 fontId="11" fillId="13" borderId="6" xfId="0" applyNumberFormat="1" applyFont="1" applyFill="1" applyBorder="1" applyAlignment="1">
      <alignment horizontal="center" vertical="center" textRotation="180"/>
    </xf>
    <xf numFmtId="167" fontId="11" fillId="14" borderId="32" xfId="0" applyNumberFormat="1" applyFont="1" applyFill="1" applyBorder="1" applyAlignment="1" applyProtection="1">
      <alignment horizontal="center" vertical="center" wrapText="1"/>
      <protection locked="0"/>
    </xf>
    <xf numFmtId="167" fontId="11" fillId="14" borderId="33" xfId="0" applyNumberFormat="1" applyFont="1" applyFill="1" applyBorder="1" applyAlignment="1" applyProtection="1">
      <alignment horizontal="center" vertical="center" wrapText="1"/>
      <protection locked="0"/>
    </xf>
    <xf numFmtId="167" fontId="11" fillId="14" borderId="13" xfId="0" applyNumberFormat="1" applyFont="1" applyFill="1" applyBorder="1" applyAlignment="1" applyProtection="1">
      <alignment horizontal="center" vertical="center" wrapText="1"/>
      <protection locked="0"/>
    </xf>
    <xf numFmtId="167" fontId="11" fillId="14" borderId="14" xfId="0" applyNumberFormat="1" applyFont="1" applyFill="1" applyBorder="1" applyAlignment="1" applyProtection="1">
      <alignment horizontal="center" vertical="center" wrapText="1"/>
      <protection locked="0"/>
    </xf>
    <xf numFmtId="1" fontId="11" fillId="0" borderId="45" xfId="0" applyNumberFormat="1" applyFont="1" applyBorder="1" applyAlignment="1">
      <alignment horizontal="center" vertical="center"/>
    </xf>
    <xf numFmtId="1" fontId="11" fillId="0" borderId="46" xfId="0" applyNumberFormat="1" applyFont="1" applyBorder="1" applyAlignment="1">
      <alignment horizontal="center" vertical="center"/>
    </xf>
    <xf numFmtId="1" fontId="11" fillId="0" borderId="29" xfId="0" applyNumberFormat="1" applyFont="1" applyBorder="1" applyAlignment="1">
      <alignment horizontal="center" vertical="center"/>
    </xf>
    <xf numFmtId="1" fontId="11" fillId="0" borderId="34" xfId="0" applyNumberFormat="1" applyFont="1" applyBorder="1" applyAlignment="1">
      <alignment horizontal="center" vertical="center"/>
    </xf>
    <xf numFmtId="1" fontId="11" fillId="0" borderId="35" xfId="0" applyNumberFormat="1" applyFont="1" applyBorder="1" applyAlignment="1">
      <alignment horizontal="center" vertical="center"/>
    </xf>
    <xf numFmtId="1" fontId="11" fillId="0" borderId="56" xfId="0" applyNumberFormat="1"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26" fillId="12" borderId="7" xfId="0" applyFont="1" applyFill="1" applyBorder="1" applyAlignment="1">
      <alignment horizontal="center" vertical="center" textRotation="180"/>
    </xf>
    <xf numFmtId="0" fontId="26" fillId="12" borderId="10" xfId="0" applyFont="1" applyFill="1" applyBorder="1" applyAlignment="1">
      <alignment horizontal="center" vertical="center" textRotation="180"/>
    </xf>
    <xf numFmtId="0" fontId="26" fillId="12" borderId="12" xfId="0" applyFont="1" applyFill="1" applyBorder="1" applyAlignment="1">
      <alignment horizontal="center" vertical="center" textRotation="180"/>
    </xf>
    <xf numFmtId="1" fontId="30" fillId="0" borderId="41" xfId="0" applyNumberFormat="1" applyFont="1" applyBorder="1" applyAlignment="1">
      <alignment horizontal="center" vertical="center" textRotation="180"/>
    </xf>
    <xf numFmtId="1" fontId="30" fillId="0" borderId="3" xfId="0" applyNumberFormat="1" applyFont="1" applyBorder="1" applyAlignment="1">
      <alignment horizontal="center" vertical="center" textRotation="180"/>
    </xf>
    <xf numFmtId="1" fontId="30" fillId="0" borderId="43" xfId="0" applyNumberFormat="1" applyFont="1" applyBorder="1" applyAlignment="1">
      <alignment horizontal="center" vertical="center" textRotation="180"/>
    </xf>
    <xf numFmtId="1" fontId="30" fillId="0" borderId="5" xfId="0" applyNumberFormat="1" applyFont="1" applyBorder="1" applyAlignment="1">
      <alignment horizontal="center" vertical="center" textRotation="180"/>
    </xf>
    <xf numFmtId="1" fontId="30" fillId="0" borderId="53" xfId="0" applyNumberFormat="1" applyFont="1" applyBorder="1" applyAlignment="1">
      <alignment horizontal="center" vertical="center" textRotation="180"/>
    </xf>
    <xf numFmtId="1" fontId="30" fillId="0" borderId="54" xfId="0" applyNumberFormat="1" applyFont="1" applyBorder="1" applyAlignment="1">
      <alignment horizontal="center" vertical="center" textRotation="180"/>
    </xf>
    <xf numFmtId="2" fontId="11" fillId="13" borderId="69" xfId="0" applyNumberFormat="1" applyFont="1" applyFill="1" applyBorder="1" applyAlignment="1">
      <alignment horizontal="center" vertical="center" textRotation="180"/>
    </xf>
    <xf numFmtId="2" fontId="11" fillId="13" borderId="32" xfId="0" applyNumberFormat="1" applyFont="1" applyFill="1" applyBorder="1" applyAlignment="1">
      <alignment horizontal="center" vertical="center" textRotation="180"/>
    </xf>
    <xf numFmtId="2" fontId="11" fillId="13" borderId="10" xfId="0" applyNumberFormat="1" applyFont="1" applyFill="1" applyBorder="1" applyAlignment="1">
      <alignment horizontal="center" vertical="center" textRotation="180"/>
    </xf>
    <xf numFmtId="2" fontId="11" fillId="13" borderId="6" xfId="0" applyNumberFormat="1" applyFont="1" applyFill="1" applyBorder="1" applyAlignment="1">
      <alignment horizontal="center" vertical="center" textRotation="180"/>
    </xf>
    <xf numFmtId="2" fontId="11" fillId="13" borderId="12" xfId="0" applyNumberFormat="1" applyFont="1" applyFill="1" applyBorder="1" applyAlignment="1">
      <alignment horizontal="center" vertical="center" textRotation="180"/>
    </xf>
    <xf numFmtId="2" fontId="11" fillId="13" borderId="13" xfId="0" applyNumberFormat="1" applyFont="1" applyFill="1" applyBorder="1" applyAlignment="1">
      <alignment horizontal="center" vertical="center" textRotation="180"/>
    </xf>
    <xf numFmtId="2" fontId="11" fillId="14" borderId="117" xfId="0" applyNumberFormat="1" applyFont="1" applyFill="1" applyBorder="1" applyAlignment="1" applyProtection="1">
      <alignment horizontal="center" vertical="center" textRotation="180"/>
      <protection locked="0"/>
    </xf>
    <xf numFmtId="2" fontId="11" fillId="14" borderId="119" xfId="0" applyNumberFormat="1" applyFont="1" applyFill="1" applyBorder="1" applyAlignment="1" applyProtection="1">
      <alignment horizontal="center" vertical="center" textRotation="180"/>
      <protection locked="0"/>
    </xf>
    <xf numFmtId="2" fontId="11" fillId="14" borderId="118" xfId="0" applyNumberFormat="1" applyFont="1" applyFill="1" applyBorder="1" applyAlignment="1" applyProtection="1">
      <alignment horizontal="center" vertical="center" textRotation="180"/>
      <protection locked="0"/>
    </xf>
    <xf numFmtId="2" fontId="11" fillId="14" borderId="120" xfId="0" applyNumberFormat="1" applyFont="1" applyFill="1" applyBorder="1" applyAlignment="1" applyProtection="1">
      <alignment horizontal="center" vertical="center" textRotation="180"/>
      <protection locked="0"/>
    </xf>
    <xf numFmtId="2" fontId="11" fillId="14" borderId="121" xfId="0" applyNumberFormat="1" applyFont="1" applyFill="1" applyBorder="1" applyAlignment="1" applyProtection="1">
      <alignment horizontal="center" vertical="center" textRotation="180"/>
      <protection locked="0"/>
    </xf>
    <xf numFmtId="2" fontId="11" fillId="14" borderId="123" xfId="0" applyNumberFormat="1" applyFont="1" applyFill="1" applyBorder="1" applyAlignment="1" applyProtection="1">
      <alignment horizontal="center" vertical="center" textRotation="180"/>
      <protection locked="0"/>
    </xf>
    <xf numFmtId="0" fontId="11" fillId="0" borderId="32" xfId="0" applyFont="1" applyBorder="1" applyAlignment="1">
      <alignment horizontal="center" vertical="center"/>
    </xf>
    <xf numFmtId="0" fontId="11" fillId="0" borderId="53" xfId="0" applyFont="1" applyBorder="1" applyAlignment="1">
      <alignment horizontal="center" vertical="center"/>
    </xf>
    <xf numFmtId="1" fontId="11" fillId="0" borderId="6" xfId="0" applyNumberFormat="1" applyFont="1" applyBorder="1" applyAlignment="1">
      <alignment horizontal="center" vertical="center" textRotation="180"/>
    </xf>
    <xf numFmtId="1" fontId="11" fillId="0" borderId="13" xfId="0" applyNumberFormat="1" applyFont="1" applyBorder="1" applyAlignment="1">
      <alignment horizontal="center" vertical="center" textRotation="180"/>
    </xf>
    <xf numFmtId="1" fontId="11" fillId="0" borderId="11" xfId="0" applyNumberFormat="1" applyFont="1" applyBorder="1" applyAlignment="1">
      <alignment horizontal="center" vertical="center" textRotation="180"/>
    </xf>
    <xf numFmtId="1" fontId="11" fillId="0" borderId="14" xfId="0" applyNumberFormat="1" applyFont="1" applyBorder="1" applyAlignment="1">
      <alignment horizontal="center" vertical="center" textRotation="180"/>
    </xf>
    <xf numFmtId="0" fontId="33" fillId="11" borderId="7" xfId="0" applyFont="1" applyFill="1" applyBorder="1" applyAlignment="1">
      <alignment horizontal="center" vertical="center" textRotation="180" wrapText="1"/>
    </xf>
    <xf numFmtId="0" fontId="33" fillId="11" borderId="8" xfId="0" applyFont="1" applyFill="1" applyBorder="1" applyAlignment="1">
      <alignment horizontal="center" vertical="center" textRotation="180" wrapText="1"/>
    </xf>
    <xf numFmtId="0" fontId="33" fillId="11" borderId="10" xfId="0" applyFont="1" applyFill="1" applyBorder="1" applyAlignment="1">
      <alignment horizontal="center" vertical="center" textRotation="180" wrapText="1"/>
    </xf>
    <xf numFmtId="0" fontId="33" fillId="11" borderId="6" xfId="0" applyFont="1" applyFill="1" applyBorder="1" applyAlignment="1">
      <alignment horizontal="center" vertical="center" textRotation="180" wrapText="1"/>
    </xf>
    <xf numFmtId="0" fontId="33" fillId="11" borderId="12" xfId="0" applyFont="1" applyFill="1" applyBorder="1" applyAlignment="1">
      <alignment horizontal="center" vertical="center" textRotation="180" wrapText="1"/>
    </xf>
    <xf numFmtId="0" fontId="33" fillId="11" borderId="13" xfId="0" applyFont="1" applyFill="1" applyBorder="1" applyAlignment="1">
      <alignment horizontal="center" vertical="center" textRotation="180" wrapText="1"/>
    </xf>
    <xf numFmtId="0" fontId="33" fillId="11" borderId="9" xfId="0" applyFont="1" applyFill="1" applyBorder="1" applyAlignment="1">
      <alignment horizontal="center" vertical="center" textRotation="180" wrapText="1"/>
    </xf>
    <xf numFmtId="0" fontId="33" fillId="11" borderId="11" xfId="0" applyFont="1" applyFill="1" applyBorder="1" applyAlignment="1">
      <alignment horizontal="center" vertical="center" textRotation="180" wrapText="1"/>
    </xf>
    <xf numFmtId="0" fontId="33" fillId="11" borderId="14" xfId="0" applyFont="1" applyFill="1" applyBorder="1" applyAlignment="1">
      <alignment horizontal="center" vertical="center" textRotation="180" wrapText="1"/>
    </xf>
    <xf numFmtId="1" fontId="11" fillId="0" borderId="50" xfId="0" applyNumberFormat="1" applyFont="1" applyBorder="1" applyAlignment="1">
      <alignment horizontal="center" vertical="center"/>
    </xf>
    <xf numFmtId="1" fontId="11" fillId="0" borderId="51" xfId="0" applyNumberFormat="1" applyFont="1" applyBorder="1" applyAlignment="1">
      <alignment horizontal="center" vertical="center"/>
    </xf>
    <xf numFmtId="1" fontId="11" fillId="0" borderId="52" xfId="0" applyNumberFormat="1" applyFont="1" applyBorder="1" applyAlignment="1">
      <alignment horizontal="center" vertical="center"/>
    </xf>
    <xf numFmtId="0" fontId="30" fillId="0" borderId="8" xfId="0" applyFont="1" applyBorder="1" applyAlignment="1">
      <alignment horizontal="center" vertical="center" textRotation="180"/>
    </xf>
    <xf numFmtId="0" fontId="30" fillId="0" borderId="6" xfId="0" applyFont="1" applyBorder="1" applyAlignment="1">
      <alignment horizontal="center" vertical="center" textRotation="180"/>
    </xf>
    <xf numFmtId="0" fontId="30" fillId="0" borderId="9" xfId="0" applyFont="1" applyBorder="1" applyAlignment="1">
      <alignment horizontal="center" vertical="center" textRotation="180"/>
    </xf>
    <xf numFmtId="0" fontId="30" fillId="0" borderId="11" xfId="0" applyFont="1" applyBorder="1" applyAlignment="1">
      <alignment horizontal="center" vertical="center" textRotation="180"/>
    </xf>
    <xf numFmtId="1" fontId="7" fillId="0" borderId="7" xfId="0" applyNumberFormat="1" applyFont="1" applyBorder="1" applyAlignment="1">
      <alignment horizontal="center"/>
    </xf>
    <xf numFmtId="1" fontId="7" fillId="0" borderId="8" xfId="0" applyNumberFormat="1" applyFont="1" applyBorder="1" applyAlignment="1">
      <alignment horizontal="center"/>
    </xf>
    <xf numFmtId="1" fontId="7" fillId="0" borderId="9" xfId="0" applyNumberFormat="1" applyFont="1" applyBorder="1" applyAlignment="1">
      <alignment horizontal="center"/>
    </xf>
    <xf numFmtId="1" fontId="7" fillId="0" borderId="9" xfId="0" applyNumberFormat="1" applyFont="1" applyBorder="1" applyAlignment="1">
      <alignment horizontal="center" vertical="center" textRotation="180"/>
    </xf>
    <xf numFmtId="1" fontId="7" fillId="0" borderId="11" xfId="0" applyNumberFormat="1" applyFont="1" applyBorder="1" applyAlignment="1">
      <alignment horizontal="center" vertical="center" textRotation="180"/>
    </xf>
    <xf numFmtId="0" fontId="11" fillId="0" borderId="171" xfId="0" applyFont="1" applyBorder="1" applyAlignment="1">
      <alignment horizontal="center" vertical="center" textRotation="180"/>
    </xf>
    <xf numFmtId="0" fontId="11" fillId="0" borderId="3" xfId="0" applyFont="1" applyBorder="1" applyAlignment="1">
      <alignment horizontal="center" vertical="center" textRotation="180"/>
    </xf>
    <xf numFmtId="0" fontId="11" fillId="0" borderId="167" xfId="0" applyFont="1" applyBorder="1" applyAlignment="1">
      <alignment horizontal="center" vertical="center" textRotation="180"/>
    </xf>
    <xf numFmtId="0" fontId="11" fillId="0" borderId="5" xfId="0" applyFont="1" applyBorder="1" applyAlignment="1">
      <alignment horizontal="center" vertical="center" textRotation="180"/>
    </xf>
    <xf numFmtId="0" fontId="11" fillId="0" borderId="172" xfId="0" applyFont="1" applyBorder="1" applyAlignment="1">
      <alignment horizontal="center" vertical="center" textRotation="180"/>
    </xf>
    <xf numFmtId="0" fontId="11" fillId="0" borderId="36" xfId="0" applyFont="1" applyBorder="1" applyAlignment="1">
      <alignment horizontal="center" vertical="center" textRotation="180"/>
    </xf>
    <xf numFmtId="0" fontId="11" fillId="0" borderId="42" xfId="0" applyFont="1" applyBorder="1" applyAlignment="1">
      <alignment horizontal="center" vertical="center"/>
    </xf>
    <xf numFmtId="0" fontId="11" fillId="0" borderId="52" xfId="0" applyFont="1" applyBorder="1" applyAlignment="1">
      <alignment horizontal="center" vertical="center"/>
    </xf>
    <xf numFmtId="1" fontId="30" fillId="0" borderId="45" xfId="0" applyNumberFormat="1" applyFont="1" applyBorder="1" applyAlignment="1">
      <alignment horizontal="center" vertical="center" textRotation="90"/>
    </xf>
    <xf numFmtId="1" fontId="30" fillId="0" borderId="29" xfId="0" applyNumberFormat="1" applyFont="1" applyBorder="1" applyAlignment="1">
      <alignment horizontal="center" vertical="center" textRotation="90"/>
    </xf>
    <xf numFmtId="1" fontId="30" fillId="0" borderId="4" xfId="0" applyNumberFormat="1" applyFont="1" applyBorder="1" applyAlignment="1">
      <alignment horizontal="center" vertical="center" textRotation="90"/>
    </xf>
    <xf numFmtId="1" fontId="30" fillId="0" borderId="44" xfId="0" applyNumberFormat="1" applyFont="1" applyBorder="1" applyAlignment="1">
      <alignment horizontal="center" vertical="center" textRotation="90"/>
    </xf>
    <xf numFmtId="1" fontId="30" fillId="0" borderId="34" xfId="0" applyNumberFormat="1" applyFont="1" applyBorder="1" applyAlignment="1">
      <alignment horizontal="center" vertical="center" textRotation="90"/>
    </xf>
    <xf numFmtId="1" fontId="30" fillId="0" borderId="56" xfId="0" applyNumberFormat="1" applyFont="1" applyBorder="1" applyAlignment="1">
      <alignment horizontal="center" vertical="center" textRotation="90"/>
    </xf>
    <xf numFmtId="1" fontId="11" fillId="0" borderId="8" xfId="0" applyNumberFormat="1" applyFont="1" applyBorder="1" applyAlignment="1">
      <alignment horizontal="center" vertical="center"/>
    </xf>
    <xf numFmtId="1" fontId="11" fillId="0" borderId="9"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7" fillId="0" borderId="14" xfId="0" applyNumberFormat="1" applyFont="1" applyBorder="1" applyAlignment="1">
      <alignment horizontal="center" vertical="center" textRotation="180"/>
    </xf>
    <xf numFmtId="1" fontId="11" fillId="0" borderId="1" xfId="0" applyNumberFormat="1" applyFont="1" applyBorder="1" applyAlignment="1">
      <alignment horizontal="center" vertical="center"/>
    </xf>
    <xf numFmtId="1" fontId="11" fillId="0" borderId="2" xfId="0" applyNumberFormat="1" applyFont="1" applyBorder="1" applyAlignment="1">
      <alignment horizontal="center" vertical="center"/>
    </xf>
    <xf numFmtId="1" fontId="11" fillId="0" borderId="42" xfId="0" applyNumberFormat="1"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1" fillId="0" borderId="69" xfId="0" applyFont="1" applyBorder="1" applyAlignment="1">
      <alignment horizontal="center" vertical="center"/>
    </xf>
    <xf numFmtId="0" fontId="11" fillId="0" borderId="33" xfId="0" applyFont="1" applyBorder="1" applyAlignment="1">
      <alignment horizontal="center" vertical="center"/>
    </xf>
    <xf numFmtId="0" fontId="26" fillId="12" borderId="9" xfId="0" applyFont="1" applyFill="1" applyBorder="1" applyAlignment="1">
      <alignment horizontal="center" vertical="center" textRotation="90"/>
    </xf>
    <xf numFmtId="0" fontId="26" fillId="12" borderId="11" xfId="0" applyFont="1" applyFill="1" applyBorder="1" applyAlignment="1">
      <alignment horizontal="center" vertical="center" textRotation="90"/>
    </xf>
    <xf numFmtId="0" fontId="26" fillId="12" borderId="14" xfId="0" applyFont="1" applyFill="1" applyBorder="1" applyAlignment="1">
      <alignment horizontal="center" vertical="center" textRotation="90"/>
    </xf>
    <xf numFmtId="0" fontId="11" fillId="0" borderId="173" xfId="0" applyFont="1" applyBorder="1" applyAlignment="1">
      <alignment horizontal="center" vertical="center"/>
    </xf>
    <xf numFmtId="0" fontId="11" fillId="0" borderId="166" xfId="0" applyFont="1" applyBorder="1" applyAlignment="1">
      <alignment horizontal="center" vertical="center"/>
    </xf>
    <xf numFmtId="0" fontId="11" fillId="0" borderId="174" xfId="0" applyFont="1" applyBorder="1" applyAlignment="1">
      <alignment horizontal="center" vertical="center"/>
    </xf>
    <xf numFmtId="0" fontId="26" fillId="12" borderId="12" xfId="0" applyFont="1" applyFill="1" applyBorder="1" applyAlignment="1">
      <alignment horizontal="center"/>
    </xf>
    <xf numFmtId="0" fontId="26" fillId="12" borderId="13" xfId="0" applyFont="1" applyFill="1" applyBorder="1" applyAlignment="1">
      <alignment horizontal="center"/>
    </xf>
    <xf numFmtId="0" fontId="26" fillId="12" borderId="14" xfId="0" applyFont="1" applyFill="1" applyBorder="1" applyAlignment="1">
      <alignment horizontal="center"/>
    </xf>
    <xf numFmtId="0" fontId="11" fillId="0" borderId="16" xfId="0" applyFont="1" applyBorder="1" applyAlignment="1">
      <alignment horizontal="center" vertical="center"/>
    </xf>
    <xf numFmtId="0" fontId="33" fillId="11" borderId="10" xfId="0" applyFont="1" applyFill="1" applyBorder="1" applyAlignment="1">
      <alignment horizontal="center" vertical="center" textRotation="90" wrapText="1"/>
    </xf>
    <xf numFmtId="0" fontId="33" fillId="11" borderId="6" xfId="0" applyFont="1" applyFill="1" applyBorder="1" applyAlignment="1">
      <alignment horizontal="center" vertical="center" textRotation="90" wrapText="1"/>
    </xf>
    <xf numFmtId="0" fontId="33" fillId="11" borderId="12" xfId="0" applyFont="1" applyFill="1" applyBorder="1" applyAlignment="1">
      <alignment horizontal="center" vertical="center" textRotation="90" wrapText="1"/>
    </xf>
    <xf numFmtId="0" fontId="33" fillId="11" borderId="13" xfId="0" applyFont="1" applyFill="1" applyBorder="1" applyAlignment="1">
      <alignment horizontal="center" vertical="center" textRotation="90" wrapText="1"/>
    </xf>
    <xf numFmtId="9" fontId="0" fillId="0" borderId="0" xfId="0" applyNumberFormat="1" applyAlignment="1">
      <alignment horizontal="center"/>
    </xf>
    <xf numFmtId="0" fontId="11" fillId="0" borderId="1" xfId="0" applyFont="1" applyBorder="1" applyAlignment="1">
      <alignment horizontal="center" vertical="center" textRotation="90"/>
    </xf>
    <xf numFmtId="0" fontId="11" fillId="0" borderId="170" xfId="0" applyFont="1" applyBorder="1" applyAlignment="1">
      <alignment horizontal="center" vertical="center" textRotation="90"/>
    </xf>
    <xf numFmtId="0" fontId="11" fillId="0" borderId="4" xfId="0" applyFont="1" applyBorder="1" applyAlignment="1">
      <alignment horizontal="center" vertical="center" textRotation="90"/>
    </xf>
    <xf numFmtId="0" fontId="11" fillId="0" borderId="168" xfId="0" applyFont="1" applyBorder="1" applyAlignment="1">
      <alignment horizontal="center" vertical="center" textRotation="90"/>
    </xf>
    <xf numFmtId="0" fontId="11" fillId="0" borderId="34" xfId="0" applyFont="1" applyBorder="1" applyAlignment="1">
      <alignment horizontal="center" vertical="center" textRotation="90"/>
    </xf>
    <xf numFmtId="0" fontId="11" fillId="0" borderId="169" xfId="0" applyFont="1" applyBorder="1" applyAlignment="1">
      <alignment horizontal="center" vertical="center" textRotation="90"/>
    </xf>
    <xf numFmtId="1" fontId="7" fillId="0" borderId="7" xfId="0" applyNumberFormat="1" applyFont="1" applyBorder="1" applyAlignment="1">
      <alignment horizontal="center" vertical="center" textRotation="90"/>
    </xf>
    <xf numFmtId="1" fontId="7" fillId="0" borderId="10" xfId="0" applyNumberFormat="1" applyFont="1" applyBorder="1" applyAlignment="1">
      <alignment horizontal="center" vertical="center" textRotation="90"/>
    </xf>
    <xf numFmtId="1" fontId="11" fillId="0" borderId="14" xfId="0" applyNumberFormat="1" applyFont="1" applyBorder="1" applyAlignment="1">
      <alignment horizontal="center" vertical="center"/>
    </xf>
    <xf numFmtId="1" fontId="11" fillId="0" borderId="4" xfId="0" applyNumberFormat="1" applyFont="1" applyBorder="1" applyAlignment="1">
      <alignment horizontal="center" vertical="center"/>
    </xf>
    <xf numFmtId="1" fontId="11" fillId="0" borderId="0" xfId="0" applyNumberFormat="1" applyFont="1" applyAlignment="1">
      <alignment horizontal="center" vertical="center"/>
    </xf>
    <xf numFmtId="1" fontId="11" fillId="0" borderId="44" xfId="0" applyNumberFormat="1"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1" fontId="7" fillId="0" borderId="12" xfId="0" applyNumberFormat="1" applyFont="1" applyBorder="1" applyAlignment="1">
      <alignment horizontal="center" vertical="center" textRotation="90"/>
    </xf>
    <xf numFmtId="1" fontId="7" fillId="0" borderId="12" xfId="0" applyNumberFormat="1" applyFont="1" applyBorder="1" applyAlignment="1">
      <alignment horizontal="center" wrapText="1"/>
    </xf>
    <xf numFmtId="1" fontId="7" fillId="0" borderId="13" xfId="0" applyNumberFormat="1" applyFont="1" applyBorder="1" applyAlignment="1">
      <alignment horizontal="center" wrapText="1"/>
    </xf>
    <xf numFmtId="1" fontId="7" fillId="0" borderId="14" xfId="0" applyNumberFormat="1" applyFont="1" applyBorder="1" applyAlignment="1">
      <alignment horizontal="center" wrapText="1"/>
    </xf>
    <xf numFmtId="2" fontId="11" fillId="14" borderId="111" xfId="0" applyNumberFormat="1" applyFont="1" applyFill="1" applyBorder="1" applyAlignment="1" applyProtection="1">
      <alignment horizontal="center" vertical="center" textRotation="90" wrapText="1"/>
      <protection locked="0"/>
    </xf>
    <xf numFmtId="2" fontId="11" fillId="14" borderId="113" xfId="0" applyNumberFormat="1" applyFont="1" applyFill="1" applyBorder="1" applyAlignment="1" applyProtection="1">
      <alignment horizontal="center" vertical="center" textRotation="90" wrapText="1"/>
      <protection locked="0"/>
    </xf>
    <xf numFmtId="2" fontId="11" fillId="14" borderId="114" xfId="0" applyNumberFormat="1" applyFont="1" applyFill="1" applyBorder="1" applyAlignment="1" applyProtection="1">
      <alignment horizontal="center" vertical="center" textRotation="90" wrapText="1"/>
      <protection locked="0"/>
    </xf>
    <xf numFmtId="2" fontId="11" fillId="14" borderId="116" xfId="0" applyNumberFormat="1" applyFont="1" applyFill="1" applyBorder="1" applyAlignment="1" applyProtection="1">
      <alignment horizontal="center" vertical="center" textRotation="90" wrapText="1"/>
      <protection locked="0"/>
    </xf>
    <xf numFmtId="2" fontId="11" fillId="13" borderId="8" xfId="0" applyNumberFormat="1" applyFont="1" applyFill="1" applyBorder="1" applyAlignment="1">
      <alignment horizontal="center" vertical="center" textRotation="90" wrapText="1"/>
    </xf>
    <xf numFmtId="2" fontId="11" fillId="13" borderId="9" xfId="0" applyNumberFormat="1" applyFont="1" applyFill="1" applyBorder="1" applyAlignment="1">
      <alignment horizontal="center" vertical="center" textRotation="90" wrapText="1"/>
    </xf>
    <xf numFmtId="2" fontId="11" fillId="13" borderId="6" xfId="0" applyNumberFormat="1" applyFont="1" applyFill="1" applyBorder="1" applyAlignment="1">
      <alignment horizontal="center" vertical="center" textRotation="90" wrapText="1"/>
    </xf>
    <xf numFmtId="2" fontId="11" fillId="13" borderId="11" xfId="0" applyNumberFormat="1" applyFont="1" applyFill="1" applyBorder="1" applyAlignment="1">
      <alignment horizontal="center" vertical="center" textRotation="90" wrapText="1"/>
    </xf>
    <xf numFmtId="1" fontId="11" fillId="13" borderId="6" xfId="0" applyNumberFormat="1" applyFont="1" applyFill="1" applyBorder="1" applyAlignment="1">
      <alignment horizontal="center" vertical="center" textRotation="90"/>
    </xf>
    <xf numFmtId="0" fontId="33" fillId="11" borderId="11" xfId="0" applyFont="1" applyFill="1" applyBorder="1" applyAlignment="1">
      <alignment horizontal="center" vertical="center" textRotation="90" wrapText="1"/>
    </xf>
    <xf numFmtId="0" fontId="33" fillId="11" borderId="14" xfId="0" applyFont="1" applyFill="1" applyBorder="1" applyAlignment="1">
      <alignment horizontal="center" vertical="center" textRotation="90" wrapText="1"/>
    </xf>
    <xf numFmtId="0" fontId="30" fillId="0" borderId="45" xfId="0" applyFont="1" applyBorder="1" applyAlignment="1">
      <alignment horizontal="center" vertical="center" textRotation="90"/>
    </xf>
    <xf numFmtId="0" fontId="30" fillId="0" borderId="29" xfId="0" applyFont="1" applyBorder="1" applyAlignment="1">
      <alignment horizontal="center" vertical="center" textRotation="90"/>
    </xf>
    <xf numFmtId="0" fontId="30" fillId="0" borderId="4" xfId="0" applyFont="1" applyBorder="1" applyAlignment="1">
      <alignment horizontal="center" vertical="center" textRotation="90"/>
    </xf>
    <xf numFmtId="0" fontId="30" fillId="0" borderId="44" xfId="0" applyFont="1" applyBorder="1" applyAlignment="1">
      <alignment horizontal="center" vertical="center" textRotation="90"/>
    </xf>
    <xf numFmtId="0" fontId="30" fillId="0" borderId="34" xfId="0" applyFont="1" applyBorder="1" applyAlignment="1">
      <alignment horizontal="center" vertical="center" textRotation="90"/>
    </xf>
    <xf numFmtId="0" fontId="30" fillId="0" borderId="56" xfId="0" applyFont="1" applyBorder="1" applyAlignment="1">
      <alignment horizontal="center" vertical="center" textRotation="90"/>
    </xf>
    <xf numFmtId="0" fontId="30" fillId="0" borderId="47" xfId="0" applyFont="1" applyBorder="1" applyAlignment="1">
      <alignment horizontal="center" vertical="center" textRotation="90"/>
    </xf>
    <xf numFmtId="0" fontId="30" fillId="0" borderId="43" xfId="0" applyFont="1" applyBorder="1" applyAlignment="1">
      <alignment horizontal="center" vertical="center" textRotation="90"/>
    </xf>
    <xf numFmtId="0" fontId="30" fillId="0" borderId="55" xfId="0" applyFont="1" applyBorder="1" applyAlignment="1">
      <alignment horizontal="center" vertical="center" textRotation="90"/>
    </xf>
    <xf numFmtId="0" fontId="26" fillId="12" borderId="7" xfId="0" applyFont="1" applyFill="1" applyBorder="1" applyAlignment="1">
      <alignment horizontal="center"/>
    </xf>
    <xf numFmtId="0" fontId="26" fillId="12" borderId="8" xfId="0" applyFont="1" applyFill="1" applyBorder="1" applyAlignment="1">
      <alignment horizontal="center"/>
    </xf>
    <xf numFmtId="0" fontId="26" fillId="12" borderId="9" xfId="0" applyFont="1" applyFill="1" applyBorder="1" applyAlignment="1">
      <alignment horizontal="center"/>
    </xf>
    <xf numFmtId="1" fontId="11" fillId="0" borderId="7" xfId="0" applyNumberFormat="1" applyFont="1" applyBorder="1" applyAlignment="1">
      <alignment horizontal="center" vertical="center" textRotation="90"/>
    </xf>
    <xf numFmtId="1" fontId="11" fillId="0" borderId="8" xfId="0" applyNumberFormat="1" applyFont="1" applyBorder="1" applyAlignment="1">
      <alignment horizontal="center" vertical="center" textRotation="90"/>
    </xf>
    <xf numFmtId="1" fontId="11" fillId="0" borderId="10" xfId="0" applyNumberFormat="1" applyFont="1" applyBorder="1" applyAlignment="1">
      <alignment horizontal="center" vertical="center" textRotation="90"/>
    </xf>
    <xf numFmtId="1" fontId="11" fillId="0" borderId="6" xfId="0" applyNumberFormat="1" applyFont="1" applyBorder="1" applyAlignment="1">
      <alignment horizontal="center" vertical="center" textRotation="90"/>
    </xf>
    <xf numFmtId="0" fontId="38" fillId="11" borderId="7" xfId="0" applyFont="1" applyFill="1" applyBorder="1" applyAlignment="1">
      <alignment horizontal="center" vertical="center" wrapText="1"/>
    </xf>
    <xf numFmtId="0" fontId="38" fillId="11" borderId="8" xfId="0" applyFont="1" applyFill="1" applyBorder="1" applyAlignment="1">
      <alignment horizontal="center" vertical="center" wrapText="1"/>
    </xf>
    <xf numFmtId="0" fontId="38" fillId="11" borderId="9" xfId="0" applyFont="1" applyFill="1" applyBorder="1" applyAlignment="1">
      <alignment horizontal="center" vertical="center" wrapText="1"/>
    </xf>
    <xf numFmtId="0" fontId="38" fillId="11" borderId="10"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38" fillId="11" borderId="11" xfId="0" applyFont="1" applyFill="1" applyBorder="1" applyAlignment="1">
      <alignment horizontal="center" vertical="center" wrapText="1"/>
    </xf>
    <xf numFmtId="0" fontId="38" fillId="11" borderId="15" xfId="0" applyFont="1" applyFill="1" applyBorder="1" applyAlignment="1">
      <alignment horizontal="center" vertical="center" wrapText="1"/>
    </xf>
    <xf numFmtId="0" fontId="38" fillId="11" borderId="16" xfId="0" applyFont="1" applyFill="1" applyBorder="1" applyAlignment="1">
      <alignment horizontal="center" vertical="center" wrapText="1"/>
    </xf>
    <xf numFmtId="0" fontId="38" fillId="11" borderId="17" xfId="0" applyFont="1" applyFill="1" applyBorder="1" applyAlignment="1">
      <alignment horizontal="center" vertical="center" wrapText="1"/>
    </xf>
    <xf numFmtId="2" fontId="14" fillId="21" borderId="111" xfId="0" applyNumberFormat="1" applyFont="1" applyFill="1" applyBorder="1" applyAlignment="1">
      <alignment horizontal="center" vertical="center"/>
    </xf>
    <xf numFmtId="0" fontId="14" fillId="21" borderId="112" xfId="0" applyFont="1" applyFill="1" applyBorder="1" applyAlignment="1">
      <alignment horizontal="center" vertical="center"/>
    </xf>
    <xf numFmtId="0" fontId="11" fillId="0" borderId="112" xfId="0" applyFont="1" applyBorder="1" applyAlignment="1">
      <alignment horizontal="center" vertical="center" wrapText="1"/>
    </xf>
    <xf numFmtId="0" fontId="11" fillId="0" borderId="119" xfId="0" applyFont="1" applyBorder="1" applyAlignment="1">
      <alignment horizontal="center" vertical="center" wrapText="1"/>
    </xf>
    <xf numFmtId="0" fontId="14" fillId="21" borderId="114" xfId="0" applyFont="1" applyFill="1" applyBorder="1" applyAlignment="1">
      <alignment horizontal="center" vertical="center"/>
    </xf>
    <xf numFmtId="0" fontId="6" fillId="2" borderId="50" xfId="0" applyFont="1" applyFill="1" applyBorder="1" applyAlignment="1">
      <alignment horizontal="center"/>
    </xf>
    <xf numFmtId="0" fontId="6" fillId="2" borderId="51" xfId="0" applyFont="1" applyFill="1" applyBorder="1" applyAlignment="1">
      <alignment horizontal="center"/>
    </xf>
    <xf numFmtId="0" fontId="6" fillId="2" borderId="54" xfId="0" applyFont="1" applyFill="1" applyBorder="1" applyAlignment="1">
      <alignment horizontal="center"/>
    </xf>
    <xf numFmtId="0" fontId="7" fillId="0" borderId="1" xfId="0" applyFont="1" applyBorder="1" applyAlignment="1">
      <alignment horizontal="right"/>
    </xf>
    <xf numFmtId="0" fontId="7" fillId="0" borderId="2" xfId="0" applyFont="1" applyBorder="1" applyAlignment="1">
      <alignment horizontal="right"/>
    </xf>
    <xf numFmtId="0" fontId="7" fillId="0" borderId="42" xfId="0" applyFont="1" applyBorder="1" applyAlignment="1">
      <alignment horizontal="right"/>
    </xf>
    <xf numFmtId="0" fontId="7" fillId="0" borderId="50" xfId="0" applyFont="1" applyBorder="1" applyAlignment="1">
      <alignment horizontal="right"/>
    </xf>
    <xf numFmtId="0" fontId="7" fillId="0" borderId="51" xfId="0" applyFont="1" applyBorder="1" applyAlignment="1">
      <alignment horizontal="right"/>
    </xf>
    <xf numFmtId="0" fontId="7" fillId="0" borderId="52" xfId="0" applyFont="1" applyBorder="1" applyAlignment="1">
      <alignment horizontal="right"/>
    </xf>
    <xf numFmtId="0" fontId="30" fillId="6" borderId="15" xfId="0" applyFont="1" applyFill="1" applyBorder="1" applyAlignment="1">
      <alignment horizontal="center" vertical="center"/>
    </xf>
    <xf numFmtId="0" fontId="30" fillId="6" borderId="16" xfId="0" applyFont="1" applyFill="1" applyBorder="1" applyAlignment="1">
      <alignment horizontal="center" vertical="center"/>
    </xf>
    <xf numFmtId="0" fontId="30" fillId="7" borderId="16" xfId="0" applyFont="1" applyFill="1" applyBorder="1" applyAlignment="1">
      <alignment horizontal="center" vertical="center"/>
    </xf>
    <xf numFmtId="0" fontId="66" fillId="8" borderId="16" xfId="0" applyFont="1" applyFill="1" applyBorder="1" applyAlignment="1">
      <alignment horizontal="center" vertical="center"/>
    </xf>
    <xf numFmtId="0" fontId="67" fillId="9" borderId="16" xfId="0" applyFont="1" applyFill="1" applyBorder="1" applyAlignment="1">
      <alignment horizontal="center" vertical="center"/>
    </xf>
    <xf numFmtId="0" fontId="67" fillId="9" borderId="17" xfId="0" applyFont="1" applyFill="1" applyBorder="1" applyAlignment="1">
      <alignment horizontal="center" vertical="center"/>
    </xf>
    <xf numFmtId="2" fontId="65" fillId="0" borderId="1" xfId="0" applyNumberFormat="1" applyFont="1" applyBorder="1" applyAlignment="1">
      <alignment horizontal="center" vertical="center"/>
    </xf>
    <xf numFmtId="2" fontId="65" fillId="0" borderId="2" xfId="0" applyNumberFormat="1" applyFont="1" applyBorder="1" applyAlignment="1">
      <alignment horizontal="center" vertical="center"/>
    </xf>
    <xf numFmtId="2" fontId="65" fillId="0" borderId="156" xfId="0" applyNumberFormat="1" applyFont="1" applyBorder="1" applyAlignment="1">
      <alignment horizontal="center" vertical="center"/>
    </xf>
    <xf numFmtId="0" fontId="7" fillId="0" borderId="45" xfId="0" applyFont="1" applyBorder="1" applyAlignment="1">
      <alignment horizontal="right"/>
    </xf>
    <xf numFmtId="0" fontId="7" fillId="0" borderId="46" xfId="0" applyFont="1" applyBorder="1" applyAlignment="1">
      <alignment horizontal="right"/>
    </xf>
    <xf numFmtId="0" fontId="7" fillId="0" borderId="29" xfId="0" applyFont="1" applyBorder="1" applyAlignment="1">
      <alignment horizontal="right"/>
    </xf>
    <xf numFmtId="0" fontId="7" fillId="0" borderId="34" xfId="0" applyFont="1" applyBorder="1" applyAlignment="1">
      <alignment horizontal="right"/>
    </xf>
    <xf numFmtId="0" fontId="7" fillId="0" borderId="35" xfId="0" applyFont="1" applyBorder="1" applyAlignment="1">
      <alignment horizontal="right"/>
    </xf>
    <xf numFmtId="0" fontId="7" fillId="0" borderId="56" xfId="0" applyFont="1" applyBorder="1" applyAlignment="1">
      <alignment horizontal="right"/>
    </xf>
    <xf numFmtId="0" fontId="38" fillId="2" borderId="34"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11" fillId="0" borderId="214" xfId="0" applyFont="1" applyBorder="1" applyAlignment="1">
      <alignment horizontal="center" vertical="center"/>
    </xf>
    <xf numFmtId="2" fontId="11" fillId="14" borderId="98" xfId="0" applyNumberFormat="1" applyFont="1" applyFill="1" applyBorder="1" applyAlignment="1" applyProtection="1">
      <alignment horizontal="center" vertical="center"/>
      <protection locked="0"/>
    </xf>
    <xf numFmtId="2" fontId="11" fillId="14" borderId="99" xfId="0" applyNumberFormat="1" applyFont="1" applyFill="1" applyBorder="1" applyAlignment="1" applyProtection="1">
      <alignment horizontal="center" vertical="center"/>
      <protection locked="0"/>
    </xf>
    <xf numFmtId="2" fontId="11" fillId="14" borderId="100" xfId="0" applyNumberFormat="1" applyFont="1" applyFill="1" applyBorder="1" applyAlignment="1" applyProtection="1">
      <alignment horizontal="center" vertical="center"/>
      <protection locked="0"/>
    </xf>
    <xf numFmtId="2" fontId="11" fillId="14" borderId="104" xfId="0" applyNumberFormat="1" applyFont="1" applyFill="1" applyBorder="1" applyAlignment="1" applyProtection="1">
      <alignment horizontal="center" vertical="center"/>
      <protection locked="0"/>
    </xf>
    <xf numFmtId="2" fontId="11" fillId="14" borderId="105" xfId="0" applyNumberFormat="1" applyFont="1" applyFill="1" applyBorder="1" applyAlignment="1" applyProtection="1">
      <alignment horizontal="center" vertical="center"/>
      <protection locked="0"/>
    </xf>
    <xf numFmtId="2" fontId="11" fillId="14" borderId="106" xfId="0" applyNumberFormat="1" applyFont="1" applyFill="1" applyBorder="1" applyAlignment="1" applyProtection="1">
      <alignment horizontal="center" vertical="center"/>
      <protection locked="0"/>
    </xf>
    <xf numFmtId="0" fontId="33" fillId="11" borderId="45" xfId="0" applyFont="1" applyFill="1" applyBorder="1" applyAlignment="1">
      <alignment horizontal="center" vertical="center" wrapText="1"/>
    </xf>
    <xf numFmtId="0" fontId="33" fillId="11" borderId="46" xfId="0" applyFont="1" applyFill="1" applyBorder="1" applyAlignment="1">
      <alignment horizontal="center" vertical="center" wrapText="1"/>
    </xf>
    <xf numFmtId="0" fontId="33" fillId="11" borderId="29" xfId="0" applyFont="1" applyFill="1" applyBorder="1" applyAlignment="1">
      <alignment horizontal="center" vertical="center" wrapText="1"/>
    </xf>
    <xf numFmtId="0" fontId="33" fillId="11" borderId="34" xfId="0" applyFont="1" applyFill="1" applyBorder="1" applyAlignment="1">
      <alignment horizontal="center" vertical="center" wrapText="1"/>
    </xf>
    <xf numFmtId="0" fontId="33" fillId="11" borderId="35" xfId="0" applyFont="1" applyFill="1" applyBorder="1" applyAlignment="1">
      <alignment horizontal="center" vertical="center" wrapText="1"/>
    </xf>
    <xf numFmtId="0" fontId="33" fillId="11" borderId="56" xfId="0" applyFont="1" applyFill="1" applyBorder="1" applyAlignment="1">
      <alignment horizontal="center" vertical="center" wrapText="1"/>
    </xf>
    <xf numFmtId="2" fontId="11" fillId="13" borderId="47" xfId="0" applyNumberFormat="1" applyFont="1" applyFill="1" applyBorder="1" applyAlignment="1">
      <alignment horizontal="center" vertical="center"/>
    </xf>
    <xf numFmtId="2" fontId="11" fillId="13" borderId="46" xfId="0" applyNumberFormat="1" applyFont="1" applyFill="1" applyBorder="1" applyAlignment="1">
      <alignment horizontal="center" vertical="center"/>
    </xf>
    <xf numFmtId="2" fontId="11" fillId="13" borderId="48" xfId="0" applyNumberFormat="1" applyFont="1" applyFill="1" applyBorder="1" applyAlignment="1">
      <alignment horizontal="center" vertical="center"/>
    </xf>
    <xf numFmtId="2" fontId="11" fillId="13" borderId="55" xfId="0" applyNumberFormat="1" applyFont="1" applyFill="1" applyBorder="1" applyAlignment="1">
      <alignment horizontal="center" vertical="center"/>
    </xf>
    <xf numFmtId="2" fontId="11" fillId="13" borderId="35" xfId="0" applyNumberFormat="1" applyFont="1" applyFill="1" applyBorder="1" applyAlignment="1">
      <alignment horizontal="center" vertical="center"/>
    </xf>
    <xf numFmtId="2" fontId="11" fillId="13" borderId="36" xfId="0" applyNumberFormat="1" applyFont="1" applyFill="1" applyBorder="1" applyAlignment="1">
      <alignment horizontal="center" vertical="center"/>
    </xf>
    <xf numFmtId="1" fontId="11" fillId="4" borderId="47" xfId="0" applyNumberFormat="1" applyFont="1" applyFill="1" applyBorder="1" applyAlignment="1">
      <alignment horizontal="center" vertical="center"/>
    </xf>
    <xf numFmtId="1" fontId="11" fillId="4" borderId="46" xfId="0" applyNumberFormat="1" applyFont="1" applyFill="1" applyBorder="1" applyAlignment="1">
      <alignment horizontal="center" vertical="center"/>
    </xf>
    <xf numFmtId="1" fontId="11" fillId="4" borderId="29" xfId="0" applyNumberFormat="1" applyFont="1" applyFill="1" applyBorder="1" applyAlignment="1">
      <alignment horizontal="center" vertical="center"/>
    </xf>
    <xf numFmtId="1" fontId="11" fillId="4" borderId="53" xfId="0" applyNumberFormat="1" applyFont="1" applyFill="1" applyBorder="1" applyAlignment="1">
      <alignment horizontal="center" vertical="center"/>
    </xf>
    <xf numFmtId="1" fontId="11" fillId="4" borderId="51" xfId="0" applyNumberFormat="1" applyFont="1" applyFill="1" applyBorder="1" applyAlignment="1">
      <alignment horizontal="center" vertical="center"/>
    </xf>
    <xf numFmtId="1" fontId="11" fillId="4" borderId="52" xfId="0" applyNumberFormat="1" applyFont="1" applyFill="1" applyBorder="1" applyAlignment="1">
      <alignment horizontal="center" vertical="center"/>
    </xf>
    <xf numFmtId="2" fontId="38" fillId="16" borderId="126" xfId="0" applyNumberFormat="1" applyFont="1" applyFill="1" applyBorder="1" applyAlignment="1">
      <alignment horizontal="center" vertical="center"/>
    </xf>
    <xf numFmtId="2" fontId="38" fillId="16" borderId="70" xfId="0" applyNumberFormat="1" applyFont="1" applyFill="1" applyBorder="1" applyAlignment="1">
      <alignment horizontal="center" vertical="center"/>
    </xf>
    <xf numFmtId="1" fontId="7" fillId="0" borderId="69" xfId="0" applyNumberFormat="1" applyFont="1" applyBorder="1" applyAlignment="1">
      <alignment horizontal="center"/>
    </xf>
    <xf numFmtId="1" fontId="7" fillId="0" borderId="32" xfId="0" applyNumberFormat="1" applyFont="1" applyBorder="1" applyAlignment="1">
      <alignment horizontal="center"/>
    </xf>
    <xf numFmtId="1" fontId="7" fillId="0" borderId="33" xfId="0" applyNumberFormat="1" applyFont="1" applyBorder="1" applyAlignment="1">
      <alignment horizontal="center"/>
    </xf>
    <xf numFmtId="0" fontId="12" fillId="0" borderId="47" xfId="0" applyFont="1" applyBorder="1" applyAlignment="1">
      <alignment horizontal="center"/>
    </xf>
    <xf numFmtId="0" fontId="12" fillId="0" borderId="46" xfId="0" applyFont="1" applyBorder="1" applyAlignment="1">
      <alignment horizontal="center"/>
    </xf>
    <xf numFmtId="0" fontId="12" fillId="0" borderId="29" xfId="0" applyFont="1" applyBorder="1" applyAlignment="1">
      <alignment horizontal="center"/>
    </xf>
    <xf numFmtId="0" fontId="33" fillId="11" borderId="42" xfId="0" applyFont="1" applyFill="1" applyBorder="1" applyAlignment="1">
      <alignment horizontal="center" vertical="center" wrapText="1"/>
    </xf>
    <xf numFmtId="0" fontId="33" fillId="11" borderId="44" xfId="0" applyFont="1" applyFill="1" applyBorder="1" applyAlignment="1">
      <alignment horizontal="center" vertical="center" wrapText="1"/>
    </xf>
    <xf numFmtId="2" fontId="25" fillId="2" borderId="94" xfId="0" applyNumberFormat="1" applyFont="1" applyFill="1" applyBorder="1" applyAlignment="1">
      <alignment horizontal="center" vertical="center" wrapText="1"/>
    </xf>
    <xf numFmtId="2" fontId="25" fillId="2" borderId="95" xfId="0" applyNumberFormat="1" applyFont="1" applyFill="1" applyBorder="1" applyAlignment="1">
      <alignment horizontal="center" vertical="center" wrapText="1"/>
    </xf>
    <xf numFmtId="2" fontId="25" fillId="2" borderId="96" xfId="0" applyNumberFormat="1" applyFont="1" applyFill="1" applyBorder="1" applyAlignment="1">
      <alignment horizontal="center" vertical="center" wrapText="1"/>
    </xf>
    <xf numFmtId="0" fontId="30" fillId="0" borderId="41" xfId="0" applyFont="1" applyBorder="1" applyAlignment="1">
      <alignment horizontal="center" vertical="center" textRotation="180"/>
    </xf>
    <xf numFmtId="0" fontId="30" fillId="0" borderId="3" xfId="0" applyFont="1" applyBorder="1" applyAlignment="1">
      <alignment horizontal="center" vertical="center" textRotation="180"/>
    </xf>
    <xf numFmtId="0" fontId="30" fillId="0" borderId="43" xfId="0" applyFont="1" applyBorder="1" applyAlignment="1">
      <alignment horizontal="center" vertical="center" textRotation="180"/>
    </xf>
    <xf numFmtId="0" fontId="30" fillId="0" borderId="5" xfId="0" applyFont="1" applyBorder="1" applyAlignment="1">
      <alignment horizontal="center" vertical="center" textRotation="180"/>
    </xf>
    <xf numFmtId="1" fontId="30" fillId="0" borderId="42" xfId="0" applyNumberFormat="1" applyFont="1" applyBorder="1" applyAlignment="1">
      <alignment horizontal="center" vertical="center" textRotation="180"/>
    </xf>
    <xf numFmtId="1" fontId="30" fillId="0" borderId="44" xfId="0" applyNumberFormat="1" applyFont="1" applyBorder="1" applyAlignment="1">
      <alignment horizontal="center" vertical="center" textRotation="180"/>
    </xf>
    <xf numFmtId="1" fontId="30" fillId="0" borderId="52" xfId="0" applyNumberFormat="1" applyFont="1" applyBorder="1" applyAlignment="1">
      <alignment horizontal="center" vertical="center" textRotation="180"/>
    </xf>
    <xf numFmtId="1" fontId="30" fillId="0" borderId="47" xfId="0" applyNumberFormat="1" applyFont="1" applyBorder="1" applyAlignment="1">
      <alignment horizontal="center" vertical="center" textRotation="90"/>
    </xf>
    <xf numFmtId="1" fontId="30" fillId="0" borderId="43" xfId="0" applyNumberFormat="1" applyFont="1" applyBorder="1" applyAlignment="1">
      <alignment horizontal="center" vertical="center" textRotation="90"/>
    </xf>
    <xf numFmtId="1" fontId="30" fillId="0" borderId="55" xfId="0" applyNumberFormat="1" applyFont="1" applyBorder="1" applyAlignment="1">
      <alignment horizontal="center" vertical="center" textRotation="90"/>
    </xf>
    <xf numFmtId="1" fontId="11" fillId="4" borderId="6" xfId="0" applyNumberFormat="1" applyFont="1" applyFill="1" applyBorder="1" applyAlignment="1">
      <alignment horizontal="center" vertical="center"/>
    </xf>
    <xf numFmtId="1" fontId="7" fillId="0" borderId="127" xfId="0" applyNumberFormat="1" applyFont="1" applyBorder="1" applyAlignment="1">
      <alignment horizontal="center" vertical="center" textRotation="90"/>
    </xf>
    <xf numFmtId="1" fontId="7" fillId="0" borderId="28" xfId="0" applyNumberFormat="1" applyFont="1" applyBorder="1" applyAlignment="1">
      <alignment horizontal="center" vertical="center" textRotation="90"/>
    </xf>
    <xf numFmtId="1" fontId="7" fillId="0" borderId="128" xfId="0" applyNumberFormat="1" applyFont="1" applyBorder="1" applyAlignment="1">
      <alignment horizontal="center" vertical="center" textRotation="90"/>
    </xf>
    <xf numFmtId="1" fontId="11" fillId="4" borderId="39" xfId="0" applyNumberFormat="1" applyFont="1" applyFill="1" applyBorder="1" applyAlignment="1">
      <alignment horizontal="center" vertical="center"/>
    </xf>
    <xf numFmtId="2" fontId="11" fillId="14" borderId="30" xfId="0" applyNumberFormat="1" applyFont="1" applyFill="1" applyBorder="1" applyAlignment="1" applyProtection="1">
      <alignment horizontal="center" vertical="center"/>
      <protection locked="0"/>
    </xf>
    <xf numFmtId="2" fontId="11" fillId="14" borderId="31" xfId="0" applyNumberFormat="1" applyFont="1" applyFill="1" applyBorder="1" applyAlignment="1" applyProtection="1">
      <alignment horizontal="center" vertical="center"/>
      <protection locked="0"/>
    </xf>
    <xf numFmtId="2" fontId="11" fillId="14" borderId="109" xfId="0" applyNumberFormat="1" applyFont="1" applyFill="1" applyBorder="1" applyAlignment="1" applyProtection="1">
      <alignment horizontal="center" vertical="center"/>
      <protection locked="0"/>
    </xf>
    <xf numFmtId="2" fontId="11" fillId="14" borderId="110" xfId="0" applyNumberFormat="1" applyFont="1" applyFill="1" applyBorder="1" applyAlignment="1" applyProtection="1">
      <alignment horizontal="center" vertical="center"/>
      <protection locked="0"/>
    </xf>
    <xf numFmtId="0" fontId="33" fillId="11" borderId="52" xfId="0" applyFont="1" applyFill="1" applyBorder="1" applyAlignment="1">
      <alignment horizontal="center" vertical="center" wrapText="1"/>
    </xf>
    <xf numFmtId="2" fontId="11" fillId="13" borderId="8" xfId="0" applyNumberFormat="1" applyFont="1" applyFill="1" applyBorder="1" applyAlignment="1">
      <alignment horizontal="center" vertical="center"/>
    </xf>
    <xf numFmtId="2" fontId="11" fillId="13" borderId="9" xfId="0" applyNumberFormat="1" applyFont="1" applyFill="1" applyBorder="1" applyAlignment="1">
      <alignment horizontal="center" vertical="center"/>
    </xf>
    <xf numFmtId="2" fontId="11" fillId="13" borderId="6" xfId="0" applyNumberFormat="1" applyFont="1" applyFill="1" applyBorder="1" applyAlignment="1">
      <alignment horizontal="center" vertical="center"/>
    </xf>
    <xf numFmtId="2" fontId="11" fillId="13" borderId="11" xfId="0" applyNumberFormat="1" applyFont="1" applyFill="1" applyBorder="1" applyAlignment="1">
      <alignment horizontal="center" vertical="center"/>
    </xf>
    <xf numFmtId="0" fontId="14" fillId="21" borderId="256" xfId="0" applyFont="1" applyFill="1" applyBorder="1" applyAlignment="1">
      <alignment horizontal="center" vertical="center"/>
    </xf>
    <xf numFmtId="0" fontId="14" fillId="21" borderId="257" xfId="0" applyFont="1" applyFill="1" applyBorder="1" applyAlignment="1">
      <alignment horizontal="center" vertical="center"/>
    </xf>
    <xf numFmtId="0" fontId="14" fillId="21" borderId="258" xfId="0" applyFont="1" applyFill="1" applyBorder="1" applyAlignment="1">
      <alignment horizontal="center" vertical="center"/>
    </xf>
    <xf numFmtId="0" fontId="11" fillId="0" borderId="213" xfId="0" applyFont="1" applyBorder="1" applyAlignment="1">
      <alignment horizontal="center" vertical="center"/>
    </xf>
    <xf numFmtId="2" fontId="38" fillId="16" borderId="127" xfId="0" applyNumberFormat="1" applyFont="1" applyFill="1" applyBorder="1" applyAlignment="1">
      <alignment horizontal="center" vertical="center"/>
    </xf>
    <xf numFmtId="2" fontId="38" fillId="16" borderId="128" xfId="0" applyNumberFormat="1" applyFont="1" applyFill="1" applyBorder="1" applyAlignment="1">
      <alignment horizontal="center" vertical="center"/>
    </xf>
    <xf numFmtId="0" fontId="11" fillId="0" borderId="47" xfId="0" applyFont="1" applyBorder="1" applyAlignment="1">
      <alignment horizontal="center" vertical="center"/>
    </xf>
    <xf numFmtId="0" fontId="11" fillId="14" borderId="43" xfId="0" applyFont="1" applyFill="1" applyBorder="1" applyAlignment="1" applyProtection="1">
      <alignment horizontal="center" vertical="center" wrapText="1"/>
      <protection locked="0"/>
    </xf>
    <xf numFmtId="0" fontId="11" fillId="14" borderId="41" xfId="0" applyFont="1" applyFill="1" applyBorder="1" applyAlignment="1" applyProtection="1">
      <alignment horizontal="center" vertical="center" wrapText="1"/>
      <protection locked="0"/>
    </xf>
    <xf numFmtId="0" fontId="11" fillId="0" borderId="3" xfId="0" applyFont="1" applyBorder="1" applyAlignment="1">
      <alignment horizontal="center" vertical="center" textRotation="90"/>
    </xf>
    <xf numFmtId="0" fontId="11" fillId="0" borderId="5" xfId="0" applyFont="1" applyBorder="1" applyAlignment="1">
      <alignment horizontal="center" vertical="center" textRotation="90"/>
    </xf>
    <xf numFmtId="0" fontId="11" fillId="0" borderId="36" xfId="0" applyFont="1" applyBorder="1" applyAlignment="1">
      <alignment horizontal="center" vertical="center" textRotation="90"/>
    </xf>
    <xf numFmtId="0" fontId="14" fillId="21" borderId="253" xfId="0" applyFont="1" applyFill="1" applyBorder="1" applyAlignment="1">
      <alignment horizontal="center" vertical="center"/>
    </xf>
    <xf numFmtId="1" fontId="7" fillId="0" borderId="15" xfId="0" applyNumberFormat="1" applyFont="1" applyBorder="1" applyAlignment="1">
      <alignment horizontal="center" wrapText="1"/>
    </xf>
    <xf numFmtId="1" fontId="7" fillId="0" borderId="16" xfId="0" applyNumberFormat="1" applyFont="1" applyBorder="1" applyAlignment="1">
      <alignment horizontal="center" wrapText="1"/>
    </xf>
    <xf numFmtId="1" fontId="7" fillId="0" borderId="17" xfId="0" applyNumberFormat="1" applyFont="1" applyBorder="1" applyAlignment="1">
      <alignment horizontal="center" wrapText="1"/>
    </xf>
    <xf numFmtId="2" fontId="14" fillId="21" borderId="255" xfId="0" applyNumberFormat="1" applyFont="1" applyFill="1" applyBorder="1" applyAlignment="1">
      <alignment horizontal="center" vertical="center"/>
    </xf>
    <xf numFmtId="0" fontId="14" fillId="21" borderId="252" xfId="0" applyFont="1" applyFill="1" applyBorder="1" applyAlignment="1">
      <alignment horizontal="center" vertical="center"/>
    </xf>
    <xf numFmtId="1" fontId="11" fillId="4" borderId="28" xfId="0" applyNumberFormat="1" applyFont="1" applyFill="1" applyBorder="1" applyAlignment="1">
      <alignment horizontal="center" vertical="center"/>
    </xf>
    <xf numFmtId="0" fontId="30" fillId="0" borderId="42" xfId="0" applyFont="1" applyBorder="1" applyAlignment="1">
      <alignment horizontal="center" vertical="center" textRotation="180"/>
    </xf>
    <xf numFmtId="0" fontId="30" fillId="0" borderId="44" xfId="0" applyFont="1" applyBorder="1" applyAlignment="1">
      <alignment horizontal="center" vertical="center" textRotation="180"/>
    </xf>
    <xf numFmtId="0" fontId="30" fillId="0" borderId="53" xfId="0" applyFont="1" applyBorder="1" applyAlignment="1">
      <alignment horizontal="center" vertical="center" textRotation="180"/>
    </xf>
    <xf numFmtId="0" fontId="30" fillId="0" borderId="52" xfId="0" applyFont="1" applyBorder="1" applyAlignment="1">
      <alignment horizontal="center" vertical="center" textRotation="180"/>
    </xf>
    <xf numFmtId="4" fontId="38" fillId="16" borderId="1" xfId="0" applyNumberFormat="1" applyFont="1" applyFill="1" applyBorder="1" applyAlignment="1">
      <alignment horizontal="center" vertical="center" textRotation="90" wrapText="1"/>
    </xf>
    <xf numFmtId="4" fontId="38" fillId="16" borderId="3" xfId="0" applyNumberFormat="1" applyFont="1" applyFill="1" applyBorder="1" applyAlignment="1">
      <alignment horizontal="center" vertical="center" textRotation="90" wrapText="1"/>
    </xf>
    <xf numFmtId="4" fontId="38" fillId="16" borderId="4" xfId="0" applyNumberFormat="1" applyFont="1" applyFill="1" applyBorder="1" applyAlignment="1">
      <alignment horizontal="center" vertical="center" textRotation="90" wrapText="1"/>
    </xf>
    <xf numFmtId="4" fontId="38" fillId="16" borderId="5" xfId="0" applyNumberFormat="1" applyFont="1" applyFill="1" applyBorder="1" applyAlignment="1">
      <alignment horizontal="center" vertical="center" textRotation="90" wrapText="1"/>
    </xf>
    <xf numFmtId="4" fontId="38" fillId="16" borderId="34" xfId="0" applyNumberFormat="1" applyFont="1" applyFill="1" applyBorder="1" applyAlignment="1">
      <alignment horizontal="center" vertical="center" textRotation="90" wrapText="1"/>
    </xf>
    <xf numFmtId="4" fontId="38" fillId="16" borderId="36" xfId="0" applyNumberFormat="1" applyFont="1" applyFill="1" applyBorder="1" applyAlignment="1">
      <alignment horizontal="center" vertical="center" textRotation="90" wrapText="1"/>
    </xf>
    <xf numFmtId="2" fontId="11" fillId="14" borderId="107" xfId="0" applyNumberFormat="1" applyFont="1" applyFill="1" applyBorder="1" applyAlignment="1" applyProtection="1">
      <alignment horizontal="center" vertical="center"/>
      <protection locked="0"/>
    </xf>
    <xf numFmtId="2" fontId="11" fillId="14" borderId="108"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textRotation="180"/>
    </xf>
    <xf numFmtId="0" fontId="11" fillId="0" borderId="4" xfId="0" applyFont="1" applyBorder="1" applyAlignment="1">
      <alignment horizontal="center" vertical="center" textRotation="180"/>
    </xf>
    <xf numFmtId="0" fontId="11" fillId="0" borderId="34" xfId="0" applyFont="1" applyBorder="1" applyAlignment="1">
      <alignment horizontal="center" vertical="center" textRotation="180"/>
    </xf>
    <xf numFmtId="2" fontId="11" fillId="14" borderId="112" xfId="0" applyNumberFormat="1" applyFont="1" applyFill="1" applyBorder="1" applyAlignment="1" applyProtection="1">
      <alignment horizontal="center" vertical="center" textRotation="180"/>
      <protection locked="0"/>
    </xf>
    <xf numFmtId="2" fontId="11" fillId="14" borderId="115" xfId="0" applyNumberFormat="1" applyFont="1" applyFill="1" applyBorder="1" applyAlignment="1" applyProtection="1">
      <alignment horizontal="center" vertical="center" textRotation="180"/>
      <protection locked="0"/>
    </xf>
    <xf numFmtId="2" fontId="11" fillId="14" borderId="122" xfId="0" applyNumberFormat="1" applyFont="1" applyFill="1" applyBorder="1" applyAlignment="1" applyProtection="1">
      <alignment horizontal="center" vertical="center" textRotation="180"/>
      <protection locked="0"/>
    </xf>
    <xf numFmtId="4" fontId="38" fillId="16" borderId="4" xfId="0" applyNumberFormat="1" applyFont="1" applyFill="1" applyBorder="1" applyAlignment="1">
      <alignment horizontal="center" vertical="center" textRotation="180" wrapText="1"/>
    </xf>
    <xf numFmtId="4" fontId="38" fillId="16" borderId="5" xfId="0" applyNumberFormat="1" applyFont="1" applyFill="1" applyBorder="1" applyAlignment="1">
      <alignment horizontal="center" vertical="center" textRotation="180" wrapText="1"/>
    </xf>
    <xf numFmtId="4" fontId="38" fillId="16" borderId="34" xfId="0" applyNumberFormat="1" applyFont="1" applyFill="1" applyBorder="1" applyAlignment="1">
      <alignment horizontal="center" vertical="center" textRotation="180" wrapText="1"/>
    </xf>
    <xf numFmtId="4" fontId="38" fillId="16" borderId="36" xfId="0" applyNumberFormat="1" applyFont="1" applyFill="1" applyBorder="1" applyAlignment="1">
      <alignment horizontal="center" vertical="center" textRotation="180" wrapText="1"/>
    </xf>
    <xf numFmtId="4" fontId="38" fillId="16" borderId="1" xfId="0" applyNumberFormat="1" applyFont="1" applyFill="1" applyBorder="1" applyAlignment="1">
      <alignment horizontal="center" vertical="center" textRotation="180" wrapText="1"/>
    </xf>
    <xf numFmtId="4" fontId="38" fillId="16" borderId="3" xfId="0" applyNumberFormat="1" applyFont="1" applyFill="1" applyBorder="1" applyAlignment="1">
      <alignment horizontal="center" vertical="center" textRotation="180" wrapText="1"/>
    </xf>
    <xf numFmtId="2" fontId="11" fillId="14" borderId="101" xfId="0" applyNumberFormat="1" applyFont="1" applyFill="1" applyBorder="1" applyAlignment="1" applyProtection="1">
      <alignment horizontal="center" vertical="center"/>
      <protection locked="0"/>
    </xf>
    <xf numFmtId="2" fontId="11" fillId="14" borderId="102" xfId="0" applyNumberFormat="1" applyFont="1" applyFill="1" applyBorder="1" applyAlignment="1" applyProtection="1">
      <alignment horizontal="center" vertical="center"/>
      <protection locked="0"/>
    </xf>
    <xf numFmtId="2" fontId="11" fillId="14" borderId="103" xfId="0" applyNumberFormat="1" applyFont="1" applyFill="1" applyBorder="1" applyAlignment="1" applyProtection="1">
      <alignment horizontal="center" vertical="center"/>
      <protection locked="0"/>
    </xf>
    <xf numFmtId="4" fontId="38" fillId="16" borderId="203" xfId="0" applyNumberFormat="1" applyFont="1" applyFill="1" applyBorder="1" applyAlignment="1">
      <alignment horizontal="center" vertical="center" wrapText="1"/>
    </xf>
    <xf numFmtId="4" fontId="38" fillId="16" borderId="204" xfId="0" applyNumberFormat="1" applyFont="1" applyFill="1" applyBorder="1" applyAlignment="1">
      <alignment horizontal="center" vertical="center" wrapText="1"/>
    </xf>
    <xf numFmtId="4" fontId="38" fillId="16" borderId="209" xfId="0" applyNumberFormat="1" applyFont="1" applyFill="1" applyBorder="1" applyAlignment="1">
      <alignment horizontal="center" vertical="center" wrapText="1"/>
    </xf>
    <xf numFmtId="4" fontId="38" fillId="16" borderId="206" xfId="0" applyNumberFormat="1" applyFont="1" applyFill="1" applyBorder="1" applyAlignment="1">
      <alignment horizontal="center" vertical="center" wrapText="1"/>
    </xf>
    <xf numFmtId="4" fontId="38" fillId="16" borderId="207" xfId="0" applyNumberFormat="1" applyFont="1" applyFill="1" applyBorder="1" applyAlignment="1">
      <alignment horizontal="center" vertical="center" wrapText="1"/>
    </xf>
    <xf numFmtId="4" fontId="38" fillId="16" borderId="210" xfId="0" applyNumberFormat="1" applyFont="1" applyFill="1" applyBorder="1" applyAlignment="1">
      <alignment horizontal="center" vertical="center" wrapText="1"/>
    </xf>
    <xf numFmtId="0" fontId="11" fillId="0" borderId="114" xfId="0" applyFont="1" applyBorder="1" applyAlignment="1">
      <alignment horizontal="center" vertical="center"/>
    </xf>
    <xf numFmtId="0" fontId="11" fillId="0" borderId="199" xfId="0" applyFont="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0" fontId="11" fillId="0" borderId="111" xfId="0" applyFont="1" applyBorder="1" applyAlignment="1">
      <alignment horizontal="center" vertical="center"/>
    </xf>
    <xf numFmtId="0" fontId="11" fillId="0" borderId="112" xfId="0" applyFont="1" applyBorder="1" applyAlignment="1">
      <alignment horizontal="center" vertical="center"/>
    </xf>
    <xf numFmtId="0" fontId="11" fillId="0" borderId="119" xfId="0" applyFont="1" applyBorder="1" applyAlignment="1">
      <alignment horizontal="center" vertical="center"/>
    </xf>
    <xf numFmtId="4" fontId="38" fillId="16" borderId="7" xfId="0" applyNumberFormat="1" applyFont="1" applyFill="1" applyBorder="1" applyAlignment="1">
      <alignment horizontal="center" vertical="center" wrapText="1"/>
    </xf>
    <xf numFmtId="4" fontId="38" fillId="16" borderId="8" xfId="0" applyNumberFormat="1" applyFont="1" applyFill="1" applyBorder="1" applyAlignment="1">
      <alignment horizontal="center" vertical="center" wrapText="1"/>
    </xf>
    <xf numFmtId="4" fontId="38" fillId="16" borderId="126" xfId="0" applyNumberFormat="1" applyFont="1" applyFill="1" applyBorder="1" applyAlignment="1">
      <alignment horizontal="center" vertical="center" wrapText="1"/>
    </xf>
    <xf numFmtId="4" fontId="38" fillId="16" borderId="12" xfId="0" applyNumberFormat="1" applyFont="1" applyFill="1" applyBorder="1" applyAlignment="1">
      <alignment horizontal="center" vertical="center" wrapText="1"/>
    </xf>
    <xf numFmtId="4" fontId="38" fillId="16" borderId="13" xfId="0" applyNumberFormat="1" applyFont="1" applyFill="1" applyBorder="1" applyAlignment="1">
      <alignment horizontal="center" vertical="center" wrapText="1"/>
    </xf>
    <xf numFmtId="4" fontId="38" fillId="16" borderId="70" xfId="0" applyNumberFormat="1" applyFont="1" applyFill="1" applyBorder="1" applyAlignment="1">
      <alignment horizontal="center" vertical="center" wrapText="1"/>
    </xf>
    <xf numFmtId="4" fontId="38" fillId="16" borderId="9" xfId="0" applyNumberFormat="1" applyFont="1" applyFill="1" applyBorder="1" applyAlignment="1">
      <alignment horizontal="center" vertical="center" wrapText="1"/>
    </xf>
    <xf numFmtId="4" fontId="38" fillId="16" borderId="14" xfId="0" applyNumberFormat="1" applyFont="1" applyFill="1" applyBorder="1" applyAlignment="1">
      <alignment horizontal="center" vertical="center" wrapText="1"/>
    </xf>
    <xf numFmtId="4" fontId="38" fillId="16" borderId="127" xfId="0" applyNumberFormat="1" applyFont="1" applyFill="1" applyBorder="1" applyAlignment="1">
      <alignment horizontal="center" vertical="center" wrapText="1"/>
    </xf>
    <xf numFmtId="4" fontId="38" fillId="16" borderId="128" xfId="0" applyNumberFormat="1" applyFont="1" applyFill="1" applyBorder="1" applyAlignment="1">
      <alignment horizontal="center" vertical="center" wrapText="1"/>
    </xf>
    <xf numFmtId="0" fontId="30" fillId="0" borderId="54" xfId="0" applyFont="1" applyBorder="1" applyAlignment="1">
      <alignment horizontal="center" vertical="center" textRotation="180"/>
    </xf>
    <xf numFmtId="4" fontId="38" fillId="16" borderId="211" xfId="0" applyNumberFormat="1" applyFont="1" applyFill="1" applyBorder="1" applyAlignment="1">
      <alignment horizontal="center" vertical="center" wrapText="1"/>
    </xf>
    <xf numFmtId="4" fontId="38" fillId="16" borderId="205" xfId="0" applyNumberFormat="1" applyFont="1" applyFill="1" applyBorder="1" applyAlignment="1">
      <alignment horizontal="center" vertical="center" wrapText="1"/>
    </xf>
    <xf numFmtId="4" fontId="38" fillId="16" borderId="212" xfId="0" applyNumberFormat="1" applyFont="1" applyFill="1" applyBorder="1" applyAlignment="1">
      <alignment horizontal="center" vertical="center" wrapText="1"/>
    </xf>
    <xf numFmtId="4" fontId="38" fillId="16" borderId="208" xfId="0" applyNumberFormat="1" applyFont="1" applyFill="1" applyBorder="1" applyAlignment="1">
      <alignment horizontal="center" vertical="center" wrapText="1"/>
    </xf>
    <xf numFmtId="2" fontId="11" fillId="14" borderId="112" xfId="0" applyNumberFormat="1" applyFont="1" applyFill="1" applyBorder="1" applyAlignment="1" applyProtection="1">
      <alignment horizontal="center" vertical="center" textRotation="90" wrapText="1"/>
      <protection locked="0"/>
    </xf>
    <xf numFmtId="2" fontId="11" fillId="14" borderId="115" xfId="0" applyNumberFormat="1" applyFont="1" applyFill="1" applyBorder="1" applyAlignment="1" applyProtection="1">
      <alignment horizontal="center" vertical="center" textRotation="90" wrapText="1"/>
      <protection locked="0"/>
    </xf>
    <xf numFmtId="1" fontId="19" fillId="16" borderId="4" xfId="0" applyNumberFormat="1" applyFont="1" applyFill="1" applyBorder="1" applyAlignment="1">
      <alignment horizontal="center" vertical="center"/>
    </xf>
    <xf numFmtId="1" fontId="19" fillId="16" borderId="0" xfId="0" applyNumberFormat="1" applyFont="1" applyFill="1" applyAlignment="1">
      <alignment horizontal="center" vertical="center"/>
    </xf>
    <xf numFmtId="1" fontId="19" fillId="16" borderId="5" xfId="0" applyNumberFormat="1" applyFont="1" applyFill="1" applyBorder="1" applyAlignment="1">
      <alignment horizontal="center" vertical="center"/>
    </xf>
    <xf numFmtId="1" fontId="19" fillId="16" borderId="34" xfId="0" applyNumberFormat="1" applyFont="1" applyFill="1" applyBorder="1" applyAlignment="1">
      <alignment horizontal="center" vertical="center"/>
    </xf>
    <xf numFmtId="1" fontId="19" fillId="16" borderId="35" xfId="0" applyNumberFormat="1" applyFont="1" applyFill="1" applyBorder="1" applyAlignment="1">
      <alignment horizontal="center" vertical="center"/>
    </xf>
    <xf numFmtId="1" fontId="19" fillId="16" borderId="36" xfId="0" applyNumberFormat="1" applyFont="1" applyFill="1" applyBorder="1" applyAlignment="1">
      <alignment horizontal="center" vertical="center"/>
    </xf>
    <xf numFmtId="0" fontId="7" fillId="4" borderId="7" xfId="0" applyFont="1" applyFill="1" applyBorder="1" applyAlignment="1">
      <alignment horizontal="center"/>
    </xf>
    <xf numFmtId="0" fontId="7" fillId="4" borderId="9" xfId="0" applyFont="1" applyFill="1" applyBorder="1" applyAlignment="1">
      <alignment horizontal="center"/>
    </xf>
    <xf numFmtId="0" fontId="7" fillId="4" borderId="12" xfId="0" applyFont="1" applyFill="1" applyBorder="1" applyAlignment="1">
      <alignment horizontal="center"/>
    </xf>
    <xf numFmtId="0" fontId="7" fillId="4" borderId="14" xfId="0" applyFont="1" applyFill="1" applyBorder="1" applyAlignment="1">
      <alignment horizontal="center"/>
    </xf>
    <xf numFmtId="0" fontId="7" fillId="0" borderId="77" xfId="0" applyFont="1" applyBorder="1" applyAlignment="1">
      <alignment horizontal="center" vertical="center" textRotation="90"/>
    </xf>
    <xf numFmtId="0" fontId="7" fillId="0" borderId="79" xfId="0" applyFont="1" applyBorder="1" applyAlignment="1">
      <alignment horizontal="center" vertical="center" textRotation="90"/>
    </xf>
    <xf numFmtId="0" fontId="7" fillId="0" borderId="85" xfId="0" applyFont="1" applyBorder="1" applyAlignment="1">
      <alignment horizontal="center" vertical="center" textRotation="90"/>
    </xf>
    <xf numFmtId="0" fontId="7" fillId="0" borderId="75" xfId="0" applyFont="1" applyBorder="1" applyAlignment="1">
      <alignment horizontal="center" vertical="center" textRotation="180"/>
    </xf>
    <xf numFmtId="0" fontId="7" fillId="0" borderId="76" xfId="0" applyFont="1" applyBorder="1" applyAlignment="1">
      <alignment horizontal="center" vertical="center" textRotation="180"/>
    </xf>
    <xf numFmtId="0" fontId="7" fillId="0" borderId="80" xfId="0" applyFont="1" applyBorder="1" applyAlignment="1">
      <alignment horizontal="center" vertical="center" textRotation="180"/>
    </xf>
    <xf numFmtId="1" fontId="53" fillId="0" borderId="1" xfId="0" applyNumberFormat="1" applyFont="1" applyBorder="1" applyAlignment="1">
      <alignment horizontal="center" vertical="center"/>
    </xf>
    <xf numFmtId="1" fontId="53" fillId="0" borderId="2" xfId="0" applyNumberFormat="1" applyFont="1" applyBorder="1" applyAlignment="1">
      <alignment horizontal="center" vertical="center"/>
    </xf>
    <xf numFmtId="1" fontId="53" fillId="0" borderId="3" xfId="0" applyNumberFormat="1" applyFont="1" applyBorder="1" applyAlignment="1">
      <alignment horizontal="center" vertical="center"/>
    </xf>
    <xf numFmtId="1" fontId="53" fillId="0" borderId="4" xfId="0" applyNumberFormat="1" applyFont="1" applyBorder="1" applyAlignment="1">
      <alignment horizontal="center" vertical="center"/>
    </xf>
    <xf numFmtId="1" fontId="53" fillId="0" borderId="0" xfId="0" applyNumberFormat="1" applyFont="1" applyAlignment="1">
      <alignment horizontal="center" vertical="center"/>
    </xf>
    <xf numFmtId="1" fontId="53" fillId="0" borderId="5" xfId="0" applyNumberFormat="1" applyFont="1" applyBorder="1" applyAlignment="1">
      <alignment horizontal="center" vertical="center"/>
    </xf>
    <xf numFmtId="1" fontId="53" fillId="0" borderId="34" xfId="0" applyNumberFormat="1" applyFont="1" applyBorder="1" applyAlignment="1">
      <alignment horizontal="center" vertical="center"/>
    </xf>
    <xf numFmtId="1" fontId="53" fillId="0" borderId="35" xfId="0" applyNumberFormat="1" applyFont="1" applyBorder="1" applyAlignment="1">
      <alignment horizontal="center" vertical="center"/>
    </xf>
    <xf numFmtId="1" fontId="53" fillId="0" borderId="36" xfId="0" applyNumberFormat="1" applyFont="1" applyBorder="1" applyAlignment="1">
      <alignment horizontal="center" vertical="center"/>
    </xf>
    <xf numFmtId="0" fontId="12" fillId="0" borderId="0" xfId="0" applyFont="1" applyAlignment="1" applyProtection="1">
      <alignment horizontal="center"/>
      <protection locked="0"/>
    </xf>
    <xf numFmtId="0" fontId="12" fillId="6" borderId="83" xfId="0" applyFont="1" applyFill="1" applyBorder="1" applyAlignment="1">
      <alignment horizontal="center"/>
    </xf>
    <xf numFmtId="0" fontId="12" fillId="6" borderId="87" xfId="0" applyFont="1" applyFill="1" applyBorder="1" applyAlignment="1">
      <alignment horizontal="center"/>
    </xf>
    <xf numFmtId="0" fontId="12" fillId="6" borderId="88" xfId="0" applyFont="1" applyFill="1" applyBorder="1" applyAlignment="1">
      <alignment horizontal="center"/>
    </xf>
    <xf numFmtId="0" fontId="12" fillId="6" borderId="81" xfId="0" applyFont="1" applyFill="1" applyBorder="1" applyAlignment="1">
      <alignment horizontal="center"/>
    </xf>
    <xf numFmtId="0" fontId="12" fillId="6" borderId="49" xfId="0" applyFont="1" applyFill="1" applyBorder="1" applyAlignment="1">
      <alignment horizontal="center"/>
    </xf>
    <xf numFmtId="0" fontId="12" fillId="6" borderId="82" xfId="0" applyFont="1" applyFill="1" applyBorder="1" applyAlignment="1">
      <alignment horizontal="center"/>
    </xf>
    <xf numFmtId="0" fontId="7" fillId="0" borderId="153" xfId="0" applyFont="1" applyBorder="1" applyAlignment="1">
      <alignment horizontal="center" wrapText="1"/>
    </xf>
    <xf numFmtId="0" fontId="7" fillId="0" borderId="154" xfId="0" applyFont="1" applyBorder="1" applyAlignment="1">
      <alignment horizontal="center" wrapText="1"/>
    </xf>
    <xf numFmtId="0" fontId="7" fillId="0" borderId="155" xfId="0" applyFont="1" applyBorder="1" applyAlignment="1">
      <alignment horizontal="center" wrapText="1"/>
    </xf>
    <xf numFmtId="0" fontId="7" fillId="4" borderId="7" xfId="0" applyFont="1" applyFill="1" applyBorder="1" applyAlignment="1">
      <alignment horizontal="center" vertical="center" textRotation="90"/>
    </xf>
    <xf numFmtId="0" fontId="7" fillId="4" borderId="10" xfId="0" applyFont="1" applyFill="1" applyBorder="1" applyAlignment="1">
      <alignment horizontal="center" vertical="center" textRotation="90"/>
    </xf>
    <xf numFmtId="0" fontId="7" fillId="4" borderId="12" xfId="0" applyFont="1" applyFill="1" applyBorder="1" applyAlignment="1">
      <alignment horizontal="center" vertical="center" textRotation="90"/>
    </xf>
    <xf numFmtId="0" fontId="7" fillId="4" borderId="9" xfId="0" applyFont="1" applyFill="1" applyBorder="1" applyAlignment="1">
      <alignment horizontal="center" vertical="center" textRotation="180"/>
    </xf>
    <xf numFmtId="0" fontId="7" fillId="4" borderId="11" xfId="0" applyFont="1" applyFill="1" applyBorder="1" applyAlignment="1">
      <alignment horizontal="center" vertical="center" textRotation="180"/>
    </xf>
    <xf numFmtId="0" fontId="7" fillId="4" borderId="14" xfId="0" applyFont="1" applyFill="1" applyBorder="1" applyAlignment="1">
      <alignment horizontal="center" vertical="center" textRotation="180"/>
    </xf>
    <xf numFmtId="0" fontId="7" fillId="0" borderId="156" xfId="0" applyFont="1" applyBorder="1" applyAlignment="1">
      <alignment horizontal="center"/>
    </xf>
    <xf numFmtId="0" fontId="7" fillId="0" borderId="157" xfId="0" applyFont="1" applyBorder="1" applyAlignment="1">
      <alignment horizontal="center"/>
    </xf>
    <xf numFmtId="0" fontId="7" fillId="0" borderId="158" xfId="0" applyFont="1" applyBorder="1" applyAlignment="1">
      <alignment horizontal="center"/>
    </xf>
    <xf numFmtId="0" fontId="7" fillId="12" borderId="7" xfId="0" applyFont="1" applyFill="1" applyBorder="1" applyAlignment="1">
      <alignment horizontal="center"/>
    </xf>
    <xf numFmtId="0" fontId="7" fillId="12" borderId="8" xfId="0" applyFont="1" applyFill="1" applyBorder="1" applyAlignment="1">
      <alignment horizontal="center"/>
    </xf>
    <xf numFmtId="0" fontId="7" fillId="12" borderId="9" xfId="0" applyFont="1" applyFill="1" applyBorder="1" applyAlignment="1">
      <alignment horizontal="center"/>
    </xf>
    <xf numFmtId="0" fontId="7" fillId="12" borderId="12" xfId="0" applyFont="1" applyFill="1" applyBorder="1" applyAlignment="1">
      <alignment horizontal="center"/>
    </xf>
    <xf numFmtId="0" fontId="7" fillId="12" borderId="13" xfId="0" applyFont="1" applyFill="1" applyBorder="1" applyAlignment="1">
      <alignment horizontal="center"/>
    </xf>
    <xf numFmtId="0" fontId="7" fillId="12" borderId="14" xfId="0" applyFont="1" applyFill="1" applyBorder="1" applyAlignment="1">
      <alignment horizontal="center"/>
    </xf>
    <xf numFmtId="0" fontId="7" fillId="12" borderId="127" xfId="0" applyFont="1" applyFill="1" applyBorder="1" applyAlignment="1">
      <alignment horizontal="center"/>
    </xf>
    <xf numFmtId="0" fontId="7" fillId="12" borderId="7" xfId="0" applyFont="1" applyFill="1" applyBorder="1" applyAlignment="1">
      <alignment horizontal="center" vertical="center" textRotation="90"/>
    </xf>
    <xf numFmtId="0" fontId="7" fillId="12" borderId="10" xfId="0" applyFont="1" applyFill="1" applyBorder="1" applyAlignment="1">
      <alignment horizontal="center" vertical="center" textRotation="90"/>
    </xf>
    <xf numFmtId="0" fontId="7" fillId="12" borderId="12" xfId="0" applyFont="1" applyFill="1" applyBorder="1" applyAlignment="1">
      <alignment horizontal="center" vertical="center" textRotation="90"/>
    </xf>
    <xf numFmtId="0" fontId="7" fillId="12" borderId="9" xfId="0" applyFont="1" applyFill="1" applyBorder="1" applyAlignment="1">
      <alignment horizontal="center" vertical="center" textRotation="180"/>
    </xf>
    <xf numFmtId="0" fontId="7" fillId="12" borderId="11" xfId="0" applyFont="1" applyFill="1" applyBorder="1" applyAlignment="1">
      <alignment horizontal="center" vertical="center" textRotation="180"/>
    </xf>
    <xf numFmtId="0" fontId="7" fillId="12" borderId="14" xfId="0" applyFont="1" applyFill="1" applyBorder="1" applyAlignment="1">
      <alignment horizontal="center" vertical="center" textRotation="180"/>
    </xf>
    <xf numFmtId="0" fontId="7" fillId="12" borderId="77" xfId="0" applyFont="1" applyFill="1" applyBorder="1" applyAlignment="1">
      <alignment horizontal="center"/>
    </xf>
    <xf numFmtId="0" fontId="7" fillId="12" borderId="78" xfId="0" applyFont="1" applyFill="1" applyBorder="1" applyAlignment="1">
      <alignment horizontal="center"/>
    </xf>
    <xf numFmtId="0" fontId="7" fillId="12" borderId="75" xfId="0" applyFont="1" applyFill="1" applyBorder="1" applyAlignment="1">
      <alignment horizontal="center"/>
    </xf>
    <xf numFmtId="1" fontId="22" fillId="0" borderId="1"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0" fillId="0" borderId="2" xfId="0" applyBorder="1" applyAlignment="1"/>
    <xf numFmtId="0" fontId="0" fillId="0" borderId="3" xfId="0" applyBorder="1" applyAlignment="1"/>
    <xf numFmtId="0" fontId="0" fillId="0" borderId="72" xfId="0" applyBorder="1" applyAlignment="1"/>
    <xf numFmtId="0" fontId="0" fillId="0" borderId="74" xfId="0" applyBorder="1" applyAlignment="1"/>
    <xf numFmtId="0" fontId="0" fillId="0" borderId="216" xfId="0" applyBorder="1" applyAlignment="1"/>
    <xf numFmtId="0" fontId="0" fillId="0" borderId="20" xfId="0" applyBorder="1" applyAlignment="1"/>
    <xf numFmtId="0" fontId="0" fillId="0" borderId="217" xfId="0" applyBorder="1" applyAlignment="1"/>
    <xf numFmtId="0" fontId="0" fillId="0" borderId="35" xfId="0" applyBorder="1" applyAlignment="1"/>
    <xf numFmtId="0" fontId="0" fillId="0" borderId="251" xfId="0" applyBorder="1" applyAlignment="1"/>
    <xf numFmtId="0" fontId="0" fillId="0" borderId="263" xfId="0" applyBorder="1" applyAlignment="1"/>
    <xf numFmtId="0" fontId="0" fillId="0" borderId="36" xfId="0" applyBorder="1" applyAlignment="1"/>
    <xf numFmtId="0" fontId="60" fillId="2" borderId="2" xfId="0" applyFont="1" applyFill="1" applyBorder="1" applyAlignment="1"/>
    <xf numFmtId="0" fontId="60" fillId="2" borderId="3" xfId="0" applyFont="1" applyFill="1" applyBorder="1" applyAlignment="1"/>
    <xf numFmtId="0" fontId="60" fillId="2" borderId="4" xfId="0" applyFont="1" applyFill="1" applyBorder="1" applyAlignment="1"/>
    <xf numFmtId="0" fontId="60" fillId="2" borderId="0" xfId="0" applyFont="1" applyFill="1" applyAlignment="1"/>
    <xf numFmtId="0" fontId="60" fillId="2" borderId="5" xfId="0" applyFont="1" applyFill="1" applyBorder="1" applyAlignment="1"/>
    <xf numFmtId="0" fontId="60" fillId="2" borderId="34" xfId="0" applyFont="1" applyFill="1" applyBorder="1" applyAlignment="1"/>
    <xf numFmtId="0" fontId="60" fillId="2" borderId="35" xfId="0" applyFont="1" applyFill="1" applyBorder="1" applyAlignment="1"/>
    <xf numFmtId="0" fontId="60" fillId="2" borderId="36" xfId="0" applyFont="1" applyFill="1" applyBorder="1" applyAlignment="1"/>
    <xf numFmtId="0" fontId="0" fillId="0" borderId="43" xfId="0" applyBorder="1" applyAlignment="1"/>
    <xf numFmtId="0" fontId="0" fillId="0" borderId="0" xfId="0" applyAlignment="1"/>
    <xf numFmtId="0" fontId="0" fillId="0" borderId="53" xfId="0" applyBorder="1" applyAlignment="1"/>
    <xf numFmtId="0" fontId="0" fillId="0" borderId="51" xfId="0" applyBorder="1" applyAlignment="1"/>
    <xf numFmtId="0" fontId="0" fillId="0" borderId="55" xfId="0" applyBorder="1" applyAlignment="1"/>
    <xf numFmtId="0" fontId="0" fillId="4" borderId="146" xfId="0" applyFill="1" applyBorder="1" applyAlignment="1"/>
    <xf numFmtId="0" fontId="0" fillId="4" borderId="147" xfId="0" applyFill="1" applyBorder="1" applyAlignment="1"/>
    <xf numFmtId="0" fontId="11" fillId="14" borderId="78" xfId="0" applyFont="1" applyFill="1" applyBorder="1" applyAlignment="1"/>
    <xf numFmtId="0" fontId="11" fillId="14" borderId="127" xfId="0" applyFont="1" applyFill="1" applyBorder="1" applyAlignment="1"/>
    <xf numFmtId="0" fontId="0" fillId="22" borderId="2" xfId="0" applyFill="1" applyBorder="1" applyAlignment="1"/>
    <xf numFmtId="0" fontId="0" fillId="22" borderId="3" xfId="0" applyFill="1" applyBorder="1" applyAlignment="1"/>
    <xf numFmtId="0" fontId="0" fillId="22" borderId="4" xfId="0" applyFill="1" applyBorder="1" applyAlignment="1"/>
    <xf numFmtId="0" fontId="0" fillId="22" borderId="0" xfId="0" applyFill="1" applyAlignment="1"/>
    <xf numFmtId="0" fontId="0" fillId="22" borderId="5" xfId="0" applyFill="1" applyBorder="1" applyAlignment="1"/>
    <xf numFmtId="0" fontId="0" fillId="22" borderId="34" xfId="0" applyFill="1" applyBorder="1" applyAlignment="1"/>
    <xf numFmtId="0" fontId="0" fillId="22" borderId="35" xfId="0" applyFill="1" applyBorder="1" applyAlignment="1"/>
    <xf numFmtId="0" fontId="0" fillId="22" borderId="36" xfId="0" applyFill="1" applyBorder="1" applyAlignment="1"/>
    <xf numFmtId="0" fontId="0" fillId="4" borderId="2" xfId="0" applyFill="1" applyBorder="1" applyAlignment="1"/>
    <xf numFmtId="0" fontId="0" fillId="4" borderId="3" xfId="0" applyFill="1" applyBorder="1" applyAlignment="1"/>
    <xf numFmtId="0" fontId="0" fillId="14" borderId="81" xfId="0" applyFill="1" applyBorder="1" applyAlignment="1"/>
    <xf numFmtId="0" fontId="0" fillId="14" borderId="69" xfId="0" applyFill="1" applyBorder="1" applyAlignment="1"/>
    <xf numFmtId="0" fontId="0" fillId="4" borderId="141" xfId="0" applyFill="1" applyBorder="1" applyAlignment="1"/>
    <xf numFmtId="0" fontId="0" fillId="4" borderId="135" xfId="0" applyFill="1" applyBorder="1" applyAlignment="1"/>
    <xf numFmtId="0" fontId="0" fillId="4" borderId="142" xfId="0" applyFill="1" applyBorder="1" applyAlignment="1"/>
    <xf numFmtId="0" fontId="0" fillId="4" borderId="136" xfId="0" applyFill="1" applyBorder="1" applyAlignment="1"/>
    <xf numFmtId="0" fontId="0" fillId="4" borderId="137" xfId="0" applyFill="1" applyBorder="1" applyAlignment="1"/>
    <xf numFmtId="0" fontId="0" fillId="0" borderId="5" xfId="0" applyBorder="1" applyAlignment="1"/>
    <xf numFmtId="0" fontId="0" fillId="0" borderId="81" xfId="0" applyBorder="1" applyAlignment="1"/>
    <xf numFmtId="0" fontId="0" fillId="0" borderId="90" xfId="0" applyBorder="1" applyAlignment="1"/>
  </cellXfs>
  <cellStyles count="11">
    <cellStyle name="Hyperlink" xfId="5" builtinId="8"/>
    <cellStyle name="Normal" xfId="0" builtinId="0"/>
    <cellStyle name="Normal 2" xfId="1" xr:uid="{00000000-0005-0000-0000-000002000000}"/>
    <cellStyle name="Normal 3" xfId="2" xr:uid="{00000000-0005-0000-0000-000003000000}"/>
    <cellStyle name="Normal 3 2" xfId="4" xr:uid="{00000000-0005-0000-0000-000004000000}"/>
    <cellStyle name="Normal 3 2 2" xfId="9" xr:uid="{00000000-0005-0000-0000-000005000000}"/>
    <cellStyle name="Normal 3 3" xfId="6" xr:uid="{00000000-0005-0000-0000-000006000000}"/>
    <cellStyle name="Normal 3 3 2" xfId="10" xr:uid="{00000000-0005-0000-0000-000007000000}"/>
    <cellStyle name="Normal 3 4" xfId="7" xr:uid="{00000000-0005-0000-0000-000008000000}"/>
    <cellStyle name="Normal 4" xfId="3" xr:uid="{00000000-0005-0000-0000-000009000000}"/>
    <cellStyle name="Normal 4 2" xfId="8" xr:uid="{00000000-0005-0000-0000-00000A000000}"/>
  </cellStyles>
  <dxfs count="221">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C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solid">
          <bgColor rgb="FFC000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theme="1"/>
          <bgColor rgb="FFC00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theme="1"/>
          <bgColor rgb="FFC00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FF00"/>
        </patternFill>
      </fill>
    </dxf>
    <dxf>
      <font>
        <b/>
        <i val="0"/>
        <color theme="1"/>
      </font>
      <fill>
        <patternFill patternType="lightDown">
          <fgColor theme="0" tint="-0.14996795556505021"/>
          <bgColor rgb="FFFFC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patternType="lightDown">
          <fgColor auto="1"/>
          <bgColor rgb="FFC00000"/>
        </patternFill>
      </fill>
    </dxf>
    <dxf>
      <font>
        <b/>
        <i val="0"/>
        <color theme="0"/>
      </font>
      <fill>
        <patternFill patternType="lightDown">
          <bgColor rgb="FFC00000"/>
        </patternFill>
      </fill>
    </dxf>
    <dxf>
      <font>
        <b/>
        <i val="0"/>
        <color theme="1"/>
      </font>
      <fill>
        <patternFill patternType="solid">
          <fgColor theme="0"/>
          <bgColor rgb="FFFFC000"/>
        </patternFill>
      </fill>
    </dxf>
    <dxf>
      <font>
        <b/>
        <i val="0"/>
        <color theme="0"/>
      </font>
      <fill>
        <patternFill>
          <bgColor rgb="FFFF0000"/>
        </patternFill>
      </fill>
    </dxf>
    <dxf>
      <font>
        <b/>
        <i val="0"/>
        <strike val="0"/>
        <color theme="1"/>
        <name val="Cambria"/>
        <scheme val="none"/>
      </font>
      <fill>
        <patternFill patternType="solid">
          <fgColor theme="0" tint="-0.14993743705557422"/>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strike val="0"/>
        <color theme="1"/>
        <name val="Cambria"/>
        <scheme val="none"/>
      </font>
      <fill>
        <patternFill>
          <bgColor rgb="FFFFFF00"/>
        </patternFill>
      </fill>
    </dxf>
    <dxf>
      <font>
        <b/>
        <i val="0"/>
        <color auto="1"/>
        <name val="Cambria"/>
        <scheme val="none"/>
      </font>
      <fill>
        <patternFill>
          <bgColor rgb="FFFFC000"/>
        </patternFill>
      </fill>
    </dxf>
    <dxf>
      <font>
        <b/>
        <i val="0"/>
        <color theme="0"/>
        <name val="Cambria"/>
        <scheme val="none"/>
      </font>
      <fill>
        <patternFill>
          <bgColor rgb="FFFF0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strike val="0"/>
        <color theme="1"/>
        <name val="Cambria"/>
        <scheme val="none"/>
      </font>
      <fill>
        <patternFill>
          <bgColor rgb="FFFFFF00"/>
        </patternFill>
      </fill>
    </dxf>
    <dxf>
      <font>
        <b/>
        <i val="0"/>
        <color auto="1"/>
        <name val="Cambria"/>
        <scheme val="none"/>
      </font>
      <fill>
        <patternFill>
          <bgColor rgb="FFFFC000"/>
        </patternFill>
      </fill>
    </dxf>
    <dxf>
      <font>
        <b/>
        <i val="0"/>
        <color theme="0"/>
        <name val="Cambria"/>
        <scheme val="none"/>
      </font>
      <fill>
        <patternFill>
          <bgColor rgb="FFFF00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patternType="solid">
          <fgColor auto="1"/>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patternType="lightDown">
          <fgColor theme="1"/>
          <bgColor rgb="FFC000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auto="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name val="Cambria"/>
        <scheme val="none"/>
      </font>
      <fill>
        <patternFill>
          <bgColor rgb="FFFF0000"/>
        </patternFill>
      </fill>
    </dxf>
    <dxf>
      <font>
        <b/>
        <i val="0"/>
        <color auto="1"/>
        <name val="Cambria"/>
        <scheme val="none"/>
      </font>
      <fill>
        <patternFill>
          <bgColor rgb="FFFFC000"/>
        </patternFill>
      </fill>
    </dxf>
    <dxf>
      <font>
        <b/>
        <i val="0"/>
        <strike val="0"/>
        <color theme="1"/>
        <name val="Cambria"/>
        <scheme val="none"/>
      </font>
      <fill>
        <patternFill>
          <bgColor rgb="FFFFFF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
      <font>
        <b/>
        <i val="0"/>
        <color theme="0"/>
      </font>
      <fill>
        <patternFill>
          <bgColor rgb="FFC00000"/>
        </patternFill>
      </fill>
    </dxf>
    <dxf>
      <font>
        <b/>
        <i val="0"/>
        <color theme="1"/>
      </font>
      <fill>
        <patternFill>
          <bgColor rgb="FFFFC000"/>
        </patternFill>
      </fill>
    </dxf>
    <dxf>
      <font>
        <b/>
        <i val="0"/>
        <color theme="1"/>
      </font>
      <fill>
        <patternFill>
          <bgColor rgb="FFFFFF00"/>
        </patternFill>
      </fill>
    </dxf>
    <dxf>
      <font>
        <b/>
        <i val="0"/>
        <color theme="0"/>
      </font>
      <fill>
        <patternFill patternType="lightDown">
          <fgColor theme="1"/>
          <bgColor rgb="FFC00000"/>
        </patternFill>
      </fill>
    </dxf>
    <dxf>
      <font>
        <b/>
        <i val="0"/>
        <color theme="1"/>
      </font>
      <fill>
        <patternFill patternType="lightDown">
          <fgColor theme="0" tint="-0.14996795556505021"/>
          <bgColor rgb="FFFFC000"/>
        </patternFill>
      </fill>
    </dxf>
    <dxf>
      <font>
        <b/>
        <i val="0"/>
        <color theme="1"/>
      </font>
      <fill>
        <patternFill patternType="lightDown">
          <fgColor theme="0" tint="-0.14996795556505021"/>
          <bgColor rgb="FFFFFF00"/>
        </patternFill>
      </fill>
    </dxf>
  </dxfs>
  <tableStyles count="0" defaultTableStyle="TableStyleMedium9" defaultPivotStyle="PivotStyleLight16"/>
  <colors>
    <mruColors>
      <color rgb="FFFFFF99"/>
      <color rgb="FF006600"/>
      <color rgb="FF008000"/>
      <color rgb="FF339933"/>
      <color rgb="FF007E39"/>
      <color rgb="FF339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3.jpeg"/></Relationships>
</file>

<file path=xl/drawings/_rels/drawing22.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6.jpeg"/></Relationships>
</file>

<file path=xl/drawings/_rels/drawing26.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7.jpeg"/></Relationships>
</file>

<file path=xl/drawings/_rels/drawing27.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7.jpeg"/></Relationships>
</file>

<file path=xl/drawings/_rels/drawing28.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8.jpeg"/></Relationships>
</file>

<file path=xl/drawings/_rels/drawing29.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8.jpeg"/></Relationships>
</file>

<file path=xl/drawings/_rels/drawing30.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9.jpeg"/></Relationships>
</file>

<file path=xl/drawings/_rels/drawing31.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19.jpeg"/></Relationships>
</file>

<file path=xl/drawings/_rels/drawing32.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hyperlink" Target="#'Results Worksheet'!A1"/></Relationships>
</file>

<file path=xl/drawings/_rels/drawing34.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21.jpeg"/></Relationships>
</file>

<file path=xl/drawings/_rels/drawing35.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hyperlink" Target="#'Results Worksheet'!A1"/><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8</xdr:col>
      <xdr:colOff>104775</xdr:colOff>
      <xdr:row>21</xdr:row>
      <xdr:rowOff>114300</xdr:rowOff>
    </xdr:from>
    <xdr:to>
      <xdr:col>53</xdr:col>
      <xdr:colOff>95250</xdr:colOff>
      <xdr:row>41</xdr:row>
      <xdr:rowOff>66675</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942975" y="2714625"/>
          <a:ext cx="5133975" cy="2428875"/>
        </a:xfrm>
        <a:prstGeom prst="rect">
          <a:avLst/>
        </a:prstGeom>
        <a:solidFill>
          <a:srgbClr val="002060"/>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3600">
              <a:solidFill>
                <a:schemeClr val="bg1"/>
              </a:solidFill>
              <a:latin typeface="Georgia" pitchFamily="18" charset="0"/>
            </a:rPr>
            <a:t>Capacity Analysis for Planning of</a:t>
          </a:r>
          <a:r>
            <a:rPr lang="en-US" sz="3600" baseline="0">
              <a:solidFill>
                <a:schemeClr val="bg1"/>
              </a:solidFill>
              <a:latin typeface="Georgia" pitchFamily="18" charset="0"/>
            </a:rPr>
            <a:t> Junctions</a:t>
          </a:r>
          <a:endParaRPr lang="en-US" sz="3600">
            <a:solidFill>
              <a:schemeClr val="bg1"/>
            </a:solidFill>
            <a:latin typeface="Georgia" pitchFamily="18" charset="0"/>
          </a:endParaRPr>
        </a:p>
      </xdr:txBody>
    </xdr:sp>
    <xdr:clientData/>
  </xdr:twoCellAnchor>
  <xdr:twoCellAnchor>
    <xdr:from>
      <xdr:col>23</xdr:col>
      <xdr:colOff>38100</xdr:colOff>
      <xdr:row>58</xdr:row>
      <xdr:rowOff>28576</xdr:rowOff>
    </xdr:from>
    <xdr:to>
      <xdr:col>38</xdr:col>
      <xdr:colOff>9525</xdr:colOff>
      <xdr:row>61</xdr:row>
      <xdr:rowOff>114301</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590800" y="7210426"/>
          <a:ext cx="1685925" cy="45720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solidFill>
                <a:schemeClr val="bg1"/>
              </a:solidFill>
            </a:rPr>
            <a:t>Version 2.0</a:t>
          </a:r>
        </a:p>
        <a:p>
          <a:pPr algn="ctr"/>
          <a:r>
            <a:rPr lang="en-US" sz="1100" b="1">
              <a:solidFill>
                <a:schemeClr val="bg1"/>
              </a:solidFill>
            </a:rPr>
            <a:t>June</a:t>
          </a:r>
          <a:r>
            <a:rPr lang="en-US" sz="1100" b="1" baseline="0">
              <a:solidFill>
                <a:schemeClr val="bg1"/>
              </a:solidFill>
            </a:rPr>
            <a:t> 2014</a:t>
          </a:r>
          <a:endParaRPr lang="en-US" sz="1100" b="1">
            <a:solidFill>
              <a:schemeClr val="bg1"/>
            </a:solidFill>
          </a:endParaRPr>
        </a:p>
      </xdr:txBody>
    </xdr:sp>
    <xdr:clientData/>
  </xdr:twoCellAnchor>
  <xdr:oneCellAnchor>
    <xdr:from>
      <xdr:col>19</xdr:col>
      <xdr:colOff>76938</xdr:colOff>
      <xdr:row>31</xdr:row>
      <xdr:rowOff>10064</xdr:rowOff>
    </xdr:from>
    <xdr:ext cx="2513124" cy="937629"/>
    <xdr:sp macro="" textlink="">
      <xdr:nvSpPr>
        <xdr:cNvPr id="6" name="Rectangle 5">
          <a:extLst>
            <a:ext uri="{FF2B5EF4-FFF2-40B4-BE49-F238E27FC236}">
              <a16:creationId xmlns:a16="http://schemas.microsoft.com/office/drawing/2014/main" id="{00000000-0008-0000-0000-000006000000}"/>
            </a:ext>
          </a:extLst>
        </xdr:cNvPr>
        <xdr:cNvSpPr/>
      </xdr:nvSpPr>
      <xdr:spPr>
        <a:xfrm>
          <a:off x="2172438" y="3848639"/>
          <a:ext cx="2513124"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latin typeface="Georgia" pitchFamily="18" charset="0"/>
            </a:rPr>
            <a:t>CAP-X</a:t>
          </a: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9</xdr:col>
      <xdr:colOff>57150</xdr:colOff>
      <xdr:row>4</xdr:row>
      <xdr:rowOff>66675</xdr:rowOff>
    </xdr:from>
    <xdr:to>
      <xdr:col>35</xdr:col>
      <xdr:colOff>0</xdr:colOff>
      <xdr:row>14</xdr:row>
      <xdr:rowOff>34311</xdr:rowOff>
    </xdr:to>
    <xdr:pic>
      <xdr:nvPicPr>
        <xdr:cNvPr id="1027" name="Picture 3" descr="http://visualmotives.com/09-1296-current/Contents/FHWA%20Logo/FHWA%20horizintal600.jpg">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9650" y="561975"/>
          <a:ext cx="2914650" cy="1205886"/>
        </a:xfrm>
        <a:prstGeom prst="rect">
          <a:avLst/>
        </a:prstGeom>
        <a:noFill/>
      </xdr:spPr>
    </xdr:pic>
    <xdr:clientData/>
  </xdr:twoCellAnchor>
  <xdr:oneCellAnchor>
    <xdr:from>
      <xdr:col>64</xdr:col>
      <xdr:colOff>95250</xdr:colOff>
      <xdr:row>3</xdr:row>
      <xdr:rowOff>38100</xdr:rowOff>
    </xdr:from>
    <xdr:ext cx="6353175" cy="8572500"/>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47650" y="9610725"/>
          <a:ext cx="6353175" cy="857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n-US" sz="900" b="1">
              <a:solidFill>
                <a:schemeClr val="tx1"/>
              </a:solidFill>
              <a:latin typeface="+mn-lt"/>
              <a:ea typeface="+mn-ea"/>
              <a:cs typeface="+mn-cs"/>
            </a:rPr>
            <a:t>Disclaimer</a:t>
          </a:r>
          <a:r>
            <a:rPr lang="en-US" sz="900">
              <a:solidFill>
                <a:schemeClr val="tx1"/>
              </a:solidFill>
              <a:latin typeface="+mn-lt"/>
              <a:ea typeface="+mn-ea"/>
              <a:cs typeface="+mn-cs"/>
            </a:rPr>
            <a:t> </a:t>
          </a:r>
        </a:p>
        <a:p>
          <a:pPr algn="just"/>
          <a:r>
            <a:rPr lang="en-US" sz="900">
              <a:solidFill>
                <a:schemeClr val="tx1"/>
              </a:solidFill>
              <a:latin typeface="+mn-lt"/>
              <a:ea typeface="+mn-ea"/>
              <a:cs typeface="+mn-cs"/>
            </a:rPr>
            <a:t>The Capacity Analysis for Planning of Junctions (CAP-X) software product is disseminated under the sponsorship of the U.S. Department of Transportation in the interest of information exchange. The United States Government assumes no liability for its content or use thereof. This software product does not constitute a standard, specification, or regulation. </a:t>
          </a:r>
        </a:p>
        <a:p>
          <a:pPr algn="just"/>
          <a:r>
            <a:rPr lang="en-US" sz="900">
              <a:solidFill>
                <a:schemeClr val="tx1"/>
              </a:solidFill>
              <a:latin typeface="+mn-lt"/>
              <a:ea typeface="+mn-ea"/>
              <a:cs typeface="+mn-cs"/>
            </a:rPr>
            <a:t>  </a:t>
          </a:r>
        </a:p>
        <a:p>
          <a:pPr algn="just"/>
          <a:r>
            <a:rPr lang="en-US" sz="900">
              <a:solidFill>
                <a:schemeClr val="tx1"/>
              </a:solidFill>
              <a:latin typeface="+mn-lt"/>
              <a:ea typeface="+mn-ea"/>
              <a:cs typeface="+mn-cs"/>
            </a:rPr>
            <a:t>The United States Government does not endorse products or manufacturers. Trade and manufacturers' names may appear in this software product only because they are considered essential to the objective of the software product. </a:t>
          </a:r>
        </a:p>
        <a:p>
          <a:pPr algn="just"/>
          <a:r>
            <a:rPr lang="en-US" sz="900">
              <a:solidFill>
                <a:schemeClr val="tx1"/>
              </a:solidFill>
              <a:latin typeface="+mn-lt"/>
              <a:ea typeface="+mn-ea"/>
              <a:cs typeface="+mn-cs"/>
            </a:rPr>
            <a:t>  </a:t>
          </a:r>
        </a:p>
        <a:p>
          <a:pPr algn="just"/>
          <a:r>
            <a:rPr lang="en-US" sz="900" b="1">
              <a:solidFill>
                <a:schemeClr val="tx1"/>
              </a:solidFill>
              <a:latin typeface="+mn-lt"/>
              <a:ea typeface="+mn-ea"/>
              <a:cs typeface="+mn-cs"/>
            </a:rPr>
            <a:t>Limited Warranty and Limitations of Remedies</a:t>
          </a:r>
          <a:r>
            <a:rPr lang="en-US" sz="900">
              <a:solidFill>
                <a:schemeClr val="tx1"/>
              </a:solidFill>
              <a:latin typeface="+mn-lt"/>
              <a:ea typeface="+mn-ea"/>
              <a:cs typeface="+mn-cs"/>
            </a:rPr>
            <a:t> </a:t>
          </a:r>
        </a:p>
        <a:p>
          <a:pPr algn="just"/>
          <a:r>
            <a:rPr lang="en-US" sz="900">
              <a:solidFill>
                <a:schemeClr val="tx1"/>
              </a:solidFill>
              <a:latin typeface="+mn-lt"/>
              <a:ea typeface="+mn-ea"/>
              <a:cs typeface="+mn-cs"/>
            </a:rPr>
            <a:t>This software product is provided “as-is,” without warranty of any kind, either expressed or implied (but not limited to the implied warranties of merchantability and fitness for a particular purpose). The Federal Highway Administration (FHWA) and distributor do not warrant that the functions contained in the software will meet the end-user's requirements or that the operation of the software will be uninterrupted and error-free. Under no circumstances will the FHWA or the distributor be liable to the end</a:t>
          </a:r>
          <a:r>
            <a:rPr lang="en-US" sz="900" baseline="0">
              <a:solidFill>
                <a:schemeClr val="tx1"/>
              </a:solidFill>
              <a:latin typeface="+mn-lt"/>
              <a:ea typeface="+mn-ea"/>
              <a:cs typeface="+mn-cs"/>
            </a:rPr>
            <a:t> </a:t>
          </a:r>
          <a:r>
            <a:rPr lang="en-US" sz="900">
              <a:solidFill>
                <a:schemeClr val="tx1"/>
              </a:solidFill>
              <a:latin typeface="+mn-lt"/>
              <a:ea typeface="+mn-ea"/>
              <a:cs typeface="+mn-cs"/>
            </a:rPr>
            <a:t>user for any damages or claimed lost profits, lost savings, or other incidental or consequential damages rising out of the use or inability to use the software (even if these organizations have been advised of the possibility of such damages), or for any claim by any other party. </a:t>
          </a:r>
        </a:p>
        <a:p>
          <a:pPr algn="just"/>
          <a:r>
            <a:rPr lang="en-US" sz="900">
              <a:solidFill>
                <a:schemeClr val="tx1"/>
              </a:solidFill>
              <a:latin typeface="+mn-lt"/>
              <a:ea typeface="+mn-ea"/>
              <a:cs typeface="+mn-cs"/>
            </a:rPr>
            <a:t>  </a:t>
          </a:r>
        </a:p>
        <a:p>
          <a:pPr algn="just"/>
          <a:r>
            <a:rPr lang="en-US" sz="900" b="1">
              <a:solidFill>
                <a:schemeClr val="tx1"/>
              </a:solidFill>
              <a:latin typeface="+mn-lt"/>
              <a:ea typeface="+mn-ea"/>
              <a:cs typeface="+mn-cs"/>
            </a:rPr>
            <a:t>Notice</a:t>
          </a:r>
          <a:r>
            <a:rPr lang="en-US" sz="900">
              <a:solidFill>
                <a:schemeClr val="tx1"/>
              </a:solidFill>
              <a:latin typeface="+mn-lt"/>
              <a:ea typeface="+mn-ea"/>
              <a:cs typeface="+mn-cs"/>
            </a:rPr>
            <a:t> </a:t>
          </a:r>
        </a:p>
        <a:p>
          <a:pPr algn="just"/>
          <a:r>
            <a:rPr lang="en-US" sz="900">
              <a:solidFill>
                <a:schemeClr val="tx1"/>
              </a:solidFill>
              <a:latin typeface="+mn-lt"/>
              <a:ea typeface="+mn-ea"/>
              <a:cs typeface="+mn-cs"/>
            </a:rPr>
            <a:t>The use and testing of the CAP-X software is being done strictly on a voluntary basis.</a:t>
          </a:r>
          <a:r>
            <a:rPr lang="en-US" sz="900" baseline="0">
              <a:solidFill>
                <a:schemeClr val="tx1"/>
              </a:solidFill>
              <a:latin typeface="+mn-lt"/>
              <a:ea typeface="+mn-ea"/>
              <a:cs typeface="+mn-cs"/>
            </a:rPr>
            <a:t> </a:t>
          </a:r>
          <a:r>
            <a:rPr lang="en-US" sz="900">
              <a:solidFill>
                <a:schemeClr val="tx1"/>
              </a:solidFill>
              <a:latin typeface="+mn-lt"/>
              <a:ea typeface="+mn-ea"/>
              <a:cs typeface="+mn-cs"/>
            </a:rPr>
            <a:t>In exchange for the provision of CAP-X software, the user agrees that the Federal Highway Administration, U.S. Department of Transportation, any other agency of the Federal Government or distributor shall not be responsible for any errors, damage or other liability that may result from any and all use of the software, including installation and testing of the software. The user further agrees to hold the FHWA, the Federal Government, and distributor harmless from any resulting liability. The user agrees that this hold harmless provision shall flow to any person to whom or any entity to which the user provides the CAP-X software. It is the user's full responsibility to inform any person to whom or any entity to which it provides the CAP-X software of this hold harmless provision. </a:t>
          </a:r>
        </a:p>
        <a:p>
          <a:pPr algn="just"/>
          <a:r>
            <a:rPr lang="en-US" sz="900">
              <a:solidFill>
                <a:schemeClr val="tx1"/>
              </a:solidFill>
              <a:latin typeface="+mn-lt"/>
              <a:ea typeface="+mn-ea"/>
              <a:cs typeface="+mn-cs"/>
            </a:rPr>
            <a:t>  </a:t>
          </a:r>
        </a:p>
        <a:p>
          <a:pPr algn="just"/>
          <a:r>
            <a:rPr lang="en-US" sz="900">
              <a:solidFill>
                <a:schemeClr val="tx1"/>
              </a:solidFill>
              <a:latin typeface="+mn-lt"/>
              <a:ea typeface="+mn-ea"/>
              <a:cs typeface="+mn-cs"/>
            </a:rPr>
            <a:t>The origin of this CAP-X software must not be misrepresented; there shall be no claim that this software is the product of or written by any individual, company or organization other than the Federal Government.  An acknowledgement would be appreciated in any product in which this CAP-X software is included or referenced. Altered versions of this CAP-X software shall be plainly marked as ‘altered’ and must not be misrepresented as being the original CAP-X software.  This notice may not be removed or altered from any distribution, recording, copy, or use of this CAP-X software.  </a:t>
          </a:r>
        </a:p>
        <a:p>
          <a:pPr algn="l"/>
          <a:endParaRPr lang="en-US" sz="900" b="1" i="1" u="sng">
            <a:solidFill>
              <a:schemeClr val="tx1"/>
            </a:solidFill>
            <a:latin typeface="+mn-lt"/>
            <a:ea typeface="+mn-ea"/>
            <a:cs typeface="+mn-cs"/>
          </a:endParaRPr>
        </a:p>
        <a:p>
          <a:pPr algn="l"/>
          <a:r>
            <a:rPr lang="en-US" sz="900" b="1" i="1" u="sng">
              <a:solidFill>
                <a:schemeClr val="tx1"/>
              </a:solidFill>
              <a:latin typeface="+mn-lt"/>
              <a:ea typeface="+mn-ea"/>
              <a:cs typeface="+mn-cs"/>
            </a:rPr>
            <a:t>Steps in using this tool:</a:t>
          </a:r>
          <a:endParaRPr lang="en-US" sz="900">
            <a:solidFill>
              <a:schemeClr val="tx1"/>
            </a:solidFill>
            <a:latin typeface="+mn-lt"/>
            <a:ea typeface="+mn-ea"/>
            <a:cs typeface="+mn-cs"/>
          </a:endParaRPr>
        </a:p>
        <a:p>
          <a:pPr algn="l"/>
          <a:r>
            <a:rPr lang="en-US" sz="900" b="1">
              <a:solidFill>
                <a:schemeClr val="tx1"/>
              </a:solidFill>
              <a:latin typeface="+mn-lt"/>
              <a:ea typeface="+mn-ea"/>
              <a:cs typeface="+mn-cs"/>
            </a:rPr>
            <a:t>Step 1:</a:t>
          </a:r>
          <a:r>
            <a:rPr lang="en-US" sz="900">
              <a:solidFill>
                <a:schemeClr val="tx1"/>
              </a:solidFill>
              <a:latin typeface="+mn-lt"/>
              <a:ea typeface="+mn-ea"/>
              <a:cs typeface="+mn-cs"/>
            </a:rPr>
            <a:t> Go to the Input worksheet and fill in the required information located in the “Yellow” boxes. </a:t>
          </a:r>
        </a:p>
        <a:p>
          <a:pPr algn="l"/>
          <a:r>
            <a:rPr lang="en-US" sz="900" b="1">
              <a:solidFill>
                <a:schemeClr val="tx1"/>
              </a:solidFill>
              <a:latin typeface="+mn-lt"/>
              <a:ea typeface="+mn-ea"/>
              <a:cs typeface="+mn-cs"/>
            </a:rPr>
            <a:t>Step 2:</a:t>
          </a:r>
          <a:r>
            <a:rPr lang="en-US" sz="900">
              <a:solidFill>
                <a:schemeClr val="tx1"/>
              </a:solidFill>
              <a:latin typeface="+mn-lt"/>
              <a:ea typeface="+mn-ea"/>
              <a:cs typeface="+mn-cs"/>
            </a:rPr>
            <a:t> Go through each design sheet and adjust the number of lanes for each approach. The lanes are located in the “Yellow” boxes on the second page  of each design sheet. </a:t>
          </a:r>
        </a:p>
        <a:p>
          <a:pPr algn="l"/>
          <a:r>
            <a:rPr lang="en-US" sz="900" b="1">
              <a:solidFill>
                <a:schemeClr val="tx1"/>
              </a:solidFill>
              <a:latin typeface="+mn-lt"/>
              <a:ea typeface="+mn-ea"/>
              <a:cs typeface="+mn-cs"/>
            </a:rPr>
            <a:t>Step 3</a:t>
          </a:r>
          <a:r>
            <a:rPr lang="en-US" sz="900">
              <a:solidFill>
                <a:schemeClr val="tx1"/>
              </a:solidFill>
              <a:latin typeface="+mn-lt"/>
              <a:ea typeface="+mn-ea"/>
              <a:cs typeface="+mn-cs"/>
            </a:rPr>
            <a:t>: Go to the Results sheet and review the consolidated output.</a:t>
          </a:r>
        </a:p>
        <a:p>
          <a:endParaRPr lang="en-US" sz="900" b="1">
            <a:solidFill>
              <a:schemeClr val="tx1"/>
            </a:solidFill>
            <a:latin typeface="+mn-lt"/>
            <a:ea typeface="+mn-ea"/>
            <a:cs typeface="+mn-cs"/>
          </a:endParaRPr>
        </a:p>
        <a:p>
          <a:r>
            <a:rPr lang="en-US" sz="900" b="1">
              <a:solidFill>
                <a:schemeClr val="tx1"/>
              </a:solidFill>
              <a:latin typeface="+mn-lt"/>
              <a:ea typeface="+mn-ea"/>
              <a:cs typeface="+mn-cs"/>
            </a:rPr>
            <a:t>Developed at</a:t>
          </a:r>
          <a:r>
            <a:rPr lang="en-US" sz="900" b="1" baseline="0">
              <a:solidFill>
                <a:schemeClr val="tx1"/>
              </a:solidFill>
              <a:latin typeface="+mn-lt"/>
              <a:ea typeface="+mn-ea"/>
              <a:cs typeface="+mn-cs"/>
            </a:rPr>
            <a:t> Turner-Fairbank Highway Research Center, (FHWA)</a:t>
          </a:r>
          <a:endParaRPr lang="en-US" sz="900" b="1">
            <a:solidFill>
              <a:schemeClr val="tx1"/>
            </a:solidFill>
            <a:latin typeface="+mn-lt"/>
            <a:ea typeface="+mn-ea"/>
            <a:cs typeface="+mn-cs"/>
          </a:endParaRPr>
        </a:p>
        <a:p>
          <a:r>
            <a:rPr lang="en-US" sz="900">
              <a:solidFill>
                <a:schemeClr val="tx1"/>
              </a:solidFill>
              <a:latin typeface="+mn-lt"/>
              <a:ea typeface="+mn-ea"/>
              <a:cs typeface="+mn-cs"/>
            </a:rPr>
            <a:t>Taylor</a:t>
          </a:r>
          <a:r>
            <a:rPr lang="en-US" sz="900" baseline="0">
              <a:solidFill>
                <a:schemeClr val="tx1"/>
              </a:solidFill>
              <a:latin typeface="+mn-lt"/>
              <a:ea typeface="+mn-ea"/>
              <a:cs typeface="+mn-cs"/>
            </a:rPr>
            <a:t> W.P. Lochrane (Office of Operations Research &amp; Development)</a:t>
          </a:r>
          <a:endParaRPr lang="en-US" sz="900"/>
        </a:p>
        <a:p>
          <a:r>
            <a:rPr lang="en-US" sz="900" baseline="0">
              <a:solidFill>
                <a:schemeClr val="tx1"/>
              </a:solidFill>
              <a:latin typeface="+mn-lt"/>
              <a:ea typeface="+mn-ea"/>
              <a:cs typeface="+mn-cs"/>
            </a:rPr>
            <a:t>Joe Bared, Ph.D., P.E. (Office of Operations Research &amp; Development)</a:t>
          </a:r>
          <a:endParaRPr lang="en-US" sz="900"/>
        </a:p>
        <a:p>
          <a:r>
            <a:rPr lang="en-US" sz="900" baseline="0">
              <a:solidFill>
                <a:schemeClr val="tx1"/>
              </a:solidFill>
              <a:latin typeface="+mn-lt"/>
              <a:ea typeface="+mn-ea"/>
              <a:cs typeface="+mn-cs"/>
            </a:rPr>
            <a:t>Wei Zhang, Ph.D., P.E. (Office of Safety Research &amp; Development)</a:t>
          </a:r>
          <a:endParaRPr lang="en-US" sz="900">
            <a:solidFill>
              <a:schemeClr val="tx1"/>
            </a:solidFill>
            <a:latin typeface="+mn-lt"/>
            <a:ea typeface="+mn-ea"/>
            <a:cs typeface="+mn-cs"/>
          </a:endParaRPr>
        </a:p>
        <a:p>
          <a:endParaRPr lang="en-US" sz="900">
            <a:solidFill>
              <a:schemeClr val="tx1"/>
            </a:solidFill>
            <a:latin typeface="+mn-lt"/>
            <a:ea typeface="+mn-ea"/>
            <a:cs typeface="+mn-cs"/>
          </a:endParaRPr>
        </a:p>
        <a:p>
          <a:r>
            <a:rPr lang="en-US" sz="900" b="1">
              <a:solidFill>
                <a:schemeClr val="tx1"/>
              </a:solidFill>
              <a:latin typeface="+mn-lt"/>
              <a:ea typeface="+mn-ea"/>
              <a:cs typeface="+mn-cs"/>
            </a:rPr>
            <a:t>Special</a:t>
          </a:r>
          <a:r>
            <a:rPr lang="en-US" sz="900" b="1" baseline="0">
              <a:solidFill>
                <a:schemeClr val="tx1"/>
              </a:solidFill>
              <a:latin typeface="+mn-lt"/>
              <a:ea typeface="+mn-ea"/>
              <a:cs typeface="+mn-cs"/>
            </a:rPr>
            <a:t> Thanks to the Reviewers of this software</a:t>
          </a:r>
        </a:p>
        <a:p>
          <a:r>
            <a:rPr lang="en-US" sz="900"/>
            <a:t>John</a:t>
          </a:r>
          <a:r>
            <a:rPr lang="en-US" sz="900" baseline="0"/>
            <a:t> Halkias, Ph.D., P.E. (FHWA)</a:t>
          </a:r>
        </a:p>
        <a:p>
          <a:r>
            <a:rPr lang="en-US" sz="900" baseline="0"/>
            <a:t>Chung Tran (FHWA)</a:t>
          </a:r>
        </a:p>
        <a:p>
          <a:r>
            <a:rPr lang="en-US" sz="900" baseline="0"/>
            <a:t>Mark Doctor, P.E. (FHWA)</a:t>
          </a:r>
        </a:p>
        <a:p>
          <a:r>
            <a:rPr lang="en-US" sz="900" baseline="0"/>
            <a:t>Hillary Isebrands, P.E. (FHWA)</a:t>
          </a:r>
        </a:p>
        <a:p>
          <a:r>
            <a:rPr lang="en-US" sz="900" baseline="0"/>
            <a:t>James Colyar, P.E. (FHWA)</a:t>
          </a:r>
        </a:p>
        <a:p>
          <a:r>
            <a:rPr lang="en-US" sz="900" baseline="0"/>
            <a:t>Don Petersen (FHWA)</a:t>
          </a:r>
        </a:p>
        <a:p>
          <a:r>
            <a:rPr lang="en-US" sz="900" baseline="0"/>
            <a:t>Mark B. Taylor (FHWA)</a:t>
          </a:r>
        </a:p>
        <a:p>
          <a:r>
            <a:rPr lang="en-US" sz="900" baseline="0"/>
            <a:t>James McCarthy, P.E., PTOE (FHWA)</a:t>
          </a:r>
        </a:p>
        <a:p>
          <a:r>
            <a:rPr lang="en-US" sz="900" baseline="0"/>
            <a:t>James Sturrock (FHWA)</a:t>
          </a:r>
        </a:p>
        <a:p>
          <a:r>
            <a:rPr lang="en-US" sz="900" baseline="0"/>
            <a:t>Jeffery Shaw, P.E., PTOE, PTP (FHWA)</a:t>
          </a:r>
        </a:p>
        <a:p>
          <a:r>
            <a:rPr lang="en-US" sz="900" baseline="0"/>
            <a:t>Cory Krause (FHWA)</a:t>
          </a:r>
          <a:endParaRPr lang="en-US" sz="900"/>
        </a:p>
        <a:p>
          <a:r>
            <a:rPr lang="en-US" sz="900">
              <a:solidFill>
                <a:schemeClr val="tx1"/>
              </a:solidFill>
              <a:latin typeface="+mn-lt"/>
              <a:ea typeface="+mn-ea"/>
              <a:cs typeface="+mn-cs"/>
            </a:rPr>
            <a:t>Bastian J. Schroeder, Ph.D. (North Carolina State University) </a:t>
          </a: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tx1"/>
              </a:solidFill>
              <a:latin typeface="+mn-lt"/>
              <a:ea typeface="+mn-ea"/>
              <a:cs typeface="+mn-cs"/>
            </a:rPr>
            <a:t>Praveen Edara, Ph.D., P.E. (University of Missouri-Columbia)</a:t>
          </a: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tx1"/>
              </a:solidFill>
              <a:latin typeface="+mn-lt"/>
              <a:ea typeface="+mn-ea"/>
              <a:cs typeface="+mn-cs"/>
            </a:rPr>
            <a:t>Haitham Al-Deek , Ph.D.,</a:t>
          </a:r>
          <a:r>
            <a:rPr lang="en-US" sz="900" baseline="0">
              <a:solidFill>
                <a:schemeClr val="tx1"/>
              </a:solidFill>
              <a:latin typeface="+mn-lt"/>
              <a:ea typeface="+mn-ea"/>
              <a:cs typeface="+mn-cs"/>
            </a:rPr>
            <a:t> P.E. </a:t>
          </a:r>
          <a:r>
            <a:rPr lang="en-US" sz="900">
              <a:solidFill>
                <a:schemeClr val="tx1"/>
              </a:solidFill>
              <a:latin typeface="+mn-lt"/>
              <a:ea typeface="+mn-ea"/>
              <a:cs typeface="+mn-cs"/>
            </a:rPr>
            <a:t>(University</a:t>
          </a:r>
          <a:r>
            <a:rPr lang="en-US" sz="900" baseline="0">
              <a:solidFill>
                <a:schemeClr val="tx1"/>
              </a:solidFill>
              <a:latin typeface="+mn-lt"/>
              <a:ea typeface="+mn-ea"/>
              <a:cs typeface="+mn-cs"/>
            </a:rPr>
            <a:t> of Central Florida)</a:t>
          </a:r>
          <a:endParaRPr lang="en-US" sz="900">
            <a:solidFill>
              <a:schemeClr val="tx1"/>
            </a:solidFill>
            <a:latin typeface="+mn-lt"/>
            <a:ea typeface="+mn-ea"/>
            <a:cs typeface="+mn-cs"/>
          </a:endParaRPr>
        </a:p>
        <a:p>
          <a:r>
            <a:rPr lang="en-US" sz="900">
              <a:solidFill>
                <a:schemeClr val="tx1"/>
              </a:solidFill>
              <a:latin typeface="+mn-lt"/>
              <a:ea typeface="+mn-ea"/>
              <a:cs typeface="+mn-cs"/>
            </a:rPr>
            <a:t>Brent </a:t>
          </a:r>
          <a:r>
            <a:rPr lang="en-US" sz="900" baseline="0">
              <a:solidFill>
                <a:schemeClr val="tx1"/>
              </a:solidFill>
              <a:latin typeface="+mn-lt"/>
              <a:ea typeface="+mn-ea"/>
              <a:cs typeface="+mn-cs"/>
            </a:rPr>
            <a:t> A. </a:t>
          </a:r>
          <a:r>
            <a:rPr lang="en-US" sz="900">
              <a:solidFill>
                <a:schemeClr val="tx1"/>
              </a:solidFill>
              <a:latin typeface="+mn-lt"/>
              <a:ea typeface="+mn-ea"/>
              <a:cs typeface="+mn-cs"/>
            </a:rPr>
            <a:t>Lacy, AICP (AECOM)</a:t>
          </a:r>
          <a:endParaRPr lang="en-US" sz="900"/>
        </a:p>
        <a:p>
          <a:r>
            <a:rPr lang="en-US" sz="900">
              <a:solidFill>
                <a:schemeClr val="tx1"/>
              </a:solidFill>
              <a:latin typeface="+mn-lt"/>
              <a:ea typeface="+mn-ea"/>
              <a:cs typeface="+mn-cs"/>
            </a:rPr>
            <a:t>Ram Jagannathan (VHB | Vanasse Hangen Brustlin, Inc.)</a:t>
          </a:r>
        </a:p>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tx1"/>
              </a:solidFill>
              <a:latin typeface="+mn-lt"/>
              <a:ea typeface="+mn-ea"/>
              <a:cs typeface="+mn-cs"/>
            </a:rPr>
            <a:t>Kenneth Nichols, E.I. (Volkert Inc.)</a:t>
          </a:r>
        </a:p>
        <a:p>
          <a:pPr marL="0" marR="0" indent="0" defTabSz="914400" eaLnBrk="1" fontAlgn="auto" latinLnBrk="0" hangingPunct="1">
            <a:lnSpc>
              <a:spcPct val="100000"/>
            </a:lnSpc>
            <a:spcBef>
              <a:spcPts val="0"/>
            </a:spcBef>
            <a:spcAft>
              <a:spcPts val="0"/>
            </a:spcAft>
            <a:buClrTx/>
            <a:buSzTx/>
            <a:buFontTx/>
            <a:buNone/>
            <a:tabLst/>
            <a:defRPr/>
          </a:pPr>
          <a:endParaRPr lang="en-US" sz="900">
            <a:solidFill>
              <a:schemeClr val="tx1"/>
            </a:solidFill>
            <a:latin typeface="+mn-lt"/>
            <a:ea typeface="+mn-ea"/>
            <a:cs typeface="+mn-cs"/>
          </a:endParaRPr>
        </a:p>
        <a:p>
          <a:endParaRPr lang="en-US" sz="900">
            <a:solidFill>
              <a:schemeClr val="tx1"/>
            </a:solidFill>
            <a:latin typeface="+mn-lt"/>
            <a:ea typeface="+mn-ea"/>
            <a:cs typeface="+mn-cs"/>
          </a:endParaRPr>
        </a:p>
        <a:p>
          <a:pPr algn="just"/>
          <a:endParaRPr lang="en-US" sz="900">
            <a:solidFill>
              <a:schemeClr val="tx1"/>
            </a:solidFill>
            <a:latin typeface="+mn-lt"/>
            <a:ea typeface="+mn-ea"/>
            <a:cs typeface="+mn-cs"/>
          </a:endParaRPr>
        </a:p>
        <a:p>
          <a:br>
            <a:rPr lang="en-US"/>
          </a:br>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9</xdr:col>
      <xdr:colOff>55242</xdr:colOff>
      <xdr:row>35</xdr:row>
      <xdr:rowOff>58617</xdr:rowOff>
    </xdr:from>
    <xdr:to>
      <xdr:col>54</xdr:col>
      <xdr:colOff>30171</xdr:colOff>
      <xdr:row>48</xdr:row>
      <xdr:rowOff>102581</xdr:rowOff>
    </xdr:to>
    <xdr:pic>
      <xdr:nvPicPr>
        <xdr:cNvPr id="38" name="Picture 37" descr="PCFI-Model.jpg">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cstate="print"/>
        <a:srcRect l="37880" r="38108"/>
        <a:stretch>
          <a:fillRect/>
        </a:stretch>
      </xdr:blipFill>
      <xdr:spPr>
        <a:xfrm rot="5400000">
          <a:off x="3073054" y="2478714"/>
          <a:ext cx="1676202" cy="5624986"/>
        </a:xfrm>
        <a:prstGeom prst="rect">
          <a:avLst/>
        </a:prstGeom>
      </xdr:spPr>
    </xdr:pic>
    <xdr:clientData/>
  </xdr:twoCellAnchor>
  <xdr:twoCellAnchor editAs="oneCell">
    <xdr:from>
      <xdr:col>25</xdr:col>
      <xdr:colOff>95250</xdr:colOff>
      <xdr:row>14</xdr:row>
      <xdr:rowOff>55393</xdr:rowOff>
    </xdr:from>
    <xdr:to>
      <xdr:col>37</xdr:col>
      <xdr:colOff>0</xdr:colOff>
      <xdr:row>69</xdr:row>
      <xdr:rowOff>113278</xdr:rowOff>
    </xdr:to>
    <xdr:pic>
      <xdr:nvPicPr>
        <xdr:cNvPr id="39" name="Picture 38" descr="PCFI-Model.jpg">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 cstate="print"/>
        <a:srcRect l="77" t="38630" r="187" b="36475"/>
        <a:stretch>
          <a:fillRect/>
        </a:stretch>
      </xdr:blipFill>
      <xdr:spPr>
        <a:xfrm rot="5400000">
          <a:off x="365724" y="4547419"/>
          <a:ext cx="6891037" cy="1385681"/>
        </a:xfrm>
        <a:prstGeom prst="rect">
          <a:avLst/>
        </a:prstGeom>
      </xdr:spPr>
    </xdr:pic>
    <xdr:clientData/>
  </xdr:twoCellAnchor>
  <xdr:oneCellAnchor>
    <xdr:from>
      <xdr:col>8</xdr:col>
      <xdr:colOff>6996</xdr:colOff>
      <xdr:row>14</xdr:row>
      <xdr:rowOff>72644</xdr:rowOff>
    </xdr:from>
    <xdr:ext cx="1231277" cy="419290"/>
    <xdr:sp macro="" textlink="">
      <xdr:nvSpPr>
        <xdr:cNvPr id="4" name="Rectangle 3">
          <a:extLst>
            <a:ext uri="{FF2B5EF4-FFF2-40B4-BE49-F238E27FC236}">
              <a16:creationId xmlns:a16="http://schemas.microsoft.com/office/drawing/2014/main" id="{00000000-0008-0000-0A00-000004000000}"/>
            </a:ext>
          </a:extLst>
        </xdr:cNvPr>
        <xdr:cNvSpPr/>
      </xdr:nvSpPr>
      <xdr:spPr>
        <a:xfrm>
          <a:off x="873771" y="1806194"/>
          <a:ext cx="1231277" cy="41929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43</xdr:col>
      <xdr:colOff>122611</xdr:colOff>
      <xdr:row>53</xdr:row>
      <xdr:rowOff>33619</xdr:rowOff>
    </xdr:from>
    <xdr:ext cx="1235761" cy="313954"/>
    <xdr:sp macro="" textlink="">
      <xdr:nvSpPr>
        <xdr:cNvPr id="5" name="Rectangle 4">
          <a:extLst>
            <a:ext uri="{FF2B5EF4-FFF2-40B4-BE49-F238E27FC236}">
              <a16:creationId xmlns:a16="http://schemas.microsoft.com/office/drawing/2014/main" id="{00000000-0008-0000-0A00-000005000000}"/>
            </a:ext>
          </a:extLst>
        </xdr:cNvPr>
        <xdr:cNvSpPr/>
      </xdr:nvSpPr>
      <xdr:spPr>
        <a:xfrm>
          <a:off x="5323261" y="6596344"/>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43</xdr:col>
      <xdr:colOff>106018</xdr:colOff>
      <xdr:row>21</xdr:row>
      <xdr:rowOff>45140</xdr:rowOff>
    </xdr:from>
    <xdr:ext cx="1235761" cy="313954"/>
    <xdr:sp macro="" textlink="">
      <xdr:nvSpPr>
        <xdr:cNvPr id="6" name="Rectangle 5">
          <a:extLst>
            <a:ext uri="{FF2B5EF4-FFF2-40B4-BE49-F238E27FC236}">
              <a16:creationId xmlns:a16="http://schemas.microsoft.com/office/drawing/2014/main" id="{00000000-0008-0000-0A00-000006000000}"/>
            </a:ext>
          </a:extLst>
        </xdr:cNvPr>
        <xdr:cNvSpPr/>
      </xdr:nvSpPr>
      <xdr:spPr>
        <a:xfrm>
          <a:off x="5306668" y="264546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32</xdr:col>
      <xdr:colOff>7417</xdr:colOff>
      <xdr:row>29</xdr:row>
      <xdr:rowOff>107676</xdr:rowOff>
    </xdr:from>
    <xdr:to>
      <xdr:col>43</xdr:col>
      <xdr:colOff>115956</xdr:colOff>
      <xdr:row>42</xdr:row>
      <xdr:rowOff>17192</xdr:rowOff>
    </xdr:to>
    <xdr:cxnSp macro="">
      <xdr:nvCxnSpPr>
        <xdr:cNvPr id="7" name="Straight Connector 6">
          <a:extLst>
            <a:ext uri="{FF2B5EF4-FFF2-40B4-BE49-F238E27FC236}">
              <a16:creationId xmlns:a16="http://schemas.microsoft.com/office/drawing/2014/main" id="{00000000-0008-0000-0A00-000007000000}"/>
            </a:ext>
          </a:extLst>
        </xdr:cNvPr>
        <xdr:cNvCxnSpPr>
          <a:stCxn id="8" idx="7"/>
        </xdr:cNvCxnSpPr>
      </xdr:nvCxnSpPr>
      <xdr:spPr>
        <a:xfrm rot="5400000" flipH="1" flipV="1">
          <a:off x="3821678" y="3722915"/>
          <a:ext cx="1519241" cy="147061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30</xdr:col>
      <xdr:colOff>106428</xdr:colOff>
      <xdr:row>41</xdr:row>
      <xdr:rowOff>114712</xdr:rowOff>
    </xdr:from>
    <xdr:to>
      <xdr:col>32</xdr:col>
      <xdr:colOff>33063</xdr:colOff>
      <xdr:row>43</xdr:row>
      <xdr:rowOff>48673</xdr:rowOff>
    </xdr:to>
    <xdr:sp macro="" textlink="">
      <xdr:nvSpPr>
        <xdr:cNvPr id="8" name="Oval 7">
          <a:extLst>
            <a:ext uri="{FF2B5EF4-FFF2-40B4-BE49-F238E27FC236}">
              <a16:creationId xmlns:a16="http://schemas.microsoft.com/office/drawing/2014/main" id="{00000000-0008-0000-0A00-000008000000}"/>
            </a:ext>
          </a:extLst>
        </xdr:cNvPr>
        <xdr:cNvSpPr/>
      </xdr:nvSpPr>
      <xdr:spPr>
        <a:xfrm>
          <a:off x="3697353" y="5191537"/>
          <a:ext cx="174285" cy="181611"/>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30</xdr:col>
      <xdr:colOff>110919</xdr:colOff>
      <xdr:row>56</xdr:row>
      <xdr:rowOff>1</xdr:rowOff>
    </xdr:from>
    <xdr:to>
      <xdr:col>43</xdr:col>
      <xdr:colOff>115956</xdr:colOff>
      <xdr:row>64</xdr:row>
      <xdr:rowOff>2022</xdr:rowOff>
    </xdr:to>
    <xdr:cxnSp macro="">
      <xdr:nvCxnSpPr>
        <xdr:cNvPr id="9" name="Straight Connector 8">
          <a:extLst>
            <a:ext uri="{FF2B5EF4-FFF2-40B4-BE49-F238E27FC236}">
              <a16:creationId xmlns:a16="http://schemas.microsoft.com/office/drawing/2014/main" id="{00000000-0008-0000-0A00-000009000000}"/>
            </a:ext>
          </a:extLst>
        </xdr:cNvPr>
        <xdr:cNvCxnSpPr>
          <a:stCxn id="10" idx="6"/>
        </xdr:cNvCxnSpPr>
      </xdr:nvCxnSpPr>
      <xdr:spPr>
        <a:xfrm flipV="1">
          <a:off x="3759727" y="6975232"/>
          <a:ext cx="1624287" cy="99848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60045</xdr:colOff>
      <xdr:row>63</xdr:row>
      <xdr:rowOff>35200</xdr:rowOff>
    </xdr:from>
    <xdr:to>
      <xdr:col>30</xdr:col>
      <xdr:colOff>110919</xdr:colOff>
      <xdr:row>64</xdr:row>
      <xdr:rowOff>93401</xdr:rowOff>
    </xdr:to>
    <xdr:sp macro="" textlink="">
      <xdr:nvSpPr>
        <xdr:cNvPr id="10" name="Oval 9">
          <a:extLst>
            <a:ext uri="{FF2B5EF4-FFF2-40B4-BE49-F238E27FC236}">
              <a16:creationId xmlns:a16="http://schemas.microsoft.com/office/drawing/2014/main" id="{00000000-0008-0000-0A00-00000A000000}"/>
            </a:ext>
          </a:extLst>
        </xdr:cNvPr>
        <xdr:cNvSpPr/>
      </xdr:nvSpPr>
      <xdr:spPr>
        <a:xfrm>
          <a:off x="3527145" y="7836175"/>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115957</xdr:colOff>
      <xdr:row>18</xdr:row>
      <xdr:rowOff>0</xdr:rowOff>
    </xdr:from>
    <xdr:to>
      <xdr:col>32</xdr:col>
      <xdr:colOff>38510</xdr:colOff>
      <xdr:row>21</xdr:row>
      <xdr:rowOff>13776</xdr:rowOff>
    </xdr:to>
    <xdr:cxnSp macro="">
      <xdr:nvCxnSpPr>
        <xdr:cNvPr id="11" name="Straight Connector 10">
          <a:extLst>
            <a:ext uri="{FF2B5EF4-FFF2-40B4-BE49-F238E27FC236}">
              <a16:creationId xmlns:a16="http://schemas.microsoft.com/office/drawing/2014/main" id="{00000000-0008-0000-0A00-00000B000000}"/>
            </a:ext>
          </a:extLst>
        </xdr:cNvPr>
        <xdr:cNvCxnSpPr>
          <a:stCxn id="12" idx="2"/>
        </xdr:cNvCxnSpPr>
      </xdr:nvCxnSpPr>
      <xdr:spPr>
        <a:xfrm rot="10800000">
          <a:off x="2097157" y="2228850"/>
          <a:ext cx="1779928" cy="385251"/>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32</xdr:col>
      <xdr:colOff>38510</xdr:colOff>
      <xdr:row>20</xdr:row>
      <xdr:rowOff>46795</xdr:rowOff>
    </xdr:from>
    <xdr:to>
      <xdr:col>33</xdr:col>
      <xdr:colOff>89384</xdr:colOff>
      <xdr:row>21</xdr:row>
      <xdr:rowOff>104996</xdr:rowOff>
    </xdr:to>
    <xdr:sp macro="" textlink="">
      <xdr:nvSpPr>
        <xdr:cNvPr id="12" name="Oval 11">
          <a:extLst>
            <a:ext uri="{FF2B5EF4-FFF2-40B4-BE49-F238E27FC236}">
              <a16:creationId xmlns:a16="http://schemas.microsoft.com/office/drawing/2014/main" id="{00000000-0008-0000-0A00-00000C000000}"/>
            </a:ext>
          </a:extLst>
        </xdr:cNvPr>
        <xdr:cNvSpPr/>
      </xdr:nvSpPr>
      <xdr:spPr>
        <a:xfrm>
          <a:off x="3877085" y="2523295"/>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99</xdr:col>
      <xdr:colOff>96216</xdr:colOff>
      <xdr:row>22</xdr:row>
      <xdr:rowOff>91783</xdr:rowOff>
    </xdr:from>
    <xdr:to>
      <xdr:col>100</xdr:col>
      <xdr:colOff>109029</xdr:colOff>
      <xdr:row>25</xdr:row>
      <xdr:rowOff>10025</xdr:rowOff>
    </xdr:to>
    <xdr:sp macro="" textlink="">
      <xdr:nvSpPr>
        <xdr:cNvPr id="13" name="Freccia in giù 9">
          <a:extLst>
            <a:ext uri="{FF2B5EF4-FFF2-40B4-BE49-F238E27FC236}">
              <a16:creationId xmlns:a16="http://schemas.microsoft.com/office/drawing/2014/main" id="{00000000-0008-0000-0A00-00000D000000}"/>
            </a:ext>
          </a:extLst>
        </xdr:cNvPr>
        <xdr:cNvSpPr/>
      </xdr:nvSpPr>
      <xdr:spPr>
        <a:xfrm rot="10800000">
          <a:off x="4553916" y="119789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88</xdr:col>
      <xdr:colOff>103195</xdr:colOff>
      <xdr:row>19</xdr:row>
      <xdr:rowOff>117519</xdr:rowOff>
    </xdr:from>
    <xdr:ext cx="963800" cy="311715"/>
    <xdr:sp macro="" textlink="">
      <xdr:nvSpPr>
        <xdr:cNvPr id="14" name="Rectangle 13">
          <a:extLst>
            <a:ext uri="{FF2B5EF4-FFF2-40B4-BE49-F238E27FC236}">
              <a16:creationId xmlns:a16="http://schemas.microsoft.com/office/drawing/2014/main" id="{00000000-0008-0000-0A00-00000E000000}"/>
            </a:ext>
          </a:extLst>
        </xdr:cNvPr>
        <xdr:cNvSpPr/>
      </xdr:nvSpPr>
      <xdr:spPr>
        <a:xfrm>
          <a:off x="3198820" y="1163324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93</xdr:col>
      <xdr:colOff>53688</xdr:colOff>
      <xdr:row>11</xdr:row>
      <xdr:rowOff>62470</xdr:rowOff>
    </xdr:from>
    <xdr:to>
      <xdr:col>95</xdr:col>
      <xdr:colOff>77017</xdr:colOff>
      <xdr:row>13</xdr:row>
      <xdr:rowOff>109538</xdr:rowOff>
    </xdr:to>
    <xdr:sp macro="" textlink="">
      <xdr:nvSpPr>
        <xdr:cNvPr id="15" name="Freccia curva 8">
          <a:extLst>
            <a:ext uri="{FF2B5EF4-FFF2-40B4-BE49-F238E27FC236}">
              <a16:creationId xmlns:a16="http://schemas.microsoft.com/office/drawing/2014/main" id="{00000000-0008-0000-0A00-00000F000000}"/>
            </a:ext>
          </a:extLst>
        </xdr:cNvPr>
        <xdr:cNvSpPr/>
      </xdr:nvSpPr>
      <xdr:spPr>
        <a:xfrm rot="10800000" flipH="1">
          <a:off x="3768438" y="105875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55058</xdr:colOff>
      <xdr:row>11</xdr:row>
      <xdr:rowOff>67264</xdr:rowOff>
    </xdr:from>
    <xdr:to>
      <xdr:col>98</xdr:col>
      <xdr:colOff>84922</xdr:colOff>
      <xdr:row>13</xdr:row>
      <xdr:rowOff>123518</xdr:rowOff>
    </xdr:to>
    <xdr:sp macro="" textlink="">
      <xdr:nvSpPr>
        <xdr:cNvPr id="16" name="Freccia a inversione 13">
          <a:extLst>
            <a:ext uri="{FF2B5EF4-FFF2-40B4-BE49-F238E27FC236}">
              <a16:creationId xmlns:a16="http://schemas.microsoft.com/office/drawing/2014/main" id="{00000000-0008-0000-0A00-000010000000}"/>
            </a:ext>
          </a:extLst>
        </xdr:cNvPr>
        <xdr:cNvSpPr/>
      </xdr:nvSpPr>
      <xdr:spPr>
        <a:xfrm flipV="1">
          <a:off x="4141283" y="105923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101397</xdr:colOff>
      <xdr:row>11</xdr:row>
      <xdr:rowOff>51932</xdr:rowOff>
    </xdr:from>
    <xdr:to>
      <xdr:col>91</xdr:col>
      <xdr:colOff>114211</xdr:colOff>
      <xdr:row>13</xdr:row>
      <xdr:rowOff>95625</xdr:rowOff>
    </xdr:to>
    <xdr:sp macro="" textlink="">
      <xdr:nvSpPr>
        <xdr:cNvPr id="17" name="Freccia in giù 9">
          <a:extLst>
            <a:ext uri="{FF2B5EF4-FFF2-40B4-BE49-F238E27FC236}">
              <a16:creationId xmlns:a16="http://schemas.microsoft.com/office/drawing/2014/main" id="{00000000-0008-0000-0A00-000011000000}"/>
            </a:ext>
          </a:extLst>
        </xdr:cNvPr>
        <xdr:cNvSpPr/>
      </xdr:nvSpPr>
      <xdr:spPr>
        <a:xfrm>
          <a:off x="3444672" y="105770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32507</xdr:colOff>
      <xdr:row>11</xdr:row>
      <xdr:rowOff>111530</xdr:rowOff>
    </xdr:from>
    <xdr:to>
      <xdr:col>89</xdr:col>
      <xdr:colOff>65439</xdr:colOff>
      <xdr:row>14</xdr:row>
      <xdr:rowOff>9683</xdr:rowOff>
    </xdr:to>
    <xdr:sp macro="" textlink="">
      <xdr:nvSpPr>
        <xdr:cNvPr id="18" name="Freccia curva 7">
          <a:extLst>
            <a:ext uri="{FF2B5EF4-FFF2-40B4-BE49-F238E27FC236}">
              <a16:creationId xmlns:a16="http://schemas.microsoft.com/office/drawing/2014/main" id="{00000000-0008-0000-0A00-000012000000}"/>
            </a:ext>
          </a:extLst>
        </xdr:cNvPr>
        <xdr:cNvSpPr/>
      </xdr:nvSpPr>
      <xdr:spPr>
        <a:xfrm rot="10800000">
          <a:off x="3004307" y="106366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66020</xdr:colOff>
      <xdr:row>32</xdr:row>
      <xdr:rowOff>58156</xdr:rowOff>
    </xdr:from>
    <xdr:to>
      <xdr:col>83</xdr:col>
      <xdr:colOff>24702</xdr:colOff>
      <xdr:row>34</xdr:row>
      <xdr:rowOff>69436</xdr:rowOff>
    </xdr:to>
    <xdr:sp macro="" textlink="">
      <xdr:nvSpPr>
        <xdr:cNvPr id="19" name="Freccia a inversione 13">
          <a:extLst>
            <a:ext uri="{FF2B5EF4-FFF2-40B4-BE49-F238E27FC236}">
              <a16:creationId xmlns:a16="http://schemas.microsoft.com/office/drawing/2014/main" id="{00000000-0008-0000-0A00-000013000000}"/>
            </a:ext>
          </a:extLst>
        </xdr:cNvPr>
        <xdr:cNvSpPr/>
      </xdr:nvSpPr>
      <xdr:spPr>
        <a:xfrm rot="16200000" flipV="1">
          <a:off x="2206659" y="1314799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51289</xdr:colOff>
      <xdr:row>35</xdr:row>
      <xdr:rowOff>58615</xdr:rowOff>
    </xdr:from>
    <xdr:to>
      <xdr:col>82</xdr:col>
      <xdr:colOff>116943</xdr:colOff>
      <xdr:row>37</xdr:row>
      <xdr:rowOff>63358</xdr:rowOff>
    </xdr:to>
    <xdr:sp macro="" textlink="">
      <xdr:nvSpPr>
        <xdr:cNvPr id="20" name="Freccia curva 8">
          <a:extLst>
            <a:ext uri="{FF2B5EF4-FFF2-40B4-BE49-F238E27FC236}">
              <a16:creationId xmlns:a16="http://schemas.microsoft.com/office/drawing/2014/main" id="{00000000-0008-0000-0A00-000014000000}"/>
            </a:ext>
          </a:extLst>
        </xdr:cNvPr>
        <xdr:cNvSpPr/>
      </xdr:nvSpPr>
      <xdr:spPr>
        <a:xfrm rot="5400000" flipH="1">
          <a:off x="2186769" y="135250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73270</xdr:colOff>
      <xdr:row>41</xdr:row>
      <xdr:rowOff>80596</xdr:rowOff>
    </xdr:from>
    <xdr:to>
      <xdr:col>82</xdr:col>
      <xdr:colOff>134510</xdr:colOff>
      <xdr:row>43</xdr:row>
      <xdr:rowOff>94943</xdr:rowOff>
    </xdr:to>
    <xdr:sp macro="" textlink="">
      <xdr:nvSpPr>
        <xdr:cNvPr id="21" name="Freccia curva 7">
          <a:extLst>
            <a:ext uri="{FF2B5EF4-FFF2-40B4-BE49-F238E27FC236}">
              <a16:creationId xmlns:a16="http://schemas.microsoft.com/office/drawing/2014/main" id="{00000000-0008-0000-0A00-000015000000}"/>
            </a:ext>
          </a:extLst>
        </xdr:cNvPr>
        <xdr:cNvSpPr/>
      </xdr:nvSpPr>
      <xdr:spPr>
        <a:xfrm rot="5400000">
          <a:off x="2196979" y="143017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58937</xdr:colOff>
      <xdr:row>39</xdr:row>
      <xdr:rowOff>6397</xdr:rowOff>
    </xdr:from>
    <xdr:to>
      <xdr:col>83</xdr:col>
      <xdr:colOff>5058</xdr:colOff>
      <xdr:row>40</xdr:row>
      <xdr:rowOff>9918</xdr:rowOff>
    </xdr:to>
    <xdr:sp macro="" textlink="">
      <xdr:nvSpPr>
        <xdr:cNvPr id="22" name="Freccia in giù 9">
          <a:extLst>
            <a:ext uri="{FF2B5EF4-FFF2-40B4-BE49-F238E27FC236}">
              <a16:creationId xmlns:a16="http://schemas.microsoft.com/office/drawing/2014/main" id="{00000000-0008-0000-0A00-000016000000}"/>
            </a:ext>
          </a:extLst>
        </xdr:cNvPr>
        <xdr:cNvSpPr/>
      </xdr:nvSpPr>
      <xdr:spPr>
        <a:xfrm rot="16200000">
          <a:off x="2259087" y="139034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38</xdr:row>
      <xdr:rowOff>136072</xdr:rowOff>
    </xdr:from>
    <xdr:to>
      <xdr:col>105</xdr:col>
      <xdr:colOff>55717</xdr:colOff>
      <xdr:row>40</xdr:row>
      <xdr:rowOff>82778</xdr:rowOff>
    </xdr:to>
    <xdr:sp macro="" textlink="">
      <xdr:nvSpPr>
        <xdr:cNvPr id="23" name="Freccia curva 66">
          <a:extLst>
            <a:ext uri="{FF2B5EF4-FFF2-40B4-BE49-F238E27FC236}">
              <a16:creationId xmlns:a16="http://schemas.microsoft.com/office/drawing/2014/main" id="{00000000-0008-0000-0A00-000017000000}"/>
            </a:ext>
          </a:extLst>
        </xdr:cNvPr>
        <xdr:cNvSpPr/>
      </xdr:nvSpPr>
      <xdr:spPr>
        <a:xfrm rot="16200000" flipH="1">
          <a:off x="5002743" y="139452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38</xdr:row>
      <xdr:rowOff>136072</xdr:rowOff>
    </xdr:from>
    <xdr:to>
      <xdr:col>105</xdr:col>
      <xdr:colOff>55717</xdr:colOff>
      <xdr:row>40</xdr:row>
      <xdr:rowOff>82778</xdr:rowOff>
    </xdr:to>
    <xdr:sp macro="" textlink="">
      <xdr:nvSpPr>
        <xdr:cNvPr id="24" name="Freccia curva 66">
          <a:extLst>
            <a:ext uri="{FF2B5EF4-FFF2-40B4-BE49-F238E27FC236}">
              <a16:creationId xmlns:a16="http://schemas.microsoft.com/office/drawing/2014/main" id="{00000000-0008-0000-0A00-000018000000}"/>
            </a:ext>
          </a:extLst>
        </xdr:cNvPr>
        <xdr:cNvSpPr/>
      </xdr:nvSpPr>
      <xdr:spPr>
        <a:xfrm rot="16200000" flipH="1">
          <a:off x="5002743" y="139452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38</xdr:row>
      <xdr:rowOff>136072</xdr:rowOff>
    </xdr:from>
    <xdr:to>
      <xdr:col>105</xdr:col>
      <xdr:colOff>55717</xdr:colOff>
      <xdr:row>40</xdr:row>
      <xdr:rowOff>82778</xdr:rowOff>
    </xdr:to>
    <xdr:sp macro="" textlink="">
      <xdr:nvSpPr>
        <xdr:cNvPr id="25" name="Freccia curva 66">
          <a:extLst>
            <a:ext uri="{FF2B5EF4-FFF2-40B4-BE49-F238E27FC236}">
              <a16:creationId xmlns:a16="http://schemas.microsoft.com/office/drawing/2014/main" id="{00000000-0008-0000-0A00-000019000000}"/>
            </a:ext>
          </a:extLst>
        </xdr:cNvPr>
        <xdr:cNvSpPr/>
      </xdr:nvSpPr>
      <xdr:spPr>
        <a:xfrm rot="16200000" flipH="1">
          <a:off x="5002743" y="139452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38</xdr:row>
      <xdr:rowOff>136072</xdr:rowOff>
    </xdr:from>
    <xdr:to>
      <xdr:col>105</xdr:col>
      <xdr:colOff>55717</xdr:colOff>
      <xdr:row>40</xdr:row>
      <xdr:rowOff>82778</xdr:rowOff>
    </xdr:to>
    <xdr:sp macro="" textlink="">
      <xdr:nvSpPr>
        <xdr:cNvPr id="26" name="Freccia curva 66">
          <a:extLst>
            <a:ext uri="{FF2B5EF4-FFF2-40B4-BE49-F238E27FC236}">
              <a16:creationId xmlns:a16="http://schemas.microsoft.com/office/drawing/2014/main" id="{00000000-0008-0000-0A00-00001A000000}"/>
            </a:ext>
          </a:extLst>
        </xdr:cNvPr>
        <xdr:cNvSpPr/>
      </xdr:nvSpPr>
      <xdr:spPr>
        <a:xfrm rot="16200000" flipH="1">
          <a:off x="5002743" y="139452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96216</xdr:colOff>
      <xdr:row>61</xdr:row>
      <xdr:rowOff>91783</xdr:rowOff>
    </xdr:from>
    <xdr:to>
      <xdr:col>94</xdr:col>
      <xdr:colOff>109029</xdr:colOff>
      <xdr:row>64</xdr:row>
      <xdr:rowOff>10025</xdr:rowOff>
    </xdr:to>
    <xdr:sp macro="" textlink="">
      <xdr:nvSpPr>
        <xdr:cNvPr id="27" name="Freccia in giù 9">
          <a:extLst>
            <a:ext uri="{FF2B5EF4-FFF2-40B4-BE49-F238E27FC236}">
              <a16:creationId xmlns:a16="http://schemas.microsoft.com/office/drawing/2014/main" id="{00000000-0008-0000-0A00-00001B000000}"/>
            </a:ext>
          </a:extLst>
        </xdr:cNvPr>
        <xdr:cNvSpPr/>
      </xdr:nvSpPr>
      <xdr:spPr>
        <a:xfrm rot="10800000">
          <a:off x="3810966" y="168081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89</xdr:col>
      <xdr:colOff>13549</xdr:colOff>
      <xdr:row>50</xdr:row>
      <xdr:rowOff>37397</xdr:rowOff>
    </xdr:from>
    <xdr:ext cx="963800" cy="311715"/>
    <xdr:sp macro="" textlink="">
      <xdr:nvSpPr>
        <xdr:cNvPr id="28" name="Rectangle 27">
          <a:extLst>
            <a:ext uri="{FF2B5EF4-FFF2-40B4-BE49-F238E27FC236}">
              <a16:creationId xmlns:a16="http://schemas.microsoft.com/office/drawing/2014/main" id="{00000000-0008-0000-0A00-00001C000000}"/>
            </a:ext>
          </a:extLst>
        </xdr:cNvPr>
        <xdr:cNvSpPr/>
      </xdr:nvSpPr>
      <xdr:spPr>
        <a:xfrm>
          <a:off x="3232999" y="153916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87</xdr:col>
      <xdr:colOff>46691</xdr:colOff>
      <xdr:row>61</xdr:row>
      <xdr:rowOff>118493</xdr:rowOff>
    </xdr:from>
    <xdr:to>
      <xdr:col>89</xdr:col>
      <xdr:colOff>74536</xdr:colOff>
      <xdr:row>64</xdr:row>
      <xdr:rowOff>52529</xdr:rowOff>
    </xdr:to>
    <xdr:sp macro="" textlink="">
      <xdr:nvSpPr>
        <xdr:cNvPr id="29" name="Freccia a inversione 13">
          <a:extLst>
            <a:ext uri="{FF2B5EF4-FFF2-40B4-BE49-F238E27FC236}">
              <a16:creationId xmlns:a16="http://schemas.microsoft.com/office/drawing/2014/main" id="{00000000-0008-0000-0A00-00001D000000}"/>
            </a:ext>
          </a:extLst>
        </xdr:cNvPr>
        <xdr:cNvSpPr/>
      </xdr:nvSpPr>
      <xdr:spPr>
        <a:xfrm rot="10800000" flipV="1">
          <a:off x="3018491" y="168348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62</xdr:row>
      <xdr:rowOff>3514</xdr:rowOff>
    </xdr:from>
    <xdr:to>
      <xdr:col>92</xdr:col>
      <xdr:colOff>59418</xdr:colOff>
      <xdr:row>64</xdr:row>
      <xdr:rowOff>50582</xdr:rowOff>
    </xdr:to>
    <xdr:sp macro="" textlink="">
      <xdr:nvSpPr>
        <xdr:cNvPr id="30" name="Freccia curva 8">
          <a:extLst>
            <a:ext uri="{FF2B5EF4-FFF2-40B4-BE49-F238E27FC236}">
              <a16:creationId xmlns:a16="http://schemas.microsoft.com/office/drawing/2014/main" id="{00000000-0008-0000-0A00-00001E000000}"/>
            </a:ext>
          </a:extLst>
        </xdr:cNvPr>
        <xdr:cNvSpPr/>
      </xdr:nvSpPr>
      <xdr:spPr>
        <a:xfrm flipH="1">
          <a:off x="3379364" y="16843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94989</xdr:colOff>
      <xdr:row>41</xdr:row>
      <xdr:rowOff>82275</xdr:rowOff>
    </xdr:from>
    <xdr:to>
      <xdr:col>105</xdr:col>
      <xdr:colOff>56903</xdr:colOff>
      <xdr:row>43</xdr:row>
      <xdr:rowOff>91535</xdr:rowOff>
    </xdr:to>
    <xdr:sp macro="" textlink="">
      <xdr:nvSpPr>
        <xdr:cNvPr id="31" name="Freccia a inversione 13">
          <a:extLst>
            <a:ext uri="{FF2B5EF4-FFF2-40B4-BE49-F238E27FC236}">
              <a16:creationId xmlns:a16="http://schemas.microsoft.com/office/drawing/2014/main" id="{00000000-0008-0000-0A00-00001F000000}"/>
            </a:ext>
          </a:extLst>
        </xdr:cNvPr>
        <xdr:cNvSpPr/>
      </xdr:nvSpPr>
      <xdr:spPr>
        <a:xfrm rot="5400000" flipV="1">
          <a:off x="4962404" y="1428391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84</xdr:col>
      <xdr:colOff>101397</xdr:colOff>
      <xdr:row>49</xdr:row>
      <xdr:rowOff>51932</xdr:rowOff>
    </xdr:from>
    <xdr:to>
      <xdr:col>85</xdr:col>
      <xdr:colOff>114211</xdr:colOff>
      <xdr:row>51</xdr:row>
      <xdr:rowOff>95625</xdr:rowOff>
    </xdr:to>
    <xdr:sp macro="" textlink="">
      <xdr:nvSpPr>
        <xdr:cNvPr id="32" name="Freccia in giù 9">
          <a:extLst>
            <a:ext uri="{FF2B5EF4-FFF2-40B4-BE49-F238E27FC236}">
              <a16:creationId xmlns:a16="http://schemas.microsoft.com/office/drawing/2014/main" id="{00000000-0008-0000-0A00-000020000000}"/>
            </a:ext>
          </a:extLst>
        </xdr:cNvPr>
        <xdr:cNvSpPr/>
      </xdr:nvSpPr>
      <xdr:spPr>
        <a:xfrm>
          <a:off x="2701722" y="152824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97574</xdr:colOff>
      <xdr:row>36</xdr:row>
      <xdr:rowOff>4645</xdr:rowOff>
    </xdr:from>
    <xdr:to>
      <xdr:col>105</xdr:col>
      <xdr:colOff>43694</xdr:colOff>
      <xdr:row>37</xdr:row>
      <xdr:rowOff>8166</xdr:rowOff>
    </xdr:to>
    <xdr:sp macro="" textlink="">
      <xdr:nvSpPr>
        <xdr:cNvPr id="33" name="Freccia in giù 9">
          <a:extLst>
            <a:ext uri="{FF2B5EF4-FFF2-40B4-BE49-F238E27FC236}">
              <a16:creationId xmlns:a16="http://schemas.microsoft.com/office/drawing/2014/main" id="{00000000-0008-0000-0A00-000021000000}"/>
            </a:ext>
          </a:extLst>
        </xdr:cNvPr>
        <xdr:cNvSpPr/>
      </xdr:nvSpPr>
      <xdr:spPr>
        <a:xfrm rot="5400000">
          <a:off x="5021874" y="135302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41799</xdr:colOff>
      <xdr:row>62</xdr:row>
      <xdr:rowOff>18603</xdr:rowOff>
    </xdr:from>
    <xdr:to>
      <xdr:col>98</xdr:col>
      <xdr:colOff>74730</xdr:colOff>
      <xdr:row>64</xdr:row>
      <xdr:rowOff>42207</xdr:rowOff>
    </xdr:to>
    <xdr:sp macro="" textlink="">
      <xdr:nvSpPr>
        <xdr:cNvPr id="34" name="Freccia curva 7">
          <a:extLst>
            <a:ext uri="{FF2B5EF4-FFF2-40B4-BE49-F238E27FC236}">
              <a16:creationId xmlns:a16="http://schemas.microsoft.com/office/drawing/2014/main" id="{00000000-0008-0000-0A00-000022000000}"/>
            </a:ext>
          </a:extLst>
        </xdr:cNvPr>
        <xdr:cNvSpPr/>
      </xdr:nvSpPr>
      <xdr:spPr>
        <a:xfrm>
          <a:off x="4128024" y="168588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107674</xdr:colOff>
      <xdr:row>32</xdr:row>
      <xdr:rowOff>57978</xdr:rowOff>
    </xdr:from>
    <xdr:to>
      <xdr:col>105</xdr:col>
      <xdr:colOff>7038</xdr:colOff>
      <xdr:row>34</xdr:row>
      <xdr:rowOff>90910</xdr:rowOff>
    </xdr:to>
    <xdr:sp macro="" textlink="">
      <xdr:nvSpPr>
        <xdr:cNvPr id="35" name="Freccia curva 7">
          <a:extLst>
            <a:ext uri="{FF2B5EF4-FFF2-40B4-BE49-F238E27FC236}">
              <a16:creationId xmlns:a16="http://schemas.microsoft.com/office/drawing/2014/main" id="{00000000-0008-0000-0A00-000023000000}"/>
            </a:ext>
          </a:extLst>
        </xdr:cNvPr>
        <xdr:cNvSpPr/>
      </xdr:nvSpPr>
      <xdr:spPr>
        <a:xfrm rot="16200000">
          <a:off x="4931978" y="131882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89</xdr:col>
      <xdr:colOff>4024</xdr:colOff>
      <xdr:row>35</xdr:row>
      <xdr:rowOff>27872</xdr:rowOff>
    </xdr:from>
    <xdr:ext cx="963800" cy="311715"/>
    <xdr:sp macro="" textlink="">
      <xdr:nvSpPr>
        <xdr:cNvPr id="36" name="Rectangle 35">
          <a:extLst>
            <a:ext uri="{FF2B5EF4-FFF2-40B4-BE49-F238E27FC236}">
              <a16:creationId xmlns:a16="http://schemas.microsoft.com/office/drawing/2014/main" id="{00000000-0008-0000-0A00-000024000000}"/>
            </a:ext>
          </a:extLst>
        </xdr:cNvPr>
        <xdr:cNvSpPr/>
      </xdr:nvSpPr>
      <xdr:spPr>
        <a:xfrm>
          <a:off x="3223474" y="135247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112</xdr:col>
      <xdr:colOff>85725</xdr:colOff>
      <xdr:row>68</xdr:row>
      <xdr:rowOff>9525</xdr:rowOff>
    </xdr:from>
    <xdr:to>
      <xdr:col>122</xdr:col>
      <xdr:colOff>28574</xdr:colOff>
      <xdr:row>71</xdr:row>
      <xdr:rowOff>114300</xdr:rowOff>
    </xdr:to>
    <xdr:sp macro="" textlink="">
      <xdr:nvSpPr>
        <xdr:cNvPr id="37" name="Right Arrow 36">
          <a:hlinkClick xmlns:r="http://schemas.openxmlformats.org/officeDocument/2006/relationships" r:id="rId2"/>
          <a:extLst>
            <a:ext uri="{FF2B5EF4-FFF2-40B4-BE49-F238E27FC236}">
              <a16:creationId xmlns:a16="http://schemas.microsoft.com/office/drawing/2014/main" id="{00000000-0008-0000-0A00-000025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122778</xdr:colOff>
      <xdr:row>20</xdr:row>
      <xdr:rowOff>13837</xdr:rowOff>
    </xdr:from>
    <xdr:to>
      <xdr:col>37</xdr:col>
      <xdr:colOff>46568</xdr:colOff>
      <xdr:row>65</xdr:row>
      <xdr:rowOff>7402</xdr:rowOff>
    </xdr:to>
    <xdr:pic>
      <xdr:nvPicPr>
        <xdr:cNvPr id="37" name="Picture 36" descr="PCFI-Model.jpg">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1" cstate="print"/>
        <a:srcRect l="37880" r="38108"/>
        <a:stretch>
          <a:fillRect/>
        </a:stretch>
      </xdr:blipFill>
      <xdr:spPr>
        <a:xfrm>
          <a:off x="2923994" y="2524973"/>
          <a:ext cx="1681585" cy="5643622"/>
        </a:xfrm>
        <a:prstGeom prst="rect">
          <a:avLst/>
        </a:prstGeom>
      </xdr:spPr>
    </xdr:pic>
    <xdr:clientData/>
  </xdr:twoCellAnchor>
  <xdr:twoCellAnchor editAs="oneCell">
    <xdr:from>
      <xdr:col>2</xdr:col>
      <xdr:colOff>112491</xdr:colOff>
      <xdr:row>37</xdr:row>
      <xdr:rowOff>58836</xdr:rowOff>
    </xdr:from>
    <xdr:to>
      <xdr:col>58</xdr:col>
      <xdr:colOff>69328</xdr:colOff>
      <xdr:row>48</xdr:row>
      <xdr:rowOff>82442</xdr:rowOff>
    </xdr:to>
    <xdr:pic>
      <xdr:nvPicPr>
        <xdr:cNvPr id="38" name="Picture 37" descr="PCFI-Model.jp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 cstate="print"/>
        <a:srcRect l="77" t="38630" r="187" b="36475"/>
        <a:stretch>
          <a:fillRect/>
        </a:stretch>
      </xdr:blipFill>
      <xdr:spPr>
        <a:xfrm>
          <a:off x="277014" y="4704438"/>
          <a:ext cx="6988019" cy="1404731"/>
        </a:xfrm>
        <a:prstGeom prst="rect">
          <a:avLst/>
        </a:prstGeom>
      </xdr:spPr>
    </xdr:pic>
    <xdr:clientData/>
  </xdr:twoCellAnchor>
  <xdr:oneCellAnchor>
    <xdr:from>
      <xdr:col>46</xdr:col>
      <xdr:colOff>3610</xdr:colOff>
      <xdr:row>54</xdr:row>
      <xdr:rowOff>19050</xdr:rowOff>
    </xdr:from>
    <xdr:ext cx="1226796" cy="356537"/>
    <xdr:sp macro="" textlink="">
      <xdr:nvSpPr>
        <xdr:cNvPr id="4" name="Rectangle 3">
          <a:extLst>
            <a:ext uri="{FF2B5EF4-FFF2-40B4-BE49-F238E27FC236}">
              <a16:creationId xmlns:a16="http://schemas.microsoft.com/office/drawing/2014/main" id="{00000000-0008-0000-0B00-000004000000}"/>
            </a:ext>
          </a:extLst>
        </xdr:cNvPr>
        <xdr:cNvSpPr/>
      </xdr:nvSpPr>
      <xdr:spPr>
        <a:xfrm>
          <a:off x="5575735" y="6705600"/>
          <a:ext cx="1226796" cy="356537"/>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xdr:col>
      <xdr:colOff>28</xdr:colOff>
      <xdr:row>24</xdr:row>
      <xdr:rowOff>21610</xdr:rowOff>
    </xdr:from>
    <xdr:ext cx="1235761" cy="313954"/>
    <xdr:sp macro="" textlink="">
      <xdr:nvSpPr>
        <xdr:cNvPr id="5" name="Rectangle 4">
          <a:extLst>
            <a:ext uri="{FF2B5EF4-FFF2-40B4-BE49-F238E27FC236}">
              <a16:creationId xmlns:a16="http://schemas.microsoft.com/office/drawing/2014/main" id="{00000000-0008-0000-0B00-000005000000}"/>
            </a:ext>
          </a:extLst>
        </xdr:cNvPr>
        <xdr:cNvSpPr/>
      </xdr:nvSpPr>
      <xdr:spPr>
        <a:xfrm>
          <a:off x="619153" y="299341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41</xdr:col>
      <xdr:colOff>114300</xdr:colOff>
      <xdr:row>23</xdr:row>
      <xdr:rowOff>28575</xdr:rowOff>
    </xdr:from>
    <xdr:ext cx="1235761" cy="313954"/>
    <xdr:sp macro="" textlink="">
      <xdr:nvSpPr>
        <xdr:cNvPr id="6" name="Rectangle 5">
          <a:extLst>
            <a:ext uri="{FF2B5EF4-FFF2-40B4-BE49-F238E27FC236}">
              <a16:creationId xmlns:a16="http://schemas.microsoft.com/office/drawing/2014/main" id="{00000000-0008-0000-0B00-000006000000}"/>
            </a:ext>
          </a:extLst>
        </xdr:cNvPr>
        <xdr:cNvSpPr/>
      </xdr:nvSpPr>
      <xdr:spPr>
        <a:xfrm>
          <a:off x="5067300" y="28765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xdr:col>
      <xdr:colOff>87556</xdr:colOff>
      <xdr:row>33</xdr:row>
      <xdr:rowOff>8284</xdr:rowOff>
    </xdr:from>
    <xdr:to>
      <xdr:col>15</xdr:col>
      <xdr:colOff>115956</xdr:colOff>
      <xdr:row>40</xdr:row>
      <xdr:rowOff>84067</xdr:rowOff>
    </xdr:to>
    <xdr:cxnSp macro="">
      <xdr:nvCxnSpPr>
        <xdr:cNvPr id="7" name="Straight Connector 6">
          <a:extLst>
            <a:ext uri="{FF2B5EF4-FFF2-40B4-BE49-F238E27FC236}">
              <a16:creationId xmlns:a16="http://schemas.microsoft.com/office/drawing/2014/main" id="{00000000-0008-0000-0B00-000007000000}"/>
            </a:ext>
          </a:extLst>
        </xdr:cNvPr>
        <xdr:cNvCxnSpPr>
          <a:stCxn id="8" idx="0"/>
        </xdr:cNvCxnSpPr>
      </xdr:nvCxnSpPr>
      <xdr:spPr>
        <a:xfrm rot="5400000" flipH="1" flipV="1">
          <a:off x="992552" y="4180113"/>
          <a:ext cx="942558" cy="77135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124238</xdr:colOff>
      <xdr:row>40</xdr:row>
      <xdr:rowOff>84066</xdr:rowOff>
    </xdr:from>
    <xdr:to>
      <xdr:col>10</xdr:col>
      <xdr:colOff>50873</xdr:colOff>
      <xdr:row>42</xdr:row>
      <xdr:rowOff>18028</xdr:rowOff>
    </xdr:to>
    <xdr:sp macro="" textlink="">
      <xdr:nvSpPr>
        <xdr:cNvPr id="8" name="Oval 7">
          <a:extLst>
            <a:ext uri="{FF2B5EF4-FFF2-40B4-BE49-F238E27FC236}">
              <a16:creationId xmlns:a16="http://schemas.microsoft.com/office/drawing/2014/main" id="{00000000-0008-0000-0B00-000008000000}"/>
            </a:ext>
          </a:extLst>
        </xdr:cNvPr>
        <xdr:cNvSpPr/>
      </xdr:nvSpPr>
      <xdr:spPr>
        <a:xfrm>
          <a:off x="991013" y="5037066"/>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31</xdr:col>
      <xdr:colOff>58357</xdr:colOff>
      <xdr:row>32</xdr:row>
      <xdr:rowOff>8283</xdr:rowOff>
    </xdr:from>
    <xdr:to>
      <xdr:col>41</xdr:col>
      <xdr:colOff>91112</xdr:colOff>
      <xdr:row>42</xdr:row>
      <xdr:rowOff>94220</xdr:rowOff>
    </xdr:to>
    <xdr:cxnSp macro="">
      <xdr:nvCxnSpPr>
        <xdr:cNvPr id="9" name="Straight Connector 8">
          <a:extLst>
            <a:ext uri="{FF2B5EF4-FFF2-40B4-BE49-F238E27FC236}">
              <a16:creationId xmlns:a16="http://schemas.microsoft.com/office/drawing/2014/main" id="{00000000-0008-0000-0B00-000009000000}"/>
            </a:ext>
          </a:extLst>
        </xdr:cNvPr>
        <xdr:cNvCxnSpPr>
          <a:stCxn id="10" idx="7"/>
        </xdr:cNvCxnSpPr>
      </xdr:nvCxnSpPr>
      <xdr:spPr>
        <a:xfrm rot="5400000" flipH="1" flipV="1">
          <a:off x="3746516" y="3997274"/>
          <a:ext cx="1324187" cy="127100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30</xdr:col>
      <xdr:colOff>33128</xdr:colOff>
      <xdr:row>42</xdr:row>
      <xdr:rowOff>67502</xdr:rowOff>
    </xdr:from>
    <xdr:to>
      <xdr:col>31</xdr:col>
      <xdr:colOff>84002</xdr:colOff>
      <xdr:row>44</xdr:row>
      <xdr:rowOff>1463</xdr:rowOff>
    </xdr:to>
    <xdr:sp macro="" textlink="">
      <xdr:nvSpPr>
        <xdr:cNvPr id="10" name="Oval 9">
          <a:extLst>
            <a:ext uri="{FF2B5EF4-FFF2-40B4-BE49-F238E27FC236}">
              <a16:creationId xmlns:a16="http://schemas.microsoft.com/office/drawing/2014/main" id="{00000000-0008-0000-0B00-00000A000000}"/>
            </a:ext>
          </a:extLst>
        </xdr:cNvPr>
        <xdr:cNvSpPr/>
      </xdr:nvSpPr>
      <xdr:spPr>
        <a:xfrm>
          <a:off x="3624053" y="5268152"/>
          <a:ext cx="174699" cy="181611"/>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46</xdr:col>
      <xdr:colOff>8283</xdr:colOff>
      <xdr:row>45</xdr:row>
      <xdr:rowOff>18027</xdr:rowOff>
    </xdr:from>
    <xdr:to>
      <xdr:col>52</xdr:col>
      <xdr:colOff>37860</xdr:colOff>
      <xdr:row>56</xdr:row>
      <xdr:rowOff>124238</xdr:rowOff>
    </xdr:to>
    <xdr:cxnSp macro="">
      <xdr:nvCxnSpPr>
        <xdr:cNvPr id="11" name="Straight Connector 10">
          <a:extLst>
            <a:ext uri="{FF2B5EF4-FFF2-40B4-BE49-F238E27FC236}">
              <a16:creationId xmlns:a16="http://schemas.microsoft.com/office/drawing/2014/main" id="{00000000-0008-0000-0B00-00000B000000}"/>
            </a:ext>
          </a:extLst>
        </xdr:cNvPr>
        <xdr:cNvCxnSpPr>
          <a:stCxn id="12" idx="4"/>
        </xdr:cNvCxnSpPr>
      </xdr:nvCxnSpPr>
      <xdr:spPr>
        <a:xfrm rot="5400000">
          <a:off x="5232529" y="5938031"/>
          <a:ext cx="1468286" cy="772527"/>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51</xdr:col>
      <xdr:colOff>74541</xdr:colOff>
      <xdr:row>43</xdr:row>
      <xdr:rowOff>84066</xdr:rowOff>
    </xdr:from>
    <xdr:to>
      <xdr:col>53</xdr:col>
      <xdr:colOff>1176</xdr:colOff>
      <xdr:row>45</xdr:row>
      <xdr:rowOff>18028</xdr:rowOff>
    </xdr:to>
    <xdr:sp macro="" textlink="">
      <xdr:nvSpPr>
        <xdr:cNvPr id="12" name="Oval 11">
          <a:extLst>
            <a:ext uri="{FF2B5EF4-FFF2-40B4-BE49-F238E27FC236}">
              <a16:creationId xmlns:a16="http://schemas.microsoft.com/office/drawing/2014/main" id="{00000000-0008-0000-0B00-00000C000000}"/>
            </a:ext>
          </a:extLst>
        </xdr:cNvPr>
        <xdr:cNvSpPr/>
      </xdr:nvSpPr>
      <xdr:spPr>
        <a:xfrm>
          <a:off x="6265791" y="5408541"/>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93</xdr:col>
      <xdr:colOff>53688</xdr:colOff>
      <xdr:row>23</xdr:row>
      <xdr:rowOff>62470</xdr:rowOff>
    </xdr:from>
    <xdr:to>
      <xdr:col>95</xdr:col>
      <xdr:colOff>77017</xdr:colOff>
      <xdr:row>25</xdr:row>
      <xdr:rowOff>109538</xdr:rowOff>
    </xdr:to>
    <xdr:sp macro="" textlink="">
      <xdr:nvSpPr>
        <xdr:cNvPr id="13" name="Freccia curva 8">
          <a:extLst>
            <a:ext uri="{FF2B5EF4-FFF2-40B4-BE49-F238E27FC236}">
              <a16:creationId xmlns:a16="http://schemas.microsoft.com/office/drawing/2014/main" id="{00000000-0008-0000-0B00-00000D000000}"/>
            </a:ext>
          </a:extLst>
        </xdr:cNvPr>
        <xdr:cNvSpPr/>
      </xdr:nvSpPr>
      <xdr:spPr>
        <a:xfrm rot="10800000" flipH="1">
          <a:off x="3768438" y="120734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55058</xdr:colOff>
      <xdr:row>23</xdr:row>
      <xdr:rowOff>67264</xdr:rowOff>
    </xdr:from>
    <xdr:to>
      <xdr:col>98</xdr:col>
      <xdr:colOff>84922</xdr:colOff>
      <xdr:row>25</xdr:row>
      <xdr:rowOff>123518</xdr:rowOff>
    </xdr:to>
    <xdr:sp macro="" textlink="">
      <xdr:nvSpPr>
        <xdr:cNvPr id="14" name="Freccia a inversione 13">
          <a:extLst>
            <a:ext uri="{FF2B5EF4-FFF2-40B4-BE49-F238E27FC236}">
              <a16:creationId xmlns:a16="http://schemas.microsoft.com/office/drawing/2014/main" id="{00000000-0008-0000-0B00-00000E000000}"/>
            </a:ext>
          </a:extLst>
        </xdr:cNvPr>
        <xdr:cNvSpPr/>
      </xdr:nvSpPr>
      <xdr:spPr>
        <a:xfrm flipV="1">
          <a:off x="4141283" y="120782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101397</xdr:colOff>
      <xdr:row>23</xdr:row>
      <xdr:rowOff>51932</xdr:rowOff>
    </xdr:from>
    <xdr:to>
      <xdr:col>91</xdr:col>
      <xdr:colOff>114211</xdr:colOff>
      <xdr:row>25</xdr:row>
      <xdr:rowOff>95625</xdr:rowOff>
    </xdr:to>
    <xdr:sp macro="" textlink="">
      <xdr:nvSpPr>
        <xdr:cNvPr id="15" name="Freccia in giù 9">
          <a:extLst>
            <a:ext uri="{FF2B5EF4-FFF2-40B4-BE49-F238E27FC236}">
              <a16:creationId xmlns:a16="http://schemas.microsoft.com/office/drawing/2014/main" id="{00000000-0008-0000-0B00-00000F000000}"/>
            </a:ext>
          </a:extLst>
        </xdr:cNvPr>
        <xdr:cNvSpPr/>
      </xdr:nvSpPr>
      <xdr:spPr>
        <a:xfrm>
          <a:off x="3444672" y="120629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32507</xdr:colOff>
      <xdr:row>23</xdr:row>
      <xdr:rowOff>111530</xdr:rowOff>
    </xdr:from>
    <xdr:to>
      <xdr:col>89</xdr:col>
      <xdr:colOff>65439</xdr:colOff>
      <xdr:row>26</xdr:row>
      <xdr:rowOff>9683</xdr:rowOff>
    </xdr:to>
    <xdr:sp macro="" textlink="">
      <xdr:nvSpPr>
        <xdr:cNvPr id="16" name="Freccia curva 7">
          <a:extLst>
            <a:ext uri="{FF2B5EF4-FFF2-40B4-BE49-F238E27FC236}">
              <a16:creationId xmlns:a16="http://schemas.microsoft.com/office/drawing/2014/main" id="{00000000-0008-0000-0B00-000010000000}"/>
            </a:ext>
          </a:extLst>
        </xdr:cNvPr>
        <xdr:cNvSpPr/>
      </xdr:nvSpPr>
      <xdr:spPr>
        <a:xfrm rot="10800000">
          <a:off x="3004307" y="121225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66020</xdr:colOff>
      <xdr:row>30</xdr:row>
      <xdr:rowOff>58156</xdr:rowOff>
    </xdr:from>
    <xdr:to>
      <xdr:col>66</xdr:col>
      <xdr:colOff>24702</xdr:colOff>
      <xdr:row>32</xdr:row>
      <xdr:rowOff>69436</xdr:rowOff>
    </xdr:to>
    <xdr:sp macro="" textlink="">
      <xdr:nvSpPr>
        <xdr:cNvPr id="17" name="Freccia a inversione 13">
          <a:extLst>
            <a:ext uri="{FF2B5EF4-FFF2-40B4-BE49-F238E27FC236}">
              <a16:creationId xmlns:a16="http://schemas.microsoft.com/office/drawing/2014/main" id="{00000000-0008-0000-0B00-000011000000}"/>
            </a:ext>
          </a:extLst>
        </xdr:cNvPr>
        <xdr:cNvSpPr/>
      </xdr:nvSpPr>
      <xdr:spPr>
        <a:xfrm rot="16200000" flipV="1">
          <a:off x="101634" y="129003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51289</xdr:colOff>
      <xdr:row>33</xdr:row>
      <xdr:rowOff>58615</xdr:rowOff>
    </xdr:from>
    <xdr:to>
      <xdr:col>65</xdr:col>
      <xdr:colOff>116943</xdr:colOff>
      <xdr:row>35</xdr:row>
      <xdr:rowOff>63358</xdr:rowOff>
    </xdr:to>
    <xdr:sp macro="" textlink="">
      <xdr:nvSpPr>
        <xdr:cNvPr id="18" name="Freccia curva 8">
          <a:extLst>
            <a:ext uri="{FF2B5EF4-FFF2-40B4-BE49-F238E27FC236}">
              <a16:creationId xmlns:a16="http://schemas.microsoft.com/office/drawing/2014/main" id="{00000000-0008-0000-0B00-000012000000}"/>
            </a:ext>
          </a:extLst>
        </xdr:cNvPr>
        <xdr:cNvSpPr/>
      </xdr:nvSpPr>
      <xdr:spPr>
        <a:xfrm rot="5400000" flipH="1">
          <a:off x="81744" y="132774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73270</xdr:colOff>
      <xdr:row>39</xdr:row>
      <xdr:rowOff>80596</xdr:rowOff>
    </xdr:from>
    <xdr:to>
      <xdr:col>65</xdr:col>
      <xdr:colOff>134510</xdr:colOff>
      <xdr:row>41</xdr:row>
      <xdr:rowOff>94943</xdr:rowOff>
    </xdr:to>
    <xdr:sp macro="" textlink="">
      <xdr:nvSpPr>
        <xdr:cNvPr id="19" name="Freccia curva 7">
          <a:extLst>
            <a:ext uri="{FF2B5EF4-FFF2-40B4-BE49-F238E27FC236}">
              <a16:creationId xmlns:a16="http://schemas.microsoft.com/office/drawing/2014/main" id="{00000000-0008-0000-0B00-000013000000}"/>
            </a:ext>
          </a:extLst>
        </xdr:cNvPr>
        <xdr:cNvSpPr/>
      </xdr:nvSpPr>
      <xdr:spPr>
        <a:xfrm rot="5400000">
          <a:off x="91954" y="140541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71</xdr:col>
      <xdr:colOff>108799</xdr:colOff>
      <xdr:row>33</xdr:row>
      <xdr:rowOff>27872</xdr:rowOff>
    </xdr:from>
    <xdr:ext cx="963800" cy="311715"/>
    <xdr:sp macro="" textlink="">
      <xdr:nvSpPr>
        <xdr:cNvPr id="20" name="Rectangle 19">
          <a:extLst>
            <a:ext uri="{FF2B5EF4-FFF2-40B4-BE49-F238E27FC236}">
              <a16:creationId xmlns:a16="http://schemas.microsoft.com/office/drawing/2014/main" id="{00000000-0008-0000-0B00-000014000000}"/>
            </a:ext>
          </a:extLst>
        </xdr:cNvPr>
        <xdr:cNvSpPr/>
      </xdr:nvSpPr>
      <xdr:spPr>
        <a:xfrm>
          <a:off x="1099399" y="132771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63</xdr:col>
      <xdr:colOff>58937</xdr:colOff>
      <xdr:row>37</xdr:row>
      <xdr:rowOff>6397</xdr:rowOff>
    </xdr:from>
    <xdr:to>
      <xdr:col>66</xdr:col>
      <xdr:colOff>5058</xdr:colOff>
      <xdr:row>38</xdr:row>
      <xdr:rowOff>9918</xdr:rowOff>
    </xdr:to>
    <xdr:sp macro="" textlink="">
      <xdr:nvSpPr>
        <xdr:cNvPr id="21" name="Freccia in giù 9">
          <a:extLst>
            <a:ext uri="{FF2B5EF4-FFF2-40B4-BE49-F238E27FC236}">
              <a16:creationId xmlns:a16="http://schemas.microsoft.com/office/drawing/2014/main" id="{00000000-0008-0000-0B00-000015000000}"/>
            </a:ext>
          </a:extLst>
        </xdr:cNvPr>
        <xdr:cNvSpPr/>
      </xdr:nvSpPr>
      <xdr:spPr>
        <a:xfrm rot="16200000">
          <a:off x="154062" y="136558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97574</xdr:colOff>
      <xdr:row>28</xdr:row>
      <xdr:rowOff>4645</xdr:rowOff>
    </xdr:from>
    <xdr:to>
      <xdr:col>77</xdr:col>
      <xdr:colOff>43694</xdr:colOff>
      <xdr:row>29</xdr:row>
      <xdr:rowOff>8166</xdr:rowOff>
    </xdr:to>
    <xdr:sp macro="" textlink="">
      <xdr:nvSpPr>
        <xdr:cNvPr id="22" name="Freccia in giù 9">
          <a:extLst>
            <a:ext uri="{FF2B5EF4-FFF2-40B4-BE49-F238E27FC236}">
              <a16:creationId xmlns:a16="http://schemas.microsoft.com/office/drawing/2014/main" id="{00000000-0008-0000-0B00-000016000000}"/>
            </a:ext>
          </a:extLst>
        </xdr:cNvPr>
        <xdr:cNvSpPr/>
      </xdr:nvSpPr>
      <xdr:spPr>
        <a:xfrm rot="5400000">
          <a:off x="1554774" y="125396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23" name="Freccia curva 66">
          <a:extLst>
            <a:ext uri="{FF2B5EF4-FFF2-40B4-BE49-F238E27FC236}">
              <a16:creationId xmlns:a16="http://schemas.microsoft.com/office/drawing/2014/main" id="{00000000-0008-0000-0B00-000017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24" name="Freccia curva 66">
          <a:extLst>
            <a:ext uri="{FF2B5EF4-FFF2-40B4-BE49-F238E27FC236}">
              <a16:creationId xmlns:a16="http://schemas.microsoft.com/office/drawing/2014/main" id="{00000000-0008-0000-0B00-000018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25" name="Freccia curva 66">
          <a:extLst>
            <a:ext uri="{FF2B5EF4-FFF2-40B4-BE49-F238E27FC236}">
              <a16:creationId xmlns:a16="http://schemas.microsoft.com/office/drawing/2014/main" id="{00000000-0008-0000-0B00-000019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26" name="Freccia curva 66">
          <a:extLst>
            <a:ext uri="{FF2B5EF4-FFF2-40B4-BE49-F238E27FC236}">
              <a16:creationId xmlns:a16="http://schemas.microsoft.com/office/drawing/2014/main" id="{00000000-0008-0000-0B00-00001A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96216</xdr:colOff>
      <xdr:row>45</xdr:row>
      <xdr:rowOff>91783</xdr:rowOff>
    </xdr:from>
    <xdr:to>
      <xdr:col>94</xdr:col>
      <xdr:colOff>109029</xdr:colOff>
      <xdr:row>48</xdr:row>
      <xdr:rowOff>10025</xdr:rowOff>
    </xdr:to>
    <xdr:sp macro="" textlink="">
      <xdr:nvSpPr>
        <xdr:cNvPr id="27" name="Freccia in giù 9">
          <a:extLst>
            <a:ext uri="{FF2B5EF4-FFF2-40B4-BE49-F238E27FC236}">
              <a16:creationId xmlns:a16="http://schemas.microsoft.com/office/drawing/2014/main" id="{00000000-0008-0000-0B00-00001B000000}"/>
            </a:ext>
          </a:extLst>
        </xdr:cNvPr>
        <xdr:cNvSpPr/>
      </xdr:nvSpPr>
      <xdr:spPr>
        <a:xfrm rot="10800000">
          <a:off x="3810966" y="148269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46691</xdr:colOff>
      <xdr:row>45</xdr:row>
      <xdr:rowOff>118493</xdr:rowOff>
    </xdr:from>
    <xdr:to>
      <xdr:col>89</xdr:col>
      <xdr:colOff>74536</xdr:colOff>
      <xdr:row>48</xdr:row>
      <xdr:rowOff>52529</xdr:rowOff>
    </xdr:to>
    <xdr:sp macro="" textlink="">
      <xdr:nvSpPr>
        <xdr:cNvPr id="28" name="Freccia a inversione 13">
          <a:extLst>
            <a:ext uri="{FF2B5EF4-FFF2-40B4-BE49-F238E27FC236}">
              <a16:creationId xmlns:a16="http://schemas.microsoft.com/office/drawing/2014/main" id="{00000000-0008-0000-0B00-00001C000000}"/>
            </a:ext>
          </a:extLst>
        </xdr:cNvPr>
        <xdr:cNvSpPr/>
      </xdr:nvSpPr>
      <xdr:spPr>
        <a:xfrm rot="10800000" flipV="1">
          <a:off x="3018491" y="148536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46</xdr:row>
      <xdr:rowOff>3514</xdr:rowOff>
    </xdr:from>
    <xdr:to>
      <xdr:col>92</xdr:col>
      <xdr:colOff>59418</xdr:colOff>
      <xdr:row>48</xdr:row>
      <xdr:rowOff>50582</xdr:rowOff>
    </xdr:to>
    <xdr:sp macro="" textlink="">
      <xdr:nvSpPr>
        <xdr:cNvPr id="29" name="Freccia curva 8">
          <a:extLst>
            <a:ext uri="{FF2B5EF4-FFF2-40B4-BE49-F238E27FC236}">
              <a16:creationId xmlns:a16="http://schemas.microsoft.com/office/drawing/2014/main" id="{00000000-0008-0000-0B00-00001D000000}"/>
            </a:ext>
          </a:extLst>
        </xdr:cNvPr>
        <xdr:cNvSpPr/>
      </xdr:nvSpPr>
      <xdr:spPr>
        <a:xfrm flipH="1">
          <a:off x="3379364" y="148625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197</xdr:col>
      <xdr:colOff>94989</xdr:colOff>
      <xdr:row>39</xdr:row>
      <xdr:rowOff>82275</xdr:rowOff>
    </xdr:from>
    <xdr:to>
      <xdr:col>200</xdr:col>
      <xdr:colOff>56903</xdr:colOff>
      <xdr:row>41</xdr:row>
      <xdr:rowOff>91535</xdr:rowOff>
    </xdr:to>
    <xdr:sp macro="" textlink="">
      <xdr:nvSpPr>
        <xdr:cNvPr id="30" name="Freccia a inversione 13">
          <a:extLst>
            <a:ext uri="{FF2B5EF4-FFF2-40B4-BE49-F238E27FC236}">
              <a16:creationId xmlns:a16="http://schemas.microsoft.com/office/drawing/2014/main" id="{00000000-0008-0000-0B00-00001E000000}"/>
            </a:ext>
          </a:extLst>
        </xdr:cNvPr>
        <xdr:cNvSpPr/>
      </xdr:nvSpPr>
      <xdr:spPr>
        <a:xfrm rot="5400000" flipV="1">
          <a:off x="7067429" y="140362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58937</xdr:colOff>
      <xdr:row>43</xdr:row>
      <xdr:rowOff>6397</xdr:rowOff>
    </xdr:from>
    <xdr:to>
      <xdr:col>110</xdr:col>
      <xdr:colOff>5058</xdr:colOff>
      <xdr:row>44</xdr:row>
      <xdr:rowOff>9918</xdr:rowOff>
    </xdr:to>
    <xdr:sp macro="" textlink="">
      <xdr:nvSpPr>
        <xdr:cNvPr id="31" name="Freccia in giù 9">
          <a:extLst>
            <a:ext uri="{FF2B5EF4-FFF2-40B4-BE49-F238E27FC236}">
              <a16:creationId xmlns:a16="http://schemas.microsoft.com/office/drawing/2014/main" id="{00000000-0008-0000-0B00-00001F000000}"/>
            </a:ext>
          </a:extLst>
        </xdr:cNvPr>
        <xdr:cNvSpPr/>
      </xdr:nvSpPr>
      <xdr:spPr>
        <a:xfrm rot="16200000">
          <a:off x="5602362" y="143987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97574</xdr:colOff>
      <xdr:row>34</xdr:row>
      <xdr:rowOff>4645</xdr:rowOff>
    </xdr:from>
    <xdr:to>
      <xdr:col>122</xdr:col>
      <xdr:colOff>43694</xdr:colOff>
      <xdr:row>35</xdr:row>
      <xdr:rowOff>8166</xdr:rowOff>
    </xdr:to>
    <xdr:sp macro="" textlink="">
      <xdr:nvSpPr>
        <xdr:cNvPr id="32" name="Freccia in giù 9">
          <a:extLst>
            <a:ext uri="{FF2B5EF4-FFF2-40B4-BE49-F238E27FC236}">
              <a16:creationId xmlns:a16="http://schemas.microsoft.com/office/drawing/2014/main" id="{00000000-0008-0000-0B00-000020000000}"/>
            </a:ext>
          </a:extLst>
        </xdr:cNvPr>
        <xdr:cNvSpPr/>
      </xdr:nvSpPr>
      <xdr:spPr>
        <a:xfrm rot="5400000">
          <a:off x="7126899" y="132826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41799</xdr:colOff>
      <xdr:row>46</xdr:row>
      <xdr:rowOff>18603</xdr:rowOff>
    </xdr:from>
    <xdr:to>
      <xdr:col>98</xdr:col>
      <xdr:colOff>74730</xdr:colOff>
      <xdr:row>48</xdr:row>
      <xdr:rowOff>42207</xdr:rowOff>
    </xdr:to>
    <xdr:sp macro="" textlink="">
      <xdr:nvSpPr>
        <xdr:cNvPr id="33" name="Freccia curva 7">
          <a:extLst>
            <a:ext uri="{FF2B5EF4-FFF2-40B4-BE49-F238E27FC236}">
              <a16:creationId xmlns:a16="http://schemas.microsoft.com/office/drawing/2014/main" id="{00000000-0008-0000-0B00-000021000000}"/>
            </a:ext>
          </a:extLst>
        </xdr:cNvPr>
        <xdr:cNvSpPr/>
      </xdr:nvSpPr>
      <xdr:spPr>
        <a:xfrm>
          <a:off x="4128024" y="148776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197</xdr:col>
      <xdr:colOff>107674</xdr:colOff>
      <xdr:row>30</xdr:row>
      <xdr:rowOff>57978</xdr:rowOff>
    </xdr:from>
    <xdr:to>
      <xdr:col>200</xdr:col>
      <xdr:colOff>7038</xdr:colOff>
      <xdr:row>32</xdr:row>
      <xdr:rowOff>90910</xdr:rowOff>
    </xdr:to>
    <xdr:sp macro="" textlink="">
      <xdr:nvSpPr>
        <xdr:cNvPr id="34" name="Freccia curva 7">
          <a:extLst>
            <a:ext uri="{FF2B5EF4-FFF2-40B4-BE49-F238E27FC236}">
              <a16:creationId xmlns:a16="http://schemas.microsoft.com/office/drawing/2014/main" id="{00000000-0008-0000-0B00-000022000000}"/>
            </a:ext>
          </a:extLst>
        </xdr:cNvPr>
        <xdr:cNvSpPr/>
      </xdr:nvSpPr>
      <xdr:spPr>
        <a:xfrm rot="16200000">
          <a:off x="7037003" y="129406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105</xdr:col>
      <xdr:colOff>99274</xdr:colOff>
      <xdr:row>32</xdr:row>
      <xdr:rowOff>113597</xdr:rowOff>
    </xdr:from>
    <xdr:ext cx="963800" cy="311715"/>
    <xdr:sp macro="" textlink="">
      <xdr:nvSpPr>
        <xdr:cNvPr id="35" name="Rectangle 34">
          <a:extLst>
            <a:ext uri="{FF2B5EF4-FFF2-40B4-BE49-F238E27FC236}">
              <a16:creationId xmlns:a16="http://schemas.microsoft.com/office/drawing/2014/main" id="{00000000-0008-0000-0B00-000023000000}"/>
            </a:ext>
          </a:extLst>
        </xdr:cNvPr>
        <xdr:cNvSpPr/>
      </xdr:nvSpPr>
      <xdr:spPr>
        <a:xfrm>
          <a:off x="5299924" y="132390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89</xdr:col>
      <xdr:colOff>4024</xdr:colOff>
      <xdr:row>33</xdr:row>
      <xdr:rowOff>27872</xdr:rowOff>
    </xdr:from>
    <xdr:ext cx="963800" cy="311715"/>
    <xdr:sp macro="" textlink="">
      <xdr:nvSpPr>
        <xdr:cNvPr id="36" name="Rectangle 35">
          <a:extLst>
            <a:ext uri="{FF2B5EF4-FFF2-40B4-BE49-F238E27FC236}">
              <a16:creationId xmlns:a16="http://schemas.microsoft.com/office/drawing/2014/main" id="{00000000-0008-0000-0B00-000024000000}"/>
            </a:ext>
          </a:extLst>
        </xdr:cNvPr>
        <xdr:cNvSpPr/>
      </xdr:nvSpPr>
      <xdr:spPr>
        <a:xfrm>
          <a:off x="3223474" y="132771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112</xdr:col>
      <xdr:colOff>85725</xdr:colOff>
      <xdr:row>68</xdr:row>
      <xdr:rowOff>9525</xdr:rowOff>
    </xdr:from>
    <xdr:to>
      <xdr:col>122</xdr:col>
      <xdr:colOff>28574</xdr:colOff>
      <xdr:row>71</xdr:row>
      <xdr:rowOff>114300</xdr:rowOff>
    </xdr:to>
    <xdr:sp macro="" textlink="">
      <xdr:nvSpPr>
        <xdr:cNvPr id="39" name="Right Arrow 38">
          <a:hlinkClick xmlns:r="http://schemas.openxmlformats.org/officeDocument/2006/relationships" r:id="rId2"/>
          <a:extLst>
            <a:ext uri="{FF2B5EF4-FFF2-40B4-BE49-F238E27FC236}">
              <a16:creationId xmlns:a16="http://schemas.microsoft.com/office/drawing/2014/main" id="{00000000-0008-0000-0B00-000027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3457</xdr:colOff>
      <xdr:row>35</xdr:row>
      <xdr:rowOff>114300</xdr:rowOff>
    </xdr:from>
    <xdr:to>
      <xdr:col>57</xdr:col>
      <xdr:colOff>0</xdr:colOff>
      <xdr:row>49</xdr:row>
      <xdr:rowOff>76200</xdr:rowOff>
    </xdr:to>
    <xdr:pic>
      <xdr:nvPicPr>
        <xdr:cNvPr id="46" name="Picture 45" descr="CFI-Model.jpg">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 cstate="print"/>
        <a:srcRect t="37365" b="37005"/>
        <a:stretch>
          <a:fillRect/>
        </a:stretch>
      </xdr:blipFill>
      <xdr:spPr>
        <a:xfrm>
          <a:off x="413032" y="4448175"/>
          <a:ext cx="6559268" cy="1695450"/>
        </a:xfrm>
        <a:prstGeom prst="rect">
          <a:avLst/>
        </a:prstGeom>
      </xdr:spPr>
    </xdr:pic>
    <xdr:clientData/>
  </xdr:twoCellAnchor>
  <xdr:twoCellAnchor editAs="oneCell">
    <xdr:from>
      <xdr:col>24</xdr:col>
      <xdr:colOff>14655</xdr:colOff>
      <xdr:row>15</xdr:row>
      <xdr:rowOff>106974</xdr:rowOff>
    </xdr:from>
    <xdr:to>
      <xdr:col>37</xdr:col>
      <xdr:colOff>81330</xdr:colOff>
      <xdr:row>69</xdr:row>
      <xdr:rowOff>30774</xdr:rowOff>
    </xdr:to>
    <xdr:pic>
      <xdr:nvPicPr>
        <xdr:cNvPr id="47" name="Picture 46" descr="CFI-Model.jpg">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srcRect l="37848" t="-216" r="36594" b="288"/>
        <a:stretch>
          <a:fillRect/>
        </a:stretch>
      </xdr:blipFill>
      <xdr:spPr>
        <a:xfrm>
          <a:off x="2900730" y="1964349"/>
          <a:ext cx="1676400" cy="6610350"/>
        </a:xfrm>
        <a:prstGeom prst="rect">
          <a:avLst/>
        </a:prstGeom>
      </xdr:spPr>
    </xdr:pic>
    <xdr:clientData/>
  </xdr:twoCellAnchor>
  <xdr:oneCellAnchor>
    <xdr:from>
      <xdr:col>48</xdr:col>
      <xdr:colOff>3610</xdr:colOff>
      <xdr:row>13</xdr:row>
      <xdr:rowOff>19050</xdr:rowOff>
    </xdr:from>
    <xdr:ext cx="1226796" cy="356537"/>
    <xdr:sp macro="" textlink="">
      <xdr:nvSpPr>
        <xdr:cNvPr id="4" name="Rectangle 3">
          <a:extLst>
            <a:ext uri="{FF2B5EF4-FFF2-40B4-BE49-F238E27FC236}">
              <a16:creationId xmlns:a16="http://schemas.microsoft.com/office/drawing/2014/main" id="{00000000-0008-0000-0C00-000004000000}"/>
            </a:ext>
          </a:extLst>
        </xdr:cNvPr>
        <xdr:cNvSpPr/>
      </xdr:nvSpPr>
      <xdr:spPr>
        <a:xfrm>
          <a:off x="5823385" y="1628775"/>
          <a:ext cx="1226796" cy="356537"/>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xdr:col>
      <xdr:colOff>122953</xdr:colOff>
      <xdr:row>12</xdr:row>
      <xdr:rowOff>97492</xdr:rowOff>
    </xdr:from>
    <xdr:ext cx="1231277" cy="419290"/>
    <xdr:sp macro="" textlink="">
      <xdr:nvSpPr>
        <xdr:cNvPr id="5" name="Rectangle 4">
          <a:extLst>
            <a:ext uri="{FF2B5EF4-FFF2-40B4-BE49-F238E27FC236}">
              <a16:creationId xmlns:a16="http://schemas.microsoft.com/office/drawing/2014/main" id="{00000000-0008-0000-0C00-000005000000}"/>
            </a:ext>
          </a:extLst>
        </xdr:cNvPr>
        <xdr:cNvSpPr/>
      </xdr:nvSpPr>
      <xdr:spPr>
        <a:xfrm>
          <a:off x="370603" y="1583392"/>
          <a:ext cx="1231277" cy="41929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xdr:col>
      <xdr:colOff>28</xdr:colOff>
      <xdr:row>62</xdr:row>
      <xdr:rowOff>21610</xdr:rowOff>
    </xdr:from>
    <xdr:ext cx="1235761" cy="313954"/>
    <xdr:sp macro="" textlink="">
      <xdr:nvSpPr>
        <xdr:cNvPr id="6" name="Rectangle 5">
          <a:extLst>
            <a:ext uri="{FF2B5EF4-FFF2-40B4-BE49-F238E27FC236}">
              <a16:creationId xmlns:a16="http://schemas.microsoft.com/office/drawing/2014/main" id="{00000000-0008-0000-0C00-000006000000}"/>
            </a:ext>
          </a:extLst>
        </xdr:cNvPr>
        <xdr:cNvSpPr/>
      </xdr:nvSpPr>
      <xdr:spPr>
        <a:xfrm>
          <a:off x="371503" y="769876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114328</xdr:colOff>
      <xdr:row>62</xdr:row>
      <xdr:rowOff>50185</xdr:rowOff>
    </xdr:from>
    <xdr:ext cx="1235761" cy="313954"/>
    <xdr:sp macro="" textlink="">
      <xdr:nvSpPr>
        <xdr:cNvPr id="7" name="Rectangle 6">
          <a:extLst>
            <a:ext uri="{FF2B5EF4-FFF2-40B4-BE49-F238E27FC236}">
              <a16:creationId xmlns:a16="http://schemas.microsoft.com/office/drawing/2014/main" id="{00000000-0008-0000-0C00-000007000000}"/>
            </a:ext>
          </a:extLst>
        </xdr:cNvPr>
        <xdr:cNvSpPr/>
      </xdr:nvSpPr>
      <xdr:spPr>
        <a:xfrm>
          <a:off x="5810278" y="772733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xdr:col>
      <xdr:colOff>114300</xdr:colOff>
      <xdr:row>23</xdr:row>
      <xdr:rowOff>28575</xdr:rowOff>
    </xdr:from>
    <xdr:ext cx="1235761" cy="313954"/>
    <xdr:sp macro="" textlink="">
      <xdr:nvSpPr>
        <xdr:cNvPr id="8" name="Rectangle 7">
          <a:extLst>
            <a:ext uri="{FF2B5EF4-FFF2-40B4-BE49-F238E27FC236}">
              <a16:creationId xmlns:a16="http://schemas.microsoft.com/office/drawing/2014/main" id="{00000000-0008-0000-0C00-000008000000}"/>
            </a:ext>
          </a:extLst>
        </xdr:cNvPr>
        <xdr:cNvSpPr/>
      </xdr:nvSpPr>
      <xdr:spPr>
        <a:xfrm>
          <a:off x="361950" y="28765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29</xdr:col>
      <xdr:colOff>115062</xdr:colOff>
      <xdr:row>62</xdr:row>
      <xdr:rowOff>116480</xdr:rowOff>
    </xdr:from>
    <xdr:to>
      <xdr:col>47</xdr:col>
      <xdr:colOff>85725</xdr:colOff>
      <xdr:row>65</xdr:row>
      <xdr:rowOff>0</xdr:rowOff>
    </xdr:to>
    <xdr:cxnSp macro="">
      <xdr:nvCxnSpPr>
        <xdr:cNvPr id="9" name="Straight Connector 8">
          <a:extLst>
            <a:ext uri="{FF2B5EF4-FFF2-40B4-BE49-F238E27FC236}">
              <a16:creationId xmlns:a16="http://schemas.microsoft.com/office/drawing/2014/main" id="{00000000-0008-0000-0C00-000009000000}"/>
            </a:ext>
          </a:extLst>
        </xdr:cNvPr>
        <xdr:cNvCxnSpPr>
          <a:stCxn id="10" idx="6"/>
        </xdr:cNvCxnSpPr>
      </xdr:nvCxnSpPr>
      <xdr:spPr>
        <a:xfrm>
          <a:off x="3582162" y="7793630"/>
          <a:ext cx="2199513" cy="25499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28</xdr:col>
      <xdr:colOff>63774</xdr:colOff>
      <xdr:row>62</xdr:row>
      <xdr:rowOff>25260</xdr:rowOff>
    </xdr:from>
    <xdr:to>
      <xdr:col>29</xdr:col>
      <xdr:colOff>115062</xdr:colOff>
      <xdr:row>63</xdr:row>
      <xdr:rowOff>83875</xdr:rowOff>
    </xdr:to>
    <xdr:sp macro="" textlink="">
      <xdr:nvSpPr>
        <xdr:cNvPr id="10" name="Oval 9">
          <a:extLst>
            <a:ext uri="{FF2B5EF4-FFF2-40B4-BE49-F238E27FC236}">
              <a16:creationId xmlns:a16="http://schemas.microsoft.com/office/drawing/2014/main" id="{00000000-0008-0000-0C00-00000A000000}"/>
            </a:ext>
          </a:extLst>
        </xdr:cNvPr>
        <xdr:cNvSpPr/>
      </xdr:nvSpPr>
      <xdr:spPr>
        <a:xfrm>
          <a:off x="3407049" y="770241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1</xdr:colOff>
      <xdr:row>31</xdr:row>
      <xdr:rowOff>114300</xdr:rowOff>
    </xdr:from>
    <xdr:to>
      <xdr:col>30</xdr:col>
      <xdr:colOff>11186</xdr:colOff>
      <xdr:row>41</xdr:row>
      <xdr:rowOff>119270</xdr:rowOff>
    </xdr:to>
    <xdr:cxnSp macro="">
      <xdr:nvCxnSpPr>
        <xdr:cNvPr id="11" name="Straight Connector 10">
          <a:extLst>
            <a:ext uri="{FF2B5EF4-FFF2-40B4-BE49-F238E27FC236}">
              <a16:creationId xmlns:a16="http://schemas.microsoft.com/office/drawing/2014/main" id="{00000000-0008-0000-0C00-00000B000000}"/>
            </a:ext>
          </a:extLst>
        </xdr:cNvPr>
        <xdr:cNvCxnSpPr/>
      </xdr:nvCxnSpPr>
      <xdr:spPr>
        <a:xfrm rot="10800000">
          <a:off x="1609726" y="3952875"/>
          <a:ext cx="1992385" cy="124322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120924</xdr:colOff>
      <xdr:row>42</xdr:row>
      <xdr:rowOff>34785</xdr:rowOff>
    </xdr:from>
    <xdr:to>
      <xdr:col>31</xdr:col>
      <xdr:colOff>48387</xdr:colOff>
      <xdr:row>43</xdr:row>
      <xdr:rowOff>93400</xdr:rowOff>
    </xdr:to>
    <xdr:sp macro="" textlink="">
      <xdr:nvSpPr>
        <xdr:cNvPr id="12" name="Oval 11">
          <a:extLst>
            <a:ext uri="{FF2B5EF4-FFF2-40B4-BE49-F238E27FC236}">
              <a16:creationId xmlns:a16="http://schemas.microsoft.com/office/drawing/2014/main" id="{00000000-0008-0000-0C00-00000C000000}"/>
            </a:ext>
          </a:extLst>
        </xdr:cNvPr>
        <xdr:cNvSpPr/>
      </xdr:nvSpPr>
      <xdr:spPr>
        <a:xfrm>
          <a:off x="3588024" y="523543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114301</xdr:colOff>
      <xdr:row>21</xdr:row>
      <xdr:rowOff>114301</xdr:rowOff>
    </xdr:from>
    <xdr:to>
      <xdr:col>31</xdr:col>
      <xdr:colOff>35200</xdr:colOff>
      <xdr:row>22</xdr:row>
      <xdr:rowOff>59331</xdr:rowOff>
    </xdr:to>
    <xdr:cxnSp macro="">
      <xdr:nvCxnSpPr>
        <xdr:cNvPr id="13" name="Straight Connector 12">
          <a:extLst>
            <a:ext uri="{FF2B5EF4-FFF2-40B4-BE49-F238E27FC236}">
              <a16:creationId xmlns:a16="http://schemas.microsoft.com/office/drawing/2014/main" id="{00000000-0008-0000-0C00-00000D000000}"/>
            </a:ext>
          </a:extLst>
        </xdr:cNvPr>
        <xdr:cNvCxnSpPr>
          <a:stCxn id="14" idx="2"/>
        </xdr:cNvCxnSpPr>
      </xdr:nvCxnSpPr>
      <xdr:spPr>
        <a:xfrm rot="10800000">
          <a:off x="1600201" y="2714626"/>
          <a:ext cx="2149749" cy="6885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31</xdr:col>
      <xdr:colOff>35199</xdr:colOff>
      <xdr:row>21</xdr:row>
      <xdr:rowOff>91935</xdr:rowOff>
    </xdr:from>
    <xdr:to>
      <xdr:col>32</xdr:col>
      <xdr:colOff>86487</xdr:colOff>
      <xdr:row>23</xdr:row>
      <xdr:rowOff>26725</xdr:rowOff>
    </xdr:to>
    <xdr:sp macro="" textlink="">
      <xdr:nvSpPr>
        <xdr:cNvPr id="14" name="Oval 13">
          <a:extLst>
            <a:ext uri="{FF2B5EF4-FFF2-40B4-BE49-F238E27FC236}">
              <a16:creationId xmlns:a16="http://schemas.microsoft.com/office/drawing/2014/main" id="{00000000-0008-0000-0C00-00000E000000}"/>
            </a:ext>
          </a:extLst>
        </xdr:cNvPr>
        <xdr:cNvSpPr/>
      </xdr:nvSpPr>
      <xdr:spPr>
        <a:xfrm>
          <a:off x="3749949" y="269226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101874</xdr:colOff>
      <xdr:row>40</xdr:row>
      <xdr:rowOff>63360</xdr:rowOff>
    </xdr:from>
    <xdr:to>
      <xdr:col>11</xdr:col>
      <xdr:colOff>29337</xdr:colOff>
      <xdr:row>41</xdr:row>
      <xdr:rowOff>121975</xdr:rowOff>
    </xdr:to>
    <xdr:sp macro="" textlink="">
      <xdr:nvSpPr>
        <xdr:cNvPr id="15" name="Oval 14">
          <a:extLst>
            <a:ext uri="{FF2B5EF4-FFF2-40B4-BE49-F238E27FC236}">
              <a16:creationId xmlns:a16="http://schemas.microsoft.com/office/drawing/2014/main" id="{00000000-0008-0000-0C00-00000F000000}"/>
            </a:ext>
          </a:extLst>
        </xdr:cNvPr>
        <xdr:cNvSpPr/>
      </xdr:nvSpPr>
      <xdr:spPr>
        <a:xfrm>
          <a:off x="1092474" y="501636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47</xdr:col>
      <xdr:colOff>104772</xdr:colOff>
      <xdr:row>22</xdr:row>
      <xdr:rowOff>0</xdr:rowOff>
    </xdr:from>
    <xdr:to>
      <xdr:col>51</xdr:col>
      <xdr:colOff>9526</xdr:colOff>
      <xdr:row>43</xdr:row>
      <xdr:rowOff>28575</xdr:rowOff>
    </xdr:to>
    <xdr:cxnSp macro="">
      <xdr:nvCxnSpPr>
        <xdr:cNvPr id="16" name="Straight Connector 15">
          <a:extLst>
            <a:ext uri="{FF2B5EF4-FFF2-40B4-BE49-F238E27FC236}">
              <a16:creationId xmlns:a16="http://schemas.microsoft.com/office/drawing/2014/main" id="{00000000-0008-0000-0C00-000010000000}"/>
            </a:ext>
          </a:extLst>
        </xdr:cNvPr>
        <xdr:cNvCxnSpPr/>
      </xdr:nvCxnSpPr>
      <xdr:spPr>
        <a:xfrm rot="16200000" flipV="1">
          <a:off x="4686299" y="3838573"/>
          <a:ext cx="2628900" cy="40005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50</xdr:col>
      <xdr:colOff>44724</xdr:colOff>
      <xdr:row>43</xdr:row>
      <xdr:rowOff>53835</xdr:rowOff>
    </xdr:from>
    <xdr:to>
      <xdr:col>51</xdr:col>
      <xdr:colOff>96012</xdr:colOff>
      <xdr:row>44</xdr:row>
      <xdr:rowOff>112450</xdr:rowOff>
    </xdr:to>
    <xdr:sp macro="" textlink="">
      <xdr:nvSpPr>
        <xdr:cNvPr id="17" name="Oval 16">
          <a:extLst>
            <a:ext uri="{FF2B5EF4-FFF2-40B4-BE49-F238E27FC236}">
              <a16:creationId xmlns:a16="http://schemas.microsoft.com/office/drawing/2014/main" id="{00000000-0008-0000-0C00-000011000000}"/>
            </a:ext>
          </a:extLst>
        </xdr:cNvPr>
        <xdr:cNvSpPr/>
      </xdr:nvSpPr>
      <xdr:spPr>
        <a:xfrm>
          <a:off x="6112149" y="537831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99</xdr:col>
      <xdr:colOff>96216</xdr:colOff>
      <xdr:row>22</xdr:row>
      <xdr:rowOff>91783</xdr:rowOff>
    </xdr:from>
    <xdr:to>
      <xdr:col>100</xdr:col>
      <xdr:colOff>109029</xdr:colOff>
      <xdr:row>25</xdr:row>
      <xdr:rowOff>10025</xdr:rowOff>
    </xdr:to>
    <xdr:sp macro="" textlink="">
      <xdr:nvSpPr>
        <xdr:cNvPr id="18" name="Freccia in giù 9">
          <a:extLst>
            <a:ext uri="{FF2B5EF4-FFF2-40B4-BE49-F238E27FC236}">
              <a16:creationId xmlns:a16="http://schemas.microsoft.com/office/drawing/2014/main" id="{00000000-0008-0000-0C00-000012000000}"/>
            </a:ext>
          </a:extLst>
        </xdr:cNvPr>
        <xdr:cNvSpPr/>
      </xdr:nvSpPr>
      <xdr:spPr>
        <a:xfrm rot="10800000">
          <a:off x="4553916" y="119789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88</xdr:col>
      <xdr:colOff>103195</xdr:colOff>
      <xdr:row>18</xdr:row>
      <xdr:rowOff>117519</xdr:rowOff>
    </xdr:from>
    <xdr:ext cx="963800" cy="311715"/>
    <xdr:sp macro="" textlink="">
      <xdr:nvSpPr>
        <xdr:cNvPr id="19" name="Rectangle 18">
          <a:extLst>
            <a:ext uri="{FF2B5EF4-FFF2-40B4-BE49-F238E27FC236}">
              <a16:creationId xmlns:a16="http://schemas.microsoft.com/office/drawing/2014/main" id="{00000000-0008-0000-0C00-000013000000}"/>
            </a:ext>
          </a:extLst>
        </xdr:cNvPr>
        <xdr:cNvSpPr/>
      </xdr:nvSpPr>
      <xdr:spPr>
        <a:xfrm>
          <a:off x="3198820" y="1150941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93</xdr:col>
      <xdr:colOff>53688</xdr:colOff>
      <xdr:row>9</xdr:row>
      <xdr:rowOff>62470</xdr:rowOff>
    </xdr:from>
    <xdr:to>
      <xdr:col>95</xdr:col>
      <xdr:colOff>77017</xdr:colOff>
      <xdr:row>11</xdr:row>
      <xdr:rowOff>109538</xdr:rowOff>
    </xdr:to>
    <xdr:sp macro="" textlink="">
      <xdr:nvSpPr>
        <xdr:cNvPr id="20" name="Freccia curva 8">
          <a:extLst>
            <a:ext uri="{FF2B5EF4-FFF2-40B4-BE49-F238E27FC236}">
              <a16:creationId xmlns:a16="http://schemas.microsoft.com/office/drawing/2014/main" id="{00000000-0008-0000-0C00-000014000000}"/>
            </a:ext>
          </a:extLst>
        </xdr:cNvPr>
        <xdr:cNvSpPr/>
      </xdr:nvSpPr>
      <xdr:spPr>
        <a:xfrm rot="10800000" flipH="1">
          <a:off x="3768438" y="103399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55058</xdr:colOff>
      <xdr:row>9</xdr:row>
      <xdr:rowOff>67264</xdr:rowOff>
    </xdr:from>
    <xdr:to>
      <xdr:col>98</xdr:col>
      <xdr:colOff>84922</xdr:colOff>
      <xdr:row>11</xdr:row>
      <xdr:rowOff>123518</xdr:rowOff>
    </xdr:to>
    <xdr:sp macro="" textlink="">
      <xdr:nvSpPr>
        <xdr:cNvPr id="21" name="Freccia a inversione 13">
          <a:extLst>
            <a:ext uri="{FF2B5EF4-FFF2-40B4-BE49-F238E27FC236}">
              <a16:creationId xmlns:a16="http://schemas.microsoft.com/office/drawing/2014/main" id="{00000000-0008-0000-0C00-000015000000}"/>
            </a:ext>
          </a:extLst>
        </xdr:cNvPr>
        <xdr:cNvSpPr/>
      </xdr:nvSpPr>
      <xdr:spPr>
        <a:xfrm flipV="1">
          <a:off x="4141283" y="103447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101397</xdr:colOff>
      <xdr:row>9</xdr:row>
      <xdr:rowOff>51932</xdr:rowOff>
    </xdr:from>
    <xdr:to>
      <xdr:col>91</xdr:col>
      <xdr:colOff>114211</xdr:colOff>
      <xdr:row>11</xdr:row>
      <xdr:rowOff>95625</xdr:rowOff>
    </xdr:to>
    <xdr:sp macro="" textlink="">
      <xdr:nvSpPr>
        <xdr:cNvPr id="22" name="Freccia in giù 9">
          <a:extLst>
            <a:ext uri="{FF2B5EF4-FFF2-40B4-BE49-F238E27FC236}">
              <a16:creationId xmlns:a16="http://schemas.microsoft.com/office/drawing/2014/main" id="{00000000-0008-0000-0C00-000016000000}"/>
            </a:ext>
          </a:extLst>
        </xdr:cNvPr>
        <xdr:cNvSpPr/>
      </xdr:nvSpPr>
      <xdr:spPr>
        <a:xfrm>
          <a:off x="3444672" y="103294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32507</xdr:colOff>
      <xdr:row>9</xdr:row>
      <xdr:rowOff>111530</xdr:rowOff>
    </xdr:from>
    <xdr:to>
      <xdr:col>89</xdr:col>
      <xdr:colOff>65439</xdr:colOff>
      <xdr:row>12</xdr:row>
      <xdr:rowOff>9683</xdr:rowOff>
    </xdr:to>
    <xdr:sp macro="" textlink="">
      <xdr:nvSpPr>
        <xdr:cNvPr id="23" name="Freccia curva 7">
          <a:extLst>
            <a:ext uri="{FF2B5EF4-FFF2-40B4-BE49-F238E27FC236}">
              <a16:creationId xmlns:a16="http://schemas.microsoft.com/office/drawing/2014/main" id="{00000000-0008-0000-0C00-000017000000}"/>
            </a:ext>
          </a:extLst>
        </xdr:cNvPr>
        <xdr:cNvSpPr/>
      </xdr:nvSpPr>
      <xdr:spPr>
        <a:xfrm rot="10800000">
          <a:off x="3004307" y="103890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66020</xdr:colOff>
      <xdr:row>33</xdr:row>
      <xdr:rowOff>58156</xdr:rowOff>
    </xdr:from>
    <xdr:to>
      <xdr:col>66</xdr:col>
      <xdr:colOff>24702</xdr:colOff>
      <xdr:row>35</xdr:row>
      <xdr:rowOff>69436</xdr:rowOff>
    </xdr:to>
    <xdr:sp macro="" textlink="">
      <xdr:nvSpPr>
        <xdr:cNvPr id="24" name="Freccia a inversione 13">
          <a:extLst>
            <a:ext uri="{FF2B5EF4-FFF2-40B4-BE49-F238E27FC236}">
              <a16:creationId xmlns:a16="http://schemas.microsoft.com/office/drawing/2014/main" id="{00000000-0008-0000-0C00-000018000000}"/>
            </a:ext>
          </a:extLst>
        </xdr:cNvPr>
        <xdr:cNvSpPr/>
      </xdr:nvSpPr>
      <xdr:spPr>
        <a:xfrm rot="16200000" flipV="1">
          <a:off x="101634" y="132718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51289</xdr:colOff>
      <xdr:row>36</xdr:row>
      <xdr:rowOff>58615</xdr:rowOff>
    </xdr:from>
    <xdr:to>
      <xdr:col>65</xdr:col>
      <xdr:colOff>116943</xdr:colOff>
      <xdr:row>38</xdr:row>
      <xdr:rowOff>63358</xdr:rowOff>
    </xdr:to>
    <xdr:sp macro="" textlink="">
      <xdr:nvSpPr>
        <xdr:cNvPr id="25" name="Freccia curva 8">
          <a:extLst>
            <a:ext uri="{FF2B5EF4-FFF2-40B4-BE49-F238E27FC236}">
              <a16:creationId xmlns:a16="http://schemas.microsoft.com/office/drawing/2014/main" id="{00000000-0008-0000-0C00-000019000000}"/>
            </a:ext>
          </a:extLst>
        </xdr:cNvPr>
        <xdr:cNvSpPr/>
      </xdr:nvSpPr>
      <xdr:spPr>
        <a:xfrm rot="5400000" flipH="1">
          <a:off x="81744" y="136489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73270</xdr:colOff>
      <xdr:row>42</xdr:row>
      <xdr:rowOff>80596</xdr:rowOff>
    </xdr:from>
    <xdr:to>
      <xdr:col>65</xdr:col>
      <xdr:colOff>134510</xdr:colOff>
      <xdr:row>44</xdr:row>
      <xdr:rowOff>94943</xdr:rowOff>
    </xdr:to>
    <xdr:sp macro="" textlink="">
      <xdr:nvSpPr>
        <xdr:cNvPr id="26" name="Freccia curva 7">
          <a:extLst>
            <a:ext uri="{FF2B5EF4-FFF2-40B4-BE49-F238E27FC236}">
              <a16:creationId xmlns:a16="http://schemas.microsoft.com/office/drawing/2014/main" id="{00000000-0008-0000-0C00-00001A000000}"/>
            </a:ext>
          </a:extLst>
        </xdr:cNvPr>
        <xdr:cNvSpPr/>
      </xdr:nvSpPr>
      <xdr:spPr>
        <a:xfrm rot="5400000">
          <a:off x="91954" y="144256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71</xdr:col>
      <xdr:colOff>108799</xdr:colOff>
      <xdr:row>36</xdr:row>
      <xdr:rowOff>27872</xdr:rowOff>
    </xdr:from>
    <xdr:ext cx="963800" cy="311715"/>
    <xdr:sp macro="" textlink="">
      <xdr:nvSpPr>
        <xdr:cNvPr id="27" name="Rectangle 26">
          <a:extLst>
            <a:ext uri="{FF2B5EF4-FFF2-40B4-BE49-F238E27FC236}">
              <a16:creationId xmlns:a16="http://schemas.microsoft.com/office/drawing/2014/main" id="{00000000-0008-0000-0C00-00001B000000}"/>
            </a:ext>
          </a:extLst>
        </xdr:cNvPr>
        <xdr:cNvSpPr/>
      </xdr:nvSpPr>
      <xdr:spPr>
        <a:xfrm>
          <a:off x="1099399" y="136486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63</xdr:col>
      <xdr:colOff>58937</xdr:colOff>
      <xdr:row>40</xdr:row>
      <xdr:rowOff>6397</xdr:rowOff>
    </xdr:from>
    <xdr:to>
      <xdr:col>66</xdr:col>
      <xdr:colOff>5058</xdr:colOff>
      <xdr:row>41</xdr:row>
      <xdr:rowOff>9918</xdr:rowOff>
    </xdr:to>
    <xdr:sp macro="" textlink="">
      <xdr:nvSpPr>
        <xdr:cNvPr id="28" name="Freccia in giù 9">
          <a:extLst>
            <a:ext uri="{FF2B5EF4-FFF2-40B4-BE49-F238E27FC236}">
              <a16:creationId xmlns:a16="http://schemas.microsoft.com/office/drawing/2014/main" id="{00000000-0008-0000-0C00-00001C000000}"/>
            </a:ext>
          </a:extLst>
        </xdr:cNvPr>
        <xdr:cNvSpPr/>
      </xdr:nvSpPr>
      <xdr:spPr>
        <a:xfrm rot="16200000">
          <a:off x="154062" y="140273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97574</xdr:colOff>
      <xdr:row>31</xdr:row>
      <xdr:rowOff>4645</xdr:rowOff>
    </xdr:from>
    <xdr:to>
      <xdr:col>78</xdr:col>
      <xdr:colOff>43694</xdr:colOff>
      <xdr:row>32</xdr:row>
      <xdr:rowOff>8166</xdr:rowOff>
    </xdr:to>
    <xdr:sp macro="" textlink="">
      <xdr:nvSpPr>
        <xdr:cNvPr id="29" name="Freccia in giù 9">
          <a:extLst>
            <a:ext uri="{FF2B5EF4-FFF2-40B4-BE49-F238E27FC236}">
              <a16:creationId xmlns:a16="http://schemas.microsoft.com/office/drawing/2014/main" id="{00000000-0008-0000-0C00-00001D000000}"/>
            </a:ext>
          </a:extLst>
        </xdr:cNvPr>
        <xdr:cNvSpPr/>
      </xdr:nvSpPr>
      <xdr:spPr>
        <a:xfrm rot="5400000">
          <a:off x="1678599" y="129111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39</xdr:row>
      <xdr:rowOff>136072</xdr:rowOff>
    </xdr:from>
    <xdr:to>
      <xdr:col>122</xdr:col>
      <xdr:colOff>55717</xdr:colOff>
      <xdr:row>41</xdr:row>
      <xdr:rowOff>82778</xdr:rowOff>
    </xdr:to>
    <xdr:sp macro="" textlink="">
      <xdr:nvSpPr>
        <xdr:cNvPr id="30" name="Freccia curva 66">
          <a:extLst>
            <a:ext uri="{FF2B5EF4-FFF2-40B4-BE49-F238E27FC236}">
              <a16:creationId xmlns:a16="http://schemas.microsoft.com/office/drawing/2014/main" id="{00000000-0008-0000-0C00-00001E000000}"/>
            </a:ext>
          </a:extLst>
        </xdr:cNvPr>
        <xdr:cNvSpPr/>
      </xdr:nvSpPr>
      <xdr:spPr>
        <a:xfrm rot="16200000" flipH="1">
          <a:off x="710776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39</xdr:row>
      <xdr:rowOff>136072</xdr:rowOff>
    </xdr:from>
    <xdr:to>
      <xdr:col>122</xdr:col>
      <xdr:colOff>55717</xdr:colOff>
      <xdr:row>41</xdr:row>
      <xdr:rowOff>82778</xdr:rowOff>
    </xdr:to>
    <xdr:sp macro="" textlink="">
      <xdr:nvSpPr>
        <xdr:cNvPr id="31" name="Freccia curva 66">
          <a:extLst>
            <a:ext uri="{FF2B5EF4-FFF2-40B4-BE49-F238E27FC236}">
              <a16:creationId xmlns:a16="http://schemas.microsoft.com/office/drawing/2014/main" id="{00000000-0008-0000-0C00-00001F000000}"/>
            </a:ext>
          </a:extLst>
        </xdr:cNvPr>
        <xdr:cNvSpPr/>
      </xdr:nvSpPr>
      <xdr:spPr>
        <a:xfrm rot="16200000" flipH="1">
          <a:off x="710776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39</xdr:row>
      <xdr:rowOff>136072</xdr:rowOff>
    </xdr:from>
    <xdr:to>
      <xdr:col>122</xdr:col>
      <xdr:colOff>55717</xdr:colOff>
      <xdr:row>41</xdr:row>
      <xdr:rowOff>82778</xdr:rowOff>
    </xdr:to>
    <xdr:sp macro="" textlink="">
      <xdr:nvSpPr>
        <xdr:cNvPr id="32" name="Freccia curva 66">
          <a:extLst>
            <a:ext uri="{FF2B5EF4-FFF2-40B4-BE49-F238E27FC236}">
              <a16:creationId xmlns:a16="http://schemas.microsoft.com/office/drawing/2014/main" id="{00000000-0008-0000-0C00-000020000000}"/>
            </a:ext>
          </a:extLst>
        </xdr:cNvPr>
        <xdr:cNvSpPr/>
      </xdr:nvSpPr>
      <xdr:spPr>
        <a:xfrm rot="16200000" flipH="1">
          <a:off x="710776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39</xdr:row>
      <xdr:rowOff>136072</xdr:rowOff>
    </xdr:from>
    <xdr:to>
      <xdr:col>122</xdr:col>
      <xdr:colOff>55717</xdr:colOff>
      <xdr:row>41</xdr:row>
      <xdr:rowOff>82778</xdr:rowOff>
    </xdr:to>
    <xdr:sp macro="" textlink="">
      <xdr:nvSpPr>
        <xdr:cNvPr id="33" name="Freccia curva 66">
          <a:extLst>
            <a:ext uri="{FF2B5EF4-FFF2-40B4-BE49-F238E27FC236}">
              <a16:creationId xmlns:a16="http://schemas.microsoft.com/office/drawing/2014/main" id="{00000000-0008-0000-0C00-000021000000}"/>
            </a:ext>
          </a:extLst>
        </xdr:cNvPr>
        <xdr:cNvSpPr/>
      </xdr:nvSpPr>
      <xdr:spPr>
        <a:xfrm rot="16200000" flipH="1">
          <a:off x="710776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96216</xdr:colOff>
      <xdr:row>65</xdr:row>
      <xdr:rowOff>91783</xdr:rowOff>
    </xdr:from>
    <xdr:to>
      <xdr:col>94</xdr:col>
      <xdr:colOff>109029</xdr:colOff>
      <xdr:row>68</xdr:row>
      <xdr:rowOff>10025</xdr:rowOff>
    </xdr:to>
    <xdr:sp macro="" textlink="">
      <xdr:nvSpPr>
        <xdr:cNvPr id="34" name="Freccia in giù 9">
          <a:extLst>
            <a:ext uri="{FF2B5EF4-FFF2-40B4-BE49-F238E27FC236}">
              <a16:creationId xmlns:a16="http://schemas.microsoft.com/office/drawing/2014/main" id="{00000000-0008-0000-0C00-000022000000}"/>
            </a:ext>
          </a:extLst>
        </xdr:cNvPr>
        <xdr:cNvSpPr/>
      </xdr:nvSpPr>
      <xdr:spPr>
        <a:xfrm rot="10800000">
          <a:off x="3810966" y="173034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89</xdr:col>
      <xdr:colOff>13549</xdr:colOff>
      <xdr:row>53</xdr:row>
      <xdr:rowOff>37397</xdr:rowOff>
    </xdr:from>
    <xdr:ext cx="963800" cy="311715"/>
    <xdr:sp macro="" textlink="">
      <xdr:nvSpPr>
        <xdr:cNvPr id="35" name="Rectangle 34">
          <a:extLst>
            <a:ext uri="{FF2B5EF4-FFF2-40B4-BE49-F238E27FC236}">
              <a16:creationId xmlns:a16="http://schemas.microsoft.com/office/drawing/2014/main" id="{00000000-0008-0000-0C00-000023000000}"/>
            </a:ext>
          </a:extLst>
        </xdr:cNvPr>
        <xdr:cNvSpPr/>
      </xdr:nvSpPr>
      <xdr:spPr>
        <a:xfrm>
          <a:off x="3232999" y="157631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87</xdr:col>
      <xdr:colOff>46691</xdr:colOff>
      <xdr:row>65</xdr:row>
      <xdr:rowOff>118493</xdr:rowOff>
    </xdr:from>
    <xdr:to>
      <xdr:col>89</xdr:col>
      <xdr:colOff>74536</xdr:colOff>
      <xdr:row>68</xdr:row>
      <xdr:rowOff>52529</xdr:rowOff>
    </xdr:to>
    <xdr:sp macro="" textlink="">
      <xdr:nvSpPr>
        <xdr:cNvPr id="36" name="Freccia a inversione 13">
          <a:extLst>
            <a:ext uri="{FF2B5EF4-FFF2-40B4-BE49-F238E27FC236}">
              <a16:creationId xmlns:a16="http://schemas.microsoft.com/office/drawing/2014/main" id="{00000000-0008-0000-0C00-000024000000}"/>
            </a:ext>
          </a:extLst>
        </xdr:cNvPr>
        <xdr:cNvSpPr/>
      </xdr:nvSpPr>
      <xdr:spPr>
        <a:xfrm rot="10800000" flipV="1">
          <a:off x="3018491" y="173301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66</xdr:row>
      <xdr:rowOff>3514</xdr:rowOff>
    </xdr:from>
    <xdr:to>
      <xdr:col>92</xdr:col>
      <xdr:colOff>59418</xdr:colOff>
      <xdr:row>68</xdr:row>
      <xdr:rowOff>50582</xdr:rowOff>
    </xdr:to>
    <xdr:sp macro="" textlink="">
      <xdr:nvSpPr>
        <xdr:cNvPr id="37" name="Freccia curva 8">
          <a:extLst>
            <a:ext uri="{FF2B5EF4-FFF2-40B4-BE49-F238E27FC236}">
              <a16:creationId xmlns:a16="http://schemas.microsoft.com/office/drawing/2014/main" id="{00000000-0008-0000-0C00-000025000000}"/>
            </a:ext>
          </a:extLst>
        </xdr:cNvPr>
        <xdr:cNvSpPr/>
      </xdr:nvSpPr>
      <xdr:spPr>
        <a:xfrm flipH="1">
          <a:off x="3379364" y="173390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94989</xdr:colOff>
      <xdr:row>42</xdr:row>
      <xdr:rowOff>82275</xdr:rowOff>
    </xdr:from>
    <xdr:to>
      <xdr:col>122</xdr:col>
      <xdr:colOff>56903</xdr:colOff>
      <xdr:row>44</xdr:row>
      <xdr:rowOff>91535</xdr:rowOff>
    </xdr:to>
    <xdr:sp macro="" textlink="">
      <xdr:nvSpPr>
        <xdr:cNvPr id="38" name="Freccia a inversione 13">
          <a:extLst>
            <a:ext uri="{FF2B5EF4-FFF2-40B4-BE49-F238E27FC236}">
              <a16:creationId xmlns:a16="http://schemas.microsoft.com/office/drawing/2014/main" id="{00000000-0008-0000-0C00-000026000000}"/>
            </a:ext>
          </a:extLst>
        </xdr:cNvPr>
        <xdr:cNvSpPr/>
      </xdr:nvSpPr>
      <xdr:spPr>
        <a:xfrm rot="5400000" flipV="1">
          <a:off x="7067429" y="1440773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58937</xdr:colOff>
      <xdr:row>46</xdr:row>
      <xdr:rowOff>6397</xdr:rowOff>
    </xdr:from>
    <xdr:to>
      <xdr:col>110</xdr:col>
      <xdr:colOff>5058</xdr:colOff>
      <xdr:row>47</xdr:row>
      <xdr:rowOff>9918</xdr:rowOff>
    </xdr:to>
    <xdr:sp macro="" textlink="">
      <xdr:nvSpPr>
        <xdr:cNvPr id="39" name="Freccia in giù 9">
          <a:extLst>
            <a:ext uri="{FF2B5EF4-FFF2-40B4-BE49-F238E27FC236}">
              <a16:creationId xmlns:a16="http://schemas.microsoft.com/office/drawing/2014/main" id="{00000000-0008-0000-0C00-000027000000}"/>
            </a:ext>
          </a:extLst>
        </xdr:cNvPr>
        <xdr:cNvSpPr/>
      </xdr:nvSpPr>
      <xdr:spPr>
        <a:xfrm rot="16200000">
          <a:off x="5602362" y="147702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84</xdr:col>
      <xdr:colOff>101397</xdr:colOff>
      <xdr:row>52</xdr:row>
      <xdr:rowOff>51932</xdr:rowOff>
    </xdr:from>
    <xdr:to>
      <xdr:col>85</xdr:col>
      <xdr:colOff>114211</xdr:colOff>
      <xdr:row>54</xdr:row>
      <xdr:rowOff>95625</xdr:rowOff>
    </xdr:to>
    <xdr:sp macro="" textlink="">
      <xdr:nvSpPr>
        <xdr:cNvPr id="40" name="Freccia in giù 9">
          <a:extLst>
            <a:ext uri="{FF2B5EF4-FFF2-40B4-BE49-F238E27FC236}">
              <a16:creationId xmlns:a16="http://schemas.microsoft.com/office/drawing/2014/main" id="{00000000-0008-0000-0C00-000028000000}"/>
            </a:ext>
          </a:extLst>
        </xdr:cNvPr>
        <xdr:cNvSpPr/>
      </xdr:nvSpPr>
      <xdr:spPr>
        <a:xfrm>
          <a:off x="2701722" y="156538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97574</xdr:colOff>
      <xdr:row>37</xdr:row>
      <xdr:rowOff>4645</xdr:rowOff>
    </xdr:from>
    <xdr:to>
      <xdr:col>122</xdr:col>
      <xdr:colOff>43694</xdr:colOff>
      <xdr:row>38</xdr:row>
      <xdr:rowOff>8166</xdr:rowOff>
    </xdr:to>
    <xdr:sp macro="" textlink="">
      <xdr:nvSpPr>
        <xdr:cNvPr id="41" name="Freccia in giù 9">
          <a:extLst>
            <a:ext uri="{FF2B5EF4-FFF2-40B4-BE49-F238E27FC236}">
              <a16:creationId xmlns:a16="http://schemas.microsoft.com/office/drawing/2014/main" id="{00000000-0008-0000-0C00-000029000000}"/>
            </a:ext>
          </a:extLst>
        </xdr:cNvPr>
        <xdr:cNvSpPr/>
      </xdr:nvSpPr>
      <xdr:spPr>
        <a:xfrm rot="5400000">
          <a:off x="7126899" y="136540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41799</xdr:colOff>
      <xdr:row>66</xdr:row>
      <xdr:rowOff>18603</xdr:rowOff>
    </xdr:from>
    <xdr:to>
      <xdr:col>98</xdr:col>
      <xdr:colOff>74730</xdr:colOff>
      <xdr:row>68</xdr:row>
      <xdr:rowOff>42207</xdr:rowOff>
    </xdr:to>
    <xdr:sp macro="" textlink="">
      <xdr:nvSpPr>
        <xdr:cNvPr id="42" name="Freccia curva 7">
          <a:extLst>
            <a:ext uri="{FF2B5EF4-FFF2-40B4-BE49-F238E27FC236}">
              <a16:creationId xmlns:a16="http://schemas.microsoft.com/office/drawing/2014/main" id="{00000000-0008-0000-0C00-00002A000000}"/>
            </a:ext>
          </a:extLst>
        </xdr:cNvPr>
        <xdr:cNvSpPr/>
      </xdr:nvSpPr>
      <xdr:spPr>
        <a:xfrm>
          <a:off x="4128024" y="173541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107674</xdr:colOff>
      <xdr:row>33</xdr:row>
      <xdr:rowOff>57978</xdr:rowOff>
    </xdr:from>
    <xdr:to>
      <xdr:col>122</xdr:col>
      <xdr:colOff>7038</xdr:colOff>
      <xdr:row>35</xdr:row>
      <xdr:rowOff>90910</xdr:rowOff>
    </xdr:to>
    <xdr:sp macro="" textlink="">
      <xdr:nvSpPr>
        <xdr:cNvPr id="43" name="Freccia curva 7">
          <a:extLst>
            <a:ext uri="{FF2B5EF4-FFF2-40B4-BE49-F238E27FC236}">
              <a16:creationId xmlns:a16="http://schemas.microsoft.com/office/drawing/2014/main" id="{00000000-0008-0000-0C00-00002B000000}"/>
            </a:ext>
          </a:extLst>
        </xdr:cNvPr>
        <xdr:cNvSpPr/>
      </xdr:nvSpPr>
      <xdr:spPr>
        <a:xfrm rot="16200000">
          <a:off x="7037003" y="1331212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105</xdr:col>
      <xdr:colOff>99274</xdr:colOff>
      <xdr:row>35</xdr:row>
      <xdr:rowOff>113597</xdr:rowOff>
    </xdr:from>
    <xdr:ext cx="963800" cy="311715"/>
    <xdr:sp macro="" textlink="">
      <xdr:nvSpPr>
        <xdr:cNvPr id="44" name="Rectangle 43">
          <a:extLst>
            <a:ext uri="{FF2B5EF4-FFF2-40B4-BE49-F238E27FC236}">
              <a16:creationId xmlns:a16="http://schemas.microsoft.com/office/drawing/2014/main" id="{00000000-0008-0000-0C00-00002C000000}"/>
            </a:ext>
          </a:extLst>
        </xdr:cNvPr>
        <xdr:cNvSpPr/>
      </xdr:nvSpPr>
      <xdr:spPr>
        <a:xfrm>
          <a:off x="5299924" y="136105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89</xdr:col>
      <xdr:colOff>4024</xdr:colOff>
      <xdr:row>36</xdr:row>
      <xdr:rowOff>27872</xdr:rowOff>
    </xdr:from>
    <xdr:ext cx="963800" cy="311715"/>
    <xdr:sp macro="" textlink="">
      <xdr:nvSpPr>
        <xdr:cNvPr id="45" name="Rectangle 44">
          <a:extLst>
            <a:ext uri="{FF2B5EF4-FFF2-40B4-BE49-F238E27FC236}">
              <a16:creationId xmlns:a16="http://schemas.microsoft.com/office/drawing/2014/main" id="{00000000-0008-0000-0C00-00002D000000}"/>
            </a:ext>
          </a:extLst>
        </xdr:cNvPr>
        <xdr:cNvSpPr/>
      </xdr:nvSpPr>
      <xdr:spPr>
        <a:xfrm>
          <a:off x="3223474" y="136486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xdr:col>
      <xdr:colOff>114300</xdr:colOff>
      <xdr:row>41</xdr:row>
      <xdr:rowOff>121975</xdr:rowOff>
    </xdr:from>
    <xdr:to>
      <xdr:col>10</xdr:col>
      <xdr:colOff>65607</xdr:colOff>
      <xdr:row>64</xdr:row>
      <xdr:rowOff>114301</xdr:rowOff>
    </xdr:to>
    <xdr:cxnSp macro="">
      <xdr:nvCxnSpPr>
        <xdr:cNvPr id="48" name="Straight Connector 47">
          <a:extLst>
            <a:ext uri="{FF2B5EF4-FFF2-40B4-BE49-F238E27FC236}">
              <a16:creationId xmlns:a16="http://schemas.microsoft.com/office/drawing/2014/main" id="{00000000-0008-0000-0C00-000030000000}"/>
            </a:ext>
          </a:extLst>
        </xdr:cNvPr>
        <xdr:cNvCxnSpPr>
          <a:endCxn id="15" idx="4"/>
        </xdr:cNvCxnSpPr>
      </xdr:nvCxnSpPr>
      <xdr:spPr>
        <a:xfrm rot="5400000" flipH="1" flipV="1">
          <a:off x="-611060" y="6209910"/>
          <a:ext cx="2840301" cy="81808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112</xdr:col>
      <xdr:colOff>85725</xdr:colOff>
      <xdr:row>68</xdr:row>
      <xdr:rowOff>9525</xdr:rowOff>
    </xdr:from>
    <xdr:to>
      <xdr:col>122</xdr:col>
      <xdr:colOff>28574</xdr:colOff>
      <xdr:row>71</xdr:row>
      <xdr:rowOff>114300</xdr:rowOff>
    </xdr:to>
    <xdr:sp macro="" textlink="">
      <xdr:nvSpPr>
        <xdr:cNvPr id="49" name="Right Arrow 48">
          <a:hlinkClick xmlns:r="http://schemas.openxmlformats.org/officeDocument/2006/relationships" r:id="rId2"/>
          <a:extLst>
            <a:ext uri="{FF2B5EF4-FFF2-40B4-BE49-F238E27FC236}">
              <a16:creationId xmlns:a16="http://schemas.microsoft.com/office/drawing/2014/main" id="{00000000-0008-0000-0C00-000031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104775</xdr:colOff>
      <xdr:row>14</xdr:row>
      <xdr:rowOff>47624</xdr:rowOff>
    </xdr:from>
    <xdr:to>
      <xdr:col>37</xdr:col>
      <xdr:colOff>85725</xdr:colOff>
      <xdr:row>71</xdr:row>
      <xdr:rowOff>70052</xdr:rowOff>
    </xdr:to>
    <xdr:pic>
      <xdr:nvPicPr>
        <xdr:cNvPr id="42" name="Picture 41" descr="Superstreet-Model.jp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stretch>
          <a:fillRect/>
        </a:stretch>
      </xdr:blipFill>
      <xdr:spPr>
        <a:xfrm rot="10800000" flipH="1" flipV="1">
          <a:off x="2495550" y="1781174"/>
          <a:ext cx="2085975" cy="7080453"/>
        </a:xfrm>
        <a:prstGeom prst="rect">
          <a:avLst/>
        </a:prstGeom>
      </xdr:spPr>
    </xdr:pic>
    <xdr:clientData/>
  </xdr:twoCellAnchor>
  <xdr:oneCellAnchor>
    <xdr:from>
      <xdr:col>46</xdr:col>
      <xdr:colOff>104803</xdr:colOff>
      <xdr:row>24</xdr:row>
      <xdr:rowOff>31135</xdr:rowOff>
    </xdr:from>
    <xdr:ext cx="1235761" cy="313954"/>
    <xdr:sp macro="" textlink="">
      <xdr:nvSpPr>
        <xdr:cNvPr id="2" name="Rectangle 1">
          <a:extLst>
            <a:ext uri="{FF2B5EF4-FFF2-40B4-BE49-F238E27FC236}">
              <a16:creationId xmlns:a16="http://schemas.microsoft.com/office/drawing/2014/main" id="{00000000-0008-0000-0D00-000002000000}"/>
            </a:ext>
          </a:extLst>
        </xdr:cNvPr>
        <xdr:cNvSpPr/>
      </xdr:nvSpPr>
      <xdr:spPr>
        <a:xfrm>
          <a:off x="5676928" y="300293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xdr:col>
      <xdr:colOff>104775</xdr:colOff>
      <xdr:row>16</xdr:row>
      <xdr:rowOff>38100</xdr:rowOff>
    </xdr:from>
    <xdr:ext cx="1235761" cy="313954"/>
    <xdr:sp macro="" textlink="">
      <xdr:nvSpPr>
        <xdr:cNvPr id="3" name="Rectangle 2">
          <a:extLst>
            <a:ext uri="{FF2B5EF4-FFF2-40B4-BE49-F238E27FC236}">
              <a16:creationId xmlns:a16="http://schemas.microsoft.com/office/drawing/2014/main" id="{00000000-0008-0000-0D00-000003000000}"/>
            </a:ext>
          </a:extLst>
        </xdr:cNvPr>
        <xdr:cNvSpPr/>
      </xdr:nvSpPr>
      <xdr:spPr>
        <a:xfrm>
          <a:off x="352425" y="201930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46</xdr:col>
      <xdr:colOff>114300</xdr:colOff>
      <xdr:row>61</xdr:row>
      <xdr:rowOff>9525</xdr:rowOff>
    </xdr:from>
    <xdr:ext cx="1235761" cy="313954"/>
    <xdr:sp macro="" textlink="">
      <xdr:nvSpPr>
        <xdr:cNvPr id="4" name="Rectangle 3">
          <a:extLst>
            <a:ext uri="{FF2B5EF4-FFF2-40B4-BE49-F238E27FC236}">
              <a16:creationId xmlns:a16="http://schemas.microsoft.com/office/drawing/2014/main" id="{00000000-0008-0000-0D00-000004000000}"/>
            </a:ext>
          </a:extLst>
        </xdr:cNvPr>
        <xdr:cNvSpPr/>
      </xdr:nvSpPr>
      <xdr:spPr>
        <a:xfrm>
          <a:off x="5686425" y="75628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xdr:col>
      <xdr:colOff>9553</xdr:colOff>
      <xdr:row>53</xdr:row>
      <xdr:rowOff>21610</xdr:rowOff>
    </xdr:from>
    <xdr:ext cx="1235761" cy="313954"/>
    <xdr:sp macro="" textlink="">
      <xdr:nvSpPr>
        <xdr:cNvPr id="5" name="Rectangle 4">
          <a:extLst>
            <a:ext uri="{FF2B5EF4-FFF2-40B4-BE49-F238E27FC236}">
              <a16:creationId xmlns:a16="http://schemas.microsoft.com/office/drawing/2014/main" id="{00000000-0008-0000-0D00-000005000000}"/>
            </a:ext>
          </a:extLst>
        </xdr:cNvPr>
        <xdr:cNvSpPr/>
      </xdr:nvSpPr>
      <xdr:spPr>
        <a:xfrm>
          <a:off x="504853" y="658433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14</xdr:col>
      <xdr:colOff>114300</xdr:colOff>
      <xdr:row>16</xdr:row>
      <xdr:rowOff>68855</xdr:rowOff>
    </xdr:from>
    <xdr:to>
      <xdr:col>26</xdr:col>
      <xdr:colOff>25674</xdr:colOff>
      <xdr:row>18</xdr:row>
      <xdr:rowOff>114299</xdr:rowOff>
    </xdr:to>
    <xdr:cxnSp macro="">
      <xdr:nvCxnSpPr>
        <xdr:cNvPr id="6" name="Straight Connector 5">
          <a:extLst>
            <a:ext uri="{FF2B5EF4-FFF2-40B4-BE49-F238E27FC236}">
              <a16:creationId xmlns:a16="http://schemas.microsoft.com/office/drawing/2014/main" id="{00000000-0008-0000-0D00-000006000000}"/>
            </a:ext>
          </a:extLst>
        </xdr:cNvPr>
        <xdr:cNvCxnSpPr>
          <a:stCxn id="7" idx="2"/>
        </xdr:cNvCxnSpPr>
      </xdr:nvCxnSpPr>
      <xdr:spPr>
        <a:xfrm rot="10800000" flipV="1">
          <a:off x="1762125" y="2050055"/>
          <a:ext cx="1397274" cy="29309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25674</xdr:colOff>
      <xdr:row>15</xdr:row>
      <xdr:rowOff>101460</xdr:rowOff>
    </xdr:from>
    <xdr:to>
      <xdr:col>27</xdr:col>
      <xdr:colOff>76962</xdr:colOff>
      <xdr:row>17</xdr:row>
      <xdr:rowOff>36250</xdr:rowOff>
    </xdr:to>
    <xdr:sp macro="" textlink="">
      <xdr:nvSpPr>
        <xdr:cNvPr id="7" name="Oval 6">
          <a:extLst>
            <a:ext uri="{FF2B5EF4-FFF2-40B4-BE49-F238E27FC236}">
              <a16:creationId xmlns:a16="http://schemas.microsoft.com/office/drawing/2014/main" id="{00000000-0008-0000-0D00-000007000000}"/>
            </a:ext>
          </a:extLst>
        </xdr:cNvPr>
        <xdr:cNvSpPr/>
      </xdr:nvSpPr>
      <xdr:spPr>
        <a:xfrm>
          <a:off x="3159399" y="195883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29337</xdr:colOff>
      <xdr:row>64</xdr:row>
      <xdr:rowOff>0</xdr:rowOff>
    </xdr:from>
    <xdr:to>
      <xdr:col>46</xdr:col>
      <xdr:colOff>114300</xdr:colOff>
      <xdr:row>69</xdr:row>
      <xdr:rowOff>87905</xdr:rowOff>
    </xdr:to>
    <xdr:cxnSp macro="">
      <xdr:nvCxnSpPr>
        <xdr:cNvPr id="8" name="Straight Connector 7">
          <a:extLst>
            <a:ext uri="{FF2B5EF4-FFF2-40B4-BE49-F238E27FC236}">
              <a16:creationId xmlns:a16="http://schemas.microsoft.com/office/drawing/2014/main" id="{00000000-0008-0000-0D00-000008000000}"/>
            </a:ext>
          </a:extLst>
        </xdr:cNvPr>
        <xdr:cNvCxnSpPr>
          <a:stCxn id="9" idx="6"/>
        </xdr:cNvCxnSpPr>
      </xdr:nvCxnSpPr>
      <xdr:spPr>
        <a:xfrm flipV="1">
          <a:off x="3867912" y="7924800"/>
          <a:ext cx="1818513" cy="70703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30</xdr:col>
      <xdr:colOff>101874</xdr:colOff>
      <xdr:row>68</xdr:row>
      <xdr:rowOff>120510</xdr:rowOff>
    </xdr:from>
    <xdr:to>
      <xdr:col>32</xdr:col>
      <xdr:colOff>29337</xdr:colOff>
      <xdr:row>70</xdr:row>
      <xdr:rowOff>55300</xdr:rowOff>
    </xdr:to>
    <xdr:sp macro="" textlink="">
      <xdr:nvSpPr>
        <xdr:cNvPr id="9" name="Oval 8">
          <a:extLst>
            <a:ext uri="{FF2B5EF4-FFF2-40B4-BE49-F238E27FC236}">
              <a16:creationId xmlns:a16="http://schemas.microsoft.com/office/drawing/2014/main" id="{00000000-0008-0000-0D00-000009000000}"/>
            </a:ext>
          </a:extLst>
        </xdr:cNvPr>
        <xdr:cNvSpPr/>
      </xdr:nvSpPr>
      <xdr:spPr>
        <a:xfrm>
          <a:off x="3692799" y="854061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104776</xdr:colOff>
      <xdr:row>48</xdr:row>
      <xdr:rowOff>7</xdr:rowOff>
    </xdr:from>
    <xdr:to>
      <xdr:col>26</xdr:col>
      <xdr:colOff>98945</xdr:colOff>
      <xdr:row>56</xdr:row>
      <xdr:rowOff>9528</xdr:rowOff>
    </xdr:to>
    <xdr:cxnSp macro="">
      <xdr:nvCxnSpPr>
        <xdr:cNvPr id="10" name="Straight Connector 9">
          <a:extLst>
            <a:ext uri="{FF2B5EF4-FFF2-40B4-BE49-F238E27FC236}">
              <a16:creationId xmlns:a16="http://schemas.microsoft.com/office/drawing/2014/main" id="{00000000-0008-0000-0D00-00000A000000}"/>
            </a:ext>
          </a:extLst>
        </xdr:cNvPr>
        <xdr:cNvCxnSpPr>
          <a:stCxn id="11" idx="3"/>
        </xdr:cNvCxnSpPr>
      </xdr:nvCxnSpPr>
      <xdr:spPr>
        <a:xfrm rot="5400000">
          <a:off x="1954475" y="5703633"/>
          <a:ext cx="1000121" cy="148006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73299</xdr:colOff>
      <xdr:row>46</xdr:row>
      <xdr:rowOff>91935</xdr:rowOff>
    </xdr:from>
    <xdr:to>
      <xdr:col>28</xdr:col>
      <xdr:colOff>762</xdr:colOff>
      <xdr:row>48</xdr:row>
      <xdr:rowOff>26725</xdr:rowOff>
    </xdr:to>
    <xdr:sp macro="" textlink="">
      <xdr:nvSpPr>
        <xdr:cNvPr id="11" name="Oval 10">
          <a:extLst>
            <a:ext uri="{FF2B5EF4-FFF2-40B4-BE49-F238E27FC236}">
              <a16:creationId xmlns:a16="http://schemas.microsoft.com/office/drawing/2014/main" id="{00000000-0008-0000-0D00-00000B000000}"/>
            </a:ext>
          </a:extLst>
        </xdr:cNvPr>
        <xdr:cNvSpPr/>
      </xdr:nvSpPr>
      <xdr:spPr>
        <a:xfrm>
          <a:off x="3168924" y="578788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31</xdr:col>
      <xdr:colOff>89417</xdr:colOff>
      <xdr:row>27</xdr:row>
      <xdr:rowOff>9525</xdr:rowOff>
    </xdr:from>
    <xdr:to>
      <xdr:col>47</xdr:col>
      <xdr:colOff>3</xdr:colOff>
      <xdr:row>38</xdr:row>
      <xdr:rowOff>51978</xdr:rowOff>
    </xdr:to>
    <xdr:cxnSp macro="">
      <xdr:nvCxnSpPr>
        <xdr:cNvPr id="12" name="Straight Connector 11">
          <a:extLst>
            <a:ext uri="{FF2B5EF4-FFF2-40B4-BE49-F238E27FC236}">
              <a16:creationId xmlns:a16="http://schemas.microsoft.com/office/drawing/2014/main" id="{00000000-0008-0000-0D00-00000C000000}"/>
            </a:ext>
          </a:extLst>
        </xdr:cNvPr>
        <xdr:cNvCxnSpPr>
          <a:stCxn id="13" idx="7"/>
        </xdr:cNvCxnSpPr>
      </xdr:nvCxnSpPr>
      <xdr:spPr>
        <a:xfrm rot="5400000" flipH="1" flipV="1">
          <a:off x="4047796" y="3109171"/>
          <a:ext cx="1404528" cy="189178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30</xdr:col>
      <xdr:colOff>63774</xdr:colOff>
      <xdr:row>38</xdr:row>
      <xdr:rowOff>25260</xdr:rowOff>
    </xdr:from>
    <xdr:to>
      <xdr:col>31</xdr:col>
      <xdr:colOff>115062</xdr:colOff>
      <xdr:row>39</xdr:row>
      <xdr:rowOff>83875</xdr:rowOff>
    </xdr:to>
    <xdr:sp macro="" textlink="">
      <xdr:nvSpPr>
        <xdr:cNvPr id="13" name="Oval 12">
          <a:extLst>
            <a:ext uri="{FF2B5EF4-FFF2-40B4-BE49-F238E27FC236}">
              <a16:creationId xmlns:a16="http://schemas.microsoft.com/office/drawing/2014/main" id="{00000000-0008-0000-0D00-00000D000000}"/>
            </a:ext>
          </a:extLst>
        </xdr:cNvPr>
        <xdr:cNvSpPr/>
      </xdr:nvSpPr>
      <xdr:spPr>
        <a:xfrm>
          <a:off x="3654699" y="473061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89</xdr:col>
      <xdr:colOff>53688</xdr:colOff>
      <xdr:row>25</xdr:row>
      <xdr:rowOff>62470</xdr:rowOff>
    </xdr:from>
    <xdr:to>
      <xdr:col>91</xdr:col>
      <xdr:colOff>77017</xdr:colOff>
      <xdr:row>27</xdr:row>
      <xdr:rowOff>109538</xdr:rowOff>
    </xdr:to>
    <xdr:sp macro="" textlink="">
      <xdr:nvSpPr>
        <xdr:cNvPr id="14" name="Freccia curva 8">
          <a:extLst>
            <a:ext uri="{FF2B5EF4-FFF2-40B4-BE49-F238E27FC236}">
              <a16:creationId xmlns:a16="http://schemas.microsoft.com/office/drawing/2014/main" id="{00000000-0008-0000-0D00-00000E000000}"/>
            </a:ext>
          </a:extLst>
        </xdr:cNvPr>
        <xdr:cNvSpPr/>
      </xdr:nvSpPr>
      <xdr:spPr>
        <a:xfrm rot="10800000" flipH="1">
          <a:off x="3273138" y="123211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55058</xdr:colOff>
      <xdr:row>25</xdr:row>
      <xdr:rowOff>67264</xdr:rowOff>
    </xdr:from>
    <xdr:to>
      <xdr:col>94</xdr:col>
      <xdr:colOff>84922</xdr:colOff>
      <xdr:row>27</xdr:row>
      <xdr:rowOff>123518</xdr:rowOff>
    </xdr:to>
    <xdr:sp macro="" textlink="">
      <xdr:nvSpPr>
        <xdr:cNvPr id="15" name="Freccia a inversione 13">
          <a:extLst>
            <a:ext uri="{FF2B5EF4-FFF2-40B4-BE49-F238E27FC236}">
              <a16:creationId xmlns:a16="http://schemas.microsoft.com/office/drawing/2014/main" id="{00000000-0008-0000-0D00-00000F000000}"/>
            </a:ext>
          </a:extLst>
        </xdr:cNvPr>
        <xdr:cNvSpPr/>
      </xdr:nvSpPr>
      <xdr:spPr>
        <a:xfrm flipV="1">
          <a:off x="3645983" y="123259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101397</xdr:colOff>
      <xdr:row>25</xdr:row>
      <xdr:rowOff>51932</xdr:rowOff>
    </xdr:from>
    <xdr:to>
      <xdr:col>87</xdr:col>
      <xdr:colOff>114211</xdr:colOff>
      <xdr:row>27</xdr:row>
      <xdr:rowOff>95625</xdr:rowOff>
    </xdr:to>
    <xdr:sp macro="" textlink="">
      <xdr:nvSpPr>
        <xdr:cNvPr id="16" name="Freccia in giù 9">
          <a:extLst>
            <a:ext uri="{FF2B5EF4-FFF2-40B4-BE49-F238E27FC236}">
              <a16:creationId xmlns:a16="http://schemas.microsoft.com/office/drawing/2014/main" id="{00000000-0008-0000-0D00-000010000000}"/>
            </a:ext>
          </a:extLst>
        </xdr:cNvPr>
        <xdr:cNvSpPr/>
      </xdr:nvSpPr>
      <xdr:spPr>
        <a:xfrm>
          <a:off x="2949372" y="123106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32507</xdr:colOff>
      <xdr:row>25</xdr:row>
      <xdr:rowOff>111530</xdr:rowOff>
    </xdr:from>
    <xdr:to>
      <xdr:col>85</xdr:col>
      <xdr:colOff>65439</xdr:colOff>
      <xdr:row>28</xdr:row>
      <xdr:rowOff>9683</xdr:rowOff>
    </xdr:to>
    <xdr:sp macro="" textlink="">
      <xdr:nvSpPr>
        <xdr:cNvPr id="17" name="Freccia curva 7">
          <a:extLst>
            <a:ext uri="{FF2B5EF4-FFF2-40B4-BE49-F238E27FC236}">
              <a16:creationId xmlns:a16="http://schemas.microsoft.com/office/drawing/2014/main" id="{00000000-0008-0000-0D00-000011000000}"/>
            </a:ext>
          </a:extLst>
        </xdr:cNvPr>
        <xdr:cNvSpPr/>
      </xdr:nvSpPr>
      <xdr:spPr>
        <a:xfrm rot="10800000">
          <a:off x="2509007" y="123702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115266</xdr:colOff>
      <xdr:row>50</xdr:row>
      <xdr:rowOff>110833</xdr:rowOff>
    </xdr:from>
    <xdr:to>
      <xdr:col>99</xdr:col>
      <xdr:colOff>4254</xdr:colOff>
      <xdr:row>53</xdr:row>
      <xdr:rowOff>29075</xdr:rowOff>
    </xdr:to>
    <xdr:sp macro="" textlink="">
      <xdr:nvSpPr>
        <xdr:cNvPr id="18" name="Freccia in giù 9">
          <a:extLst>
            <a:ext uri="{FF2B5EF4-FFF2-40B4-BE49-F238E27FC236}">
              <a16:creationId xmlns:a16="http://schemas.microsoft.com/office/drawing/2014/main" id="{00000000-0008-0000-0D00-000012000000}"/>
            </a:ext>
          </a:extLst>
        </xdr:cNvPr>
        <xdr:cNvSpPr/>
      </xdr:nvSpPr>
      <xdr:spPr>
        <a:xfrm rot="10800000">
          <a:off x="4325316" y="154651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91</xdr:col>
      <xdr:colOff>46691</xdr:colOff>
      <xdr:row>50</xdr:row>
      <xdr:rowOff>118493</xdr:rowOff>
    </xdr:from>
    <xdr:to>
      <xdr:col>93</xdr:col>
      <xdr:colOff>74536</xdr:colOff>
      <xdr:row>53</xdr:row>
      <xdr:rowOff>52529</xdr:rowOff>
    </xdr:to>
    <xdr:sp macro="" textlink="">
      <xdr:nvSpPr>
        <xdr:cNvPr id="19" name="Freccia a inversione 13">
          <a:extLst>
            <a:ext uri="{FF2B5EF4-FFF2-40B4-BE49-F238E27FC236}">
              <a16:creationId xmlns:a16="http://schemas.microsoft.com/office/drawing/2014/main" id="{00000000-0008-0000-0D00-000013000000}"/>
            </a:ext>
          </a:extLst>
        </xdr:cNvPr>
        <xdr:cNvSpPr/>
      </xdr:nvSpPr>
      <xdr:spPr>
        <a:xfrm rot="10800000" flipV="1">
          <a:off x="3513791" y="1547279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36089</xdr:colOff>
      <xdr:row>51</xdr:row>
      <xdr:rowOff>3514</xdr:rowOff>
    </xdr:from>
    <xdr:to>
      <xdr:col>96</xdr:col>
      <xdr:colOff>59418</xdr:colOff>
      <xdr:row>53</xdr:row>
      <xdr:rowOff>50582</xdr:rowOff>
    </xdr:to>
    <xdr:sp macro="" textlink="">
      <xdr:nvSpPr>
        <xdr:cNvPr id="20" name="Freccia curva 8">
          <a:extLst>
            <a:ext uri="{FF2B5EF4-FFF2-40B4-BE49-F238E27FC236}">
              <a16:creationId xmlns:a16="http://schemas.microsoft.com/office/drawing/2014/main" id="{00000000-0008-0000-0D00-000014000000}"/>
            </a:ext>
          </a:extLst>
        </xdr:cNvPr>
        <xdr:cNvSpPr/>
      </xdr:nvSpPr>
      <xdr:spPr>
        <a:xfrm flipH="1">
          <a:off x="3874664" y="154816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100</xdr:col>
      <xdr:colOff>70374</xdr:colOff>
      <xdr:row>51</xdr:row>
      <xdr:rowOff>9078</xdr:rowOff>
    </xdr:from>
    <xdr:to>
      <xdr:col>102</xdr:col>
      <xdr:colOff>103305</xdr:colOff>
      <xdr:row>53</xdr:row>
      <xdr:rowOff>32682</xdr:rowOff>
    </xdr:to>
    <xdr:sp macro="" textlink="">
      <xdr:nvSpPr>
        <xdr:cNvPr id="21" name="Freccia curva 7">
          <a:extLst>
            <a:ext uri="{FF2B5EF4-FFF2-40B4-BE49-F238E27FC236}">
              <a16:creationId xmlns:a16="http://schemas.microsoft.com/office/drawing/2014/main" id="{00000000-0008-0000-0D00-000015000000}"/>
            </a:ext>
          </a:extLst>
        </xdr:cNvPr>
        <xdr:cNvSpPr/>
      </xdr:nvSpPr>
      <xdr:spPr>
        <a:xfrm>
          <a:off x="4651899" y="154872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66020</xdr:colOff>
      <xdr:row>32</xdr:row>
      <xdr:rowOff>58156</xdr:rowOff>
    </xdr:from>
    <xdr:to>
      <xdr:col>73</xdr:col>
      <xdr:colOff>24702</xdr:colOff>
      <xdr:row>34</xdr:row>
      <xdr:rowOff>69436</xdr:rowOff>
    </xdr:to>
    <xdr:sp macro="" textlink="">
      <xdr:nvSpPr>
        <xdr:cNvPr id="22" name="Freccia a inversione 13">
          <a:extLst>
            <a:ext uri="{FF2B5EF4-FFF2-40B4-BE49-F238E27FC236}">
              <a16:creationId xmlns:a16="http://schemas.microsoft.com/office/drawing/2014/main" id="{00000000-0008-0000-0D00-000016000000}"/>
            </a:ext>
          </a:extLst>
        </xdr:cNvPr>
        <xdr:cNvSpPr/>
      </xdr:nvSpPr>
      <xdr:spPr>
        <a:xfrm rot="16200000" flipV="1">
          <a:off x="968409" y="1314799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51289</xdr:colOff>
      <xdr:row>35</xdr:row>
      <xdr:rowOff>58615</xdr:rowOff>
    </xdr:from>
    <xdr:to>
      <xdr:col>72</xdr:col>
      <xdr:colOff>116943</xdr:colOff>
      <xdr:row>37</xdr:row>
      <xdr:rowOff>63358</xdr:rowOff>
    </xdr:to>
    <xdr:sp macro="" textlink="">
      <xdr:nvSpPr>
        <xdr:cNvPr id="23" name="Freccia curva 8">
          <a:extLst>
            <a:ext uri="{FF2B5EF4-FFF2-40B4-BE49-F238E27FC236}">
              <a16:creationId xmlns:a16="http://schemas.microsoft.com/office/drawing/2014/main" id="{00000000-0008-0000-0D00-000017000000}"/>
            </a:ext>
          </a:extLst>
        </xdr:cNvPr>
        <xdr:cNvSpPr/>
      </xdr:nvSpPr>
      <xdr:spPr>
        <a:xfrm rot="5400000" flipH="1">
          <a:off x="948519" y="135250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73270</xdr:colOff>
      <xdr:row>41</xdr:row>
      <xdr:rowOff>80596</xdr:rowOff>
    </xdr:from>
    <xdr:to>
      <xdr:col>72</xdr:col>
      <xdr:colOff>134510</xdr:colOff>
      <xdr:row>43</xdr:row>
      <xdr:rowOff>94943</xdr:rowOff>
    </xdr:to>
    <xdr:sp macro="" textlink="">
      <xdr:nvSpPr>
        <xdr:cNvPr id="24" name="Freccia curva 7">
          <a:extLst>
            <a:ext uri="{FF2B5EF4-FFF2-40B4-BE49-F238E27FC236}">
              <a16:creationId xmlns:a16="http://schemas.microsoft.com/office/drawing/2014/main" id="{00000000-0008-0000-0D00-000018000000}"/>
            </a:ext>
          </a:extLst>
        </xdr:cNvPr>
        <xdr:cNvSpPr/>
      </xdr:nvSpPr>
      <xdr:spPr>
        <a:xfrm rot="5400000">
          <a:off x="958729" y="143017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93</xdr:col>
      <xdr:colOff>13549</xdr:colOff>
      <xdr:row>57</xdr:row>
      <xdr:rowOff>46922</xdr:rowOff>
    </xdr:from>
    <xdr:ext cx="963800" cy="311715"/>
    <xdr:sp macro="" textlink="">
      <xdr:nvSpPr>
        <xdr:cNvPr id="25" name="Rectangle 24">
          <a:extLst>
            <a:ext uri="{FF2B5EF4-FFF2-40B4-BE49-F238E27FC236}">
              <a16:creationId xmlns:a16="http://schemas.microsoft.com/office/drawing/2014/main" id="{00000000-0008-0000-0D00-000019000000}"/>
            </a:ext>
          </a:extLst>
        </xdr:cNvPr>
        <xdr:cNvSpPr/>
      </xdr:nvSpPr>
      <xdr:spPr>
        <a:xfrm>
          <a:off x="3766399" y="163060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70</xdr:col>
      <xdr:colOff>58937</xdr:colOff>
      <xdr:row>39</xdr:row>
      <xdr:rowOff>6397</xdr:rowOff>
    </xdr:from>
    <xdr:to>
      <xdr:col>73</xdr:col>
      <xdr:colOff>5058</xdr:colOff>
      <xdr:row>40</xdr:row>
      <xdr:rowOff>9918</xdr:rowOff>
    </xdr:to>
    <xdr:sp macro="" textlink="">
      <xdr:nvSpPr>
        <xdr:cNvPr id="26" name="Freccia in giù 9">
          <a:extLst>
            <a:ext uri="{FF2B5EF4-FFF2-40B4-BE49-F238E27FC236}">
              <a16:creationId xmlns:a16="http://schemas.microsoft.com/office/drawing/2014/main" id="{00000000-0008-0000-0D00-00001A000000}"/>
            </a:ext>
          </a:extLst>
        </xdr:cNvPr>
        <xdr:cNvSpPr/>
      </xdr:nvSpPr>
      <xdr:spPr>
        <a:xfrm rot="16200000">
          <a:off x="1020837" y="139034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41</xdr:row>
      <xdr:rowOff>136072</xdr:rowOff>
    </xdr:from>
    <xdr:to>
      <xdr:col>115</xdr:col>
      <xdr:colOff>55717</xdr:colOff>
      <xdr:row>43</xdr:row>
      <xdr:rowOff>82778</xdr:rowOff>
    </xdr:to>
    <xdr:sp macro="" textlink="">
      <xdr:nvSpPr>
        <xdr:cNvPr id="27" name="Freccia curva 66">
          <a:extLst>
            <a:ext uri="{FF2B5EF4-FFF2-40B4-BE49-F238E27FC236}">
              <a16:creationId xmlns:a16="http://schemas.microsoft.com/office/drawing/2014/main" id="{00000000-0008-0000-0D00-00001B000000}"/>
            </a:ext>
          </a:extLst>
        </xdr:cNvPr>
        <xdr:cNvSpPr/>
      </xdr:nvSpPr>
      <xdr:spPr>
        <a:xfrm rot="16200000" flipH="1">
          <a:off x="6240993" y="143166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41</xdr:row>
      <xdr:rowOff>136072</xdr:rowOff>
    </xdr:from>
    <xdr:to>
      <xdr:col>115</xdr:col>
      <xdr:colOff>55717</xdr:colOff>
      <xdr:row>43</xdr:row>
      <xdr:rowOff>82778</xdr:rowOff>
    </xdr:to>
    <xdr:sp macro="" textlink="">
      <xdr:nvSpPr>
        <xdr:cNvPr id="28" name="Freccia curva 66">
          <a:extLst>
            <a:ext uri="{FF2B5EF4-FFF2-40B4-BE49-F238E27FC236}">
              <a16:creationId xmlns:a16="http://schemas.microsoft.com/office/drawing/2014/main" id="{00000000-0008-0000-0D00-00001C000000}"/>
            </a:ext>
          </a:extLst>
        </xdr:cNvPr>
        <xdr:cNvSpPr/>
      </xdr:nvSpPr>
      <xdr:spPr>
        <a:xfrm rot="16200000" flipH="1">
          <a:off x="6240993" y="143166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41</xdr:row>
      <xdr:rowOff>136072</xdr:rowOff>
    </xdr:from>
    <xdr:to>
      <xdr:col>115</xdr:col>
      <xdr:colOff>55717</xdr:colOff>
      <xdr:row>43</xdr:row>
      <xdr:rowOff>82778</xdr:rowOff>
    </xdr:to>
    <xdr:sp macro="" textlink="">
      <xdr:nvSpPr>
        <xdr:cNvPr id="29" name="Freccia curva 66">
          <a:extLst>
            <a:ext uri="{FF2B5EF4-FFF2-40B4-BE49-F238E27FC236}">
              <a16:creationId xmlns:a16="http://schemas.microsoft.com/office/drawing/2014/main" id="{00000000-0008-0000-0D00-00001D000000}"/>
            </a:ext>
          </a:extLst>
        </xdr:cNvPr>
        <xdr:cNvSpPr/>
      </xdr:nvSpPr>
      <xdr:spPr>
        <a:xfrm rot="16200000" flipH="1">
          <a:off x="6240993" y="143166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41</xdr:row>
      <xdr:rowOff>136072</xdr:rowOff>
    </xdr:from>
    <xdr:to>
      <xdr:col>115</xdr:col>
      <xdr:colOff>55717</xdr:colOff>
      <xdr:row>43</xdr:row>
      <xdr:rowOff>82778</xdr:rowOff>
    </xdr:to>
    <xdr:sp macro="" textlink="">
      <xdr:nvSpPr>
        <xdr:cNvPr id="30" name="Freccia curva 66">
          <a:extLst>
            <a:ext uri="{FF2B5EF4-FFF2-40B4-BE49-F238E27FC236}">
              <a16:creationId xmlns:a16="http://schemas.microsoft.com/office/drawing/2014/main" id="{00000000-0008-0000-0D00-00001E000000}"/>
            </a:ext>
          </a:extLst>
        </xdr:cNvPr>
        <xdr:cNvSpPr/>
      </xdr:nvSpPr>
      <xdr:spPr>
        <a:xfrm rot="16200000" flipH="1">
          <a:off x="6240993" y="143166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94989</xdr:colOff>
      <xdr:row>44</xdr:row>
      <xdr:rowOff>82275</xdr:rowOff>
    </xdr:from>
    <xdr:to>
      <xdr:col>115</xdr:col>
      <xdr:colOff>56903</xdr:colOff>
      <xdr:row>46</xdr:row>
      <xdr:rowOff>91535</xdr:rowOff>
    </xdr:to>
    <xdr:sp macro="" textlink="">
      <xdr:nvSpPr>
        <xdr:cNvPr id="31" name="Freccia a inversione 13">
          <a:extLst>
            <a:ext uri="{FF2B5EF4-FFF2-40B4-BE49-F238E27FC236}">
              <a16:creationId xmlns:a16="http://schemas.microsoft.com/office/drawing/2014/main" id="{00000000-0008-0000-0D00-00001F000000}"/>
            </a:ext>
          </a:extLst>
        </xdr:cNvPr>
        <xdr:cNvSpPr/>
      </xdr:nvSpPr>
      <xdr:spPr>
        <a:xfrm rot="5400000" flipV="1">
          <a:off x="6200654" y="146553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97574</xdr:colOff>
      <xdr:row>39</xdr:row>
      <xdr:rowOff>4645</xdr:rowOff>
    </xdr:from>
    <xdr:to>
      <xdr:col>115</xdr:col>
      <xdr:colOff>43694</xdr:colOff>
      <xdr:row>40</xdr:row>
      <xdr:rowOff>8166</xdr:rowOff>
    </xdr:to>
    <xdr:sp macro="" textlink="">
      <xdr:nvSpPr>
        <xdr:cNvPr id="32" name="Freccia in giù 9">
          <a:extLst>
            <a:ext uri="{FF2B5EF4-FFF2-40B4-BE49-F238E27FC236}">
              <a16:creationId xmlns:a16="http://schemas.microsoft.com/office/drawing/2014/main" id="{00000000-0008-0000-0D00-000020000000}"/>
            </a:ext>
          </a:extLst>
        </xdr:cNvPr>
        <xdr:cNvSpPr/>
      </xdr:nvSpPr>
      <xdr:spPr>
        <a:xfrm rot="5400000">
          <a:off x="6260124" y="139017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107674</xdr:colOff>
      <xdr:row>35</xdr:row>
      <xdr:rowOff>57978</xdr:rowOff>
    </xdr:from>
    <xdr:to>
      <xdr:col>115</xdr:col>
      <xdr:colOff>7038</xdr:colOff>
      <xdr:row>37</xdr:row>
      <xdr:rowOff>90910</xdr:rowOff>
    </xdr:to>
    <xdr:sp macro="" textlink="">
      <xdr:nvSpPr>
        <xdr:cNvPr id="33" name="Freccia curva 7">
          <a:extLst>
            <a:ext uri="{FF2B5EF4-FFF2-40B4-BE49-F238E27FC236}">
              <a16:creationId xmlns:a16="http://schemas.microsoft.com/office/drawing/2014/main" id="{00000000-0008-0000-0D00-000021000000}"/>
            </a:ext>
          </a:extLst>
        </xdr:cNvPr>
        <xdr:cNvSpPr/>
      </xdr:nvSpPr>
      <xdr:spPr>
        <a:xfrm rot="16200000">
          <a:off x="6170228" y="135597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85</xdr:col>
      <xdr:colOff>13549</xdr:colOff>
      <xdr:row>16</xdr:row>
      <xdr:rowOff>27872</xdr:rowOff>
    </xdr:from>
    <xdr:ext cx="963800" cy="311715"/>
    <xdr:sp macro="" textlink="">
      <xdr:nvSpPr>
        <xdr:cNvPr id="34" name="Rectangle 33">
          <a:extLst>
            <a:ext uri="{FF2B5EF4-FFF2-40B4-BE49-F238E27FC236}">
              <a16:creationId xmlns:a16="http://schemas.microsoft.com/office/drawing/2014/main" id="{00000000-0008-0000-0D00-000022000000}"/>
            </a:ext>
          </a:extLst>
        </xdr:cNvPr>
        <xdr:cNvSpPr/>
      </xdr:nvSpPr>
      <xdr:spPr>
        <a:xfrm>
          <a:off x="2775799" y="112102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99</xdr:col>
      <xdr:colOff>12720</xdr:colOff>
      <xdr:row>38</xdr:row>
      <xdr:rowOff>27872</xdr:rowOff>
    </xdr:from>
    <xdr:ext cx="963800" cy="311715"/>
    <xdr:sp macro="" textlink="">
      <xdr:nvSpPr>
        <xdr:cNvPr id="35" name="Rectangle 34">
          <a:extLst>
            <a:ext uri="{FF2B5EF4-FFF2-40B4-BE49-F238E27FC236}">
              <a16:creationId xmlns:a16="http://schemas.microsoft.com/office/drawing/2014/main" id="{00000000-0008-0000-0D00-000023000000}"/>
            </a:ext>
          </a:extLst>
        </xdr:cNvPr>
        <xdr:cNvSpPr/>
      </xdr:nvSpPr>
      <xdr:spPr>
        <a:xfrm>
          <a:off x="4508520" y="139343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86</xdr:col>
      <xdr:colOff>101397</xdr:colOff>
      <xdr:row>6</xdr:row>
      <xdr:rowOff>51932</xdr:rowOff>
    </xdr:from>
    <xdr:to>
      <xdr:col>87</xdr:col>
      <xdr:colOff>114211</xdr:colOff>
      <xdr:row>8</xdr:row>
      <xdr:rowOff>95625</xdr:rowOff>
    </xdr:to>
    <xdr:sp macro="" textlink="">
      <xdr:nvSpPr>
        <xdr:cNvPr id="36" name="Freccia in giù 9">
          <a:extLst>
            <a:ext uri="{FF2B5EF4-FFF2-40B4-BE49-F238E27FC236}">
              <a16:creationId xmlns:a16="http://schemas.microsoft.com/office/drawing/2014/main" id="{00000000-0008-0000-0D00-000024000000}"/>
            </a:ext>
          </a:extLst>
        </xdr:cNvPr>
        <xdr:cNvSpPr/>
      </xdr:nvSpPr>
      <xdr:spPr>
        <a:xfrm>
          <a:off x="2949372" y="995793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96216</xdr:colOff>
      <xdr:row>69</xdr:row>
      <xdr:rowOff>91783</xdr:rowOff>
    </xdr:from>
    <xdr:to>
      <xdr:col>98</xdr:col>
      <xdr:colOff>109029</xdr:colOff>
      <xdr:row>72</xdr:row>
      <xdr:rowOff>10025</xdr:rowOff>
    </xdr:to>
    <xdr:sp macro="" textlink="">
      <xdr:nvSpPr>
        <xdr:cNvPr id="37" name="Freccia in giù 9">
          <a:extLst>
            <a:ext uri="{FF2B5EF4-FFF2-40B4-BE49-F238E27FC236}">
              <a16:creationId xmlns:a16="http://schemas.microsoft.com/office/drawing/2014/main" id="{00000000-0008-0000-0D00-000025000000}"/>
            </a:ext>
          </a:extLst>
        </xdr:cNvPr>
        <xdr:cNvSpPr/>
      </xdr:nvSpPr>
      <xdr:spPr>
        <a:xfrm rot="10800000">
          <a:off x="4306266" y="177987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55058</xdr:colOff>
      <xdr:row>56</xdr:row>
      <xdr:rowOff>67264</xdr:rowOff>
    </xdr:from>
    <xdr:to>
      <xdr:col>90</xdr:col>
      <xdr:colOff>84922</xdr:colOff>
      <xdr:row>58</xdr:row>
      <xdr:rowOff>123518</xdr:rowOff>
    </xdr:to>
    <xdr:sp macro="" textlink="">
      <xdr:nvSpPr>
        <xdr:cNvPr id="38" name="Freccia a inversione 13">
          <a:extLst>
            <a:ext uri="{FF2B5EF4-FFF2-40B4-BE49-F238E27FC236}">
              <a16:creationId xmlns:a16="http://schemas.microsoft.com/office/drawing/2014/main" id="{00000000-0008-0000-0D00-000026000000}"/>
            </a:ext>
          </a:extLst>
        </xdr:cNvPr>
        <xdr:cNvSpPr/>
      </xdr:nvSpPr>
      <xdr:spPr>
        <a:xfrm flipV="1">
          <a:off x="3150683" y="161645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46691</xdr:colOff>
      <xdr:row>19</xdr:row>
      <xdr:rowOff>118493</xdr:rowOff>
    </xdr:from>
    <xdr:to>
      <xdr:col>97</xdr:col>
      <xdr:colOff>74536</xdr:colOff>
      <xdr:row>22</xdr:row>
      <xdr:rowOff>52529</xdr:rowOff>
    </xdr:to>
    <xdr:sp macro="" textlink="">
      <xdr:nvSpPr>
        <xdr:cNvPr id="39" name="Freccia a inversione 13">
          <a:extLst>
            <a:ext uri="{FF2B5EF4-FFF2-40B4-BE49-F238E27FC236}">
              <a16:creationId xmlns:a16="http://schemas.microsoft.com/office/drawing/2014/main" id="{00000000-0008-0000-0D00-000027000000}"/>
            </a:ext>
          </a:extLst>
        </xdr:cNvPr>
        <xdr:cNvSpPr/>
      </xdr:nvSpPr>
      <xdr:spPr>
        <a:xfrm rot="10800000" flipV="1">
          <a:off x="4009091" y="116342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79</xdr:col>
      <xdr:colOff>22245</xdr:colOff>
      <xdr:row>35</xdr:row>
      <xdr:rowOff>37397</xdr:rowOff>
    </xdr:from>
    <xdr:ext cx="963800" cy="311715"/>
    <xdr:sp macro="" textlink="">
      <xdr:nvSpPr>
        <xdr:cNvPr id="40" name="Rectangle 39">
          <a:extLst>
            <a:ext uri="{FF2B5EF4-FFF2-40B4-BE49-F238E27FC236}">
              <a16:creationId xmlns:a16="http://schemas.microsoft.com/office/drawing/2014/main" id="{00000000-0008-0000-0D00-000028000000}"/>
            </a:ext>
          </a:extLst>
        </xdr:cNvPr>
        <xdr:cNvSpPr/>
      </xdr:nvSpPr>
      <xdr:spPr>
        <a:xfrm>
          <a:off x="2041545" y="135724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28577</xdr:colOff>
      <xdr:row>32</xdr:row>
      <xdr:rowOff>9526</xdr:rowOff>
    </xdr:from>
    <xdr:to>
      <xdr:col>96</xdr:col>
      <xdr:colOff>95250</xdr:colOff>
      <xdr:row>46</xdr:row>
      <xdr:rowOff>85728</xdr:rowOff>
    </xdr:to>
    <xdr:cxnSp macro="">
      <xdr:nvCxnSpPr>
        <xdr:cNvPr id="41" name="Straight Connector 40">
          <a:extLst>
            <a:ext uri="{FF2B5EF4-FFF2-40B4-BE49-F238E27FC236}">
              <a16:creationId xmlns:a16="http://schemas.microsoft.com/office/drawing/2014/main" id="{00000000-0008-0000-0D00-000029000000}"/>
            </a:ext>
          </a:extLst>
        </xdr:cNvPr>
        <xdr:cNvCxnSpPr/>
      </xdr:nvCxnSpPr>
      <xdr:spPr>
        <a:xfrm rot="16200000" flipV="1">
          <a:off x="2809875" y="13573128"/>
          <a:ext cx="1809752" cy="933448"/>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85725</xdr:colOff>
      <xdr:row>68</xdr:row>
      <xdr:rowOff>9525</xdr:rowOff>
    </xdr:from>
    <xdr:to>
      <xdr:col>122</xdr:col>
      <xdr:colOff>28574</xdr:colOff>
      <xdr:row>71</xdr:row>
      <xdr:rowOff>114300</xdr:rowOff>
    </xdr:to>
    <xdr:sp macro="" textlink="">
      <xdr:nvSpPr>
        <xdr:cNvPr id="43" name="Right Arrow 42">
          <a:hlinkClick xmlns:r="http://schemas.openxmlformats.org/officeDocument/2006/relationships" r:id="rId2"/>
          <a:extLst>
            <a:ext uri="{FF2B5EF4-FFF2-40B4-BE49-F238E27FC236}">
              <a16:creationId xmlns:a16="http://schemas.microsoft.com/office/drawing/2014/main" id="{00000000-0008-0000-0D00-00002B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49830</xdr:colOff>
      <xdr:row>23</xdr:row>
      <xdr:rowOff>3413</xdr:rowOff>
    </xdr:from>
    <xdr:to>
      <xdr:col>77</xdr:col>
      <xdr:colOff>57154</xdr:colOff>
      <xdr:row>44</xdr:row>
      <xdr:rowOff>104776</xdr:rowOff>
    </xdr:to>
    <xdr:pic>
      <xdr:nvPicPr>
        <xdr:cNvPr id="56" name="Picture 55" descr="Superstreet-Model.jp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 cstate="print"/>
        <a:stretch>
          <a:fillRect/>
        </a:stretch>
      </xdr:blipFill>
      <xdr:spPr>
        <a:xfrm rot="5400000" flipH="1" flipV="1">
          <a:off x="3560398" y="-382955"/>
          <a:ext cx="2701688" cy="9170374"/>
        </a:xfrm>
        <a:prstGeom prst="rect">
          <a:avLst/>
        </a:prstGeom>
      </xdr:spPr>
    </xdr:pic>
    <xdr:clientData/>
  </xdr:twoCellAnchor>
  <xdr:oneCellAnchor>
    <xdr:from>
      <xdr:col>57</xdr:col>
      <xdr:colOff>115425</xdr:colOff>
      <xdr:row>45</xdr:row>
      <xdr:rowOff>13667</xdr:rowOff>
    </xdr:from>
    <xdr:ext cx="1106259" cy="353668"/>
    <xdr:sp macro="" textlink="">
      <xdr:nvSpPr>
        <xdr:cNvPr id="16" name="Rectangle 15">
          <a:extLst>
            <a:ext uri="{FF2B5EF4-FFF2-40B4-BE49-F238E27FC236}">
              <a16:creationId xmlns:a16="http://schemas.microsoft.com/office/drawing/2014/main" id="{00000000-0008-0000-0E00-000010000000}"/>
            </a:ext>
          </a:extLst>
        </xdr:cNvPr>
        <xdr:cNvSpPr/>
      </xdr:nvSpPr>
      <xdr:spPr>
        <a:xfrm>
          <a:off x="7078200" y="5585792"/>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15</xdr:col>
      <xdr:colOff>9525</xdr:colOff>
      <xdr:row>12</xdr:row>
      <xdr:rowOff>122583</xdr:rowOff>
    </xdr:from>
    <xdr:ext cx="1106259" cy="353668"/>
    <xdr:sp macro="" textlink="">
      <xdr:nvSpPr>
        <xdr:cNvPr id="17" name="Rectangle 16">
          <a:extLst>
            <a:ext uri="{FF2B5EF4-FFF2-40B4-BE49-F238E27FC236}">
              <a16:creationId xmlns:a16="http://schemas.microsoft.com/office/drawing/2014/main" id="{00000000-0008-0000-0E00-000011000000}"/>
            </a:ext>
          </a:extLst>
        </xdr:cNvPr>
        <xdr:cNvSpPr/>
      </xdr:nvSpPr>
      <xdr:spPr>
        <a:xfrm>
          <a:off x="1743075" y="1732308"/>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57</xdr:col>
      <xdr:colOff>114300</xdr:colOff>
      <xdr:row>13</xdr:row>
      <xdr:rowOff>47625</xdr:rowOff>
    </xdr:from>
    <xdr:ext cx="1106259" cy="353668"/>
    <xdr:sp macro="" textlink="">
      <xdr:nvSpPr>
        <xdr:cNvPr id="18" name="Rectangle 17">
          <a:extLst>
            <a:ext uri="{FF2B5EF4-FFF2-40B4-BE49-F238E27FC236}">
              <a16:creationId xmlns:a16="http://schemas.microsoft.com/office/drawing/2014/main" id="{00000000-0008-0000-0E00-000012000000}"/>
            </a:ext>
          </a:extLst>
        </xdr:cNvPr>
        <xdr:cNvSpPr/>
      </xdr:nvSpPr>
      <xdr:spPr>
        <a:xfrm>
          <a:off x="7077075" y="1781175"/>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12</xdr:col>
      <xdr:colOff>104775</xdr:colOff>
      <xdr:row>45</xdr:row>
      <xdr:rowOff>55908</xdr:rowOff>
    </xdr:from>
    <xdr:ext cx="1106259" cy="353668"/>
    <xdr:sp macro="" textlink="">
      <xdr:nvSpPr>
        <xdr:cNvPr id="19" name="Rectangle 18">
          <a:extLst>
            <a:ext uri="{FF2B5EF4-FFF2-40B4-BE49-F238E27FC236}">
              <a16:creationId xmlns:a16="http://schemas.microsoft.com/office/drawing/2014/main" id="{00000000-0008-0000-0E00-000013000000}"/>
            </a:ext>
          </a:extLst>
        </xdr:cNvPr>
        <xdr:cNvSpPr/>
      </xdr:nvSpPr>
      <xdr:spPr>
        <a:xfrm>
          <a:off x="1466850" y="5751858"/>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24</xdr:col>
      <xdr:colOff>1</xdr:colOff>
      <xdr:row>21</xdr:row>
      <xdr:rowOff>114301</xdr:rowOff>
    </xdr:from>
    <xdr:to>
      <xdr:col>34</xdr:col>
      <xdr:colOff>111820</xdr:colOff>
      <xdr:row>30</xdr:row>
      <xdr:rowOff>69577</xdr:rowOff>
    </xdr:to>
    <xdr:cxnSp macro="">
      <xdr:nvCxnSpPr>
        <xdr:cNvPr id="20" name="Straight Connector 19">
          <a:extLst>
            <a:ext uri="{FF2B5EF4-FFF2-40B4-BE49-F238E27FC236}">
              <a16:creationId xmlns:a16="http://schemas.microsoft.com/office/drawing/2014/main" id="{00000000-0008-0000-0E00-000014000000}"/>
            </a:ext>
          </a:extLst>
        </xdr:cNvPr>
        <xdr:cNvCxnSpPr/>
      </xdr:nvCxnSpPr>
      <xdr:spPr>
        <a:xfrm rot="10800000">
          <a:off x="2876551" y="2714626"/>
          <a:ext cx="1350069" cy="1069701"/>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79098</xdr:colOff>
      <xdr:row>30</xdr:row>
      <xdr:rowOff>70815</xdr:rowOff>
    </xdr:from>
    <xdr:to>
      <xdr:col>36</xdr:col>
      <xdr:colOff>5733</xdr:colOff>
      <xdr:row>32</xdr:row>
      <xdr:rowOff>4777</xdr:rowOff>
    </xdr:to>
    <xdr:sp macro="" textlink="">
      <xdr:nvSpPr>
        <xdr:cNvPr id="21" name="Oval 20">
          <a:extLst>
            <a:ext uri="{FF2B5EF4-FFF2-40B4-BE49-F238E27FC236}">
              <a16:creationId xmlns:a16="http://schemas.microsoft.com/office/drawing/2014/main" id="{00000000-0008-0000-0E00-000015000000}"/>
            </a:ext>
          </a:extLst>
        </xdr:cNvPr>
        <xdr:cNvSpPr/>
      </xdr:nvSpPr>
      <xdr:spPr>
        <a:xfrm>
          <a:off x="4193898" y="3785565"/>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67</xdr:col>
      <xdr:colOff>0</xdr:colOff>
      <xdr:row>21</xdr:row>
      <xdr:rowOff>95250</xdr:rowOff>
    </xdr:from>
    <xdr:to>
      <xdr:col>73</xdr:col>
      <xdr:colOff>45462</xdr:colOff>
      <xdr:row>30</xdr:row>
      <xdr:rowOff>84159</xdr:rowOff>
    </xdr:to>
    <xdr:cxnSp macro="">
      <xdr:nvCxnSpPr>
        <xdr:cNvPr id="22" name="Straight Connector 21">
          <a:extLst>
            <a:ext uri="{FF2B5EF4-FFF2-40B4-BE49-F238E27FC236}">
              <a16:creationId xmlns:a16="http://schemas.microsoft.com/office/drawing/2014/main" id="{00000000-0008-0000-0E00-000016000000}"/>
            </a:ext>
          </a:extLst>
        </xdr:cNvPr>
        <xdr:cNvCxnSpPr>
          <a:stCxn id="23" idx="1"/>
        </xdr:cNvCxnSpPr>
      </xdr:nvCxnSpPr>
      <xdr:spPr>
        <a:xfrm rot="16200000" flipV="1">
          <a:off x="8043564" y="2853036"/>
          <a:ext cx="1103334" cy="78841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73</xdr:col>
      <xdr:colOff>19878</xdr:colOff>
      <xdr:row>30</xdr:row>
      <xdr:rowOff>57563</xdr:rowOff>
    </xdr:from>
    <xdr:to>
      <xdr:col>74</xdr:col>
      <xdr:colOff>70752</xdr:colOff>
      <xdr:row>31</xdr:row>
      <xdr:rowOff>115350</xdr:rowOff>
    </xdr:to>
    <xdr:sp macro="" textlink="">
      <xdr:nvSpPr>
        <xdr:cNvPr id="23" name="Oval 22">
          <a:extLst>
            <a:ext uri="{FF2B5EF4-FFF2-40B4-BE49-F238E27FC236}">
              <a16:creationId xmlns:a16="http://schemas.microsoft.com/office/drawing/2014/main" id="{00000000-0008-0000-0E00-000017000000}"/>
            </a:ext>
          </a:extLst>
        </xdr:cNvPr>
        <xdr:cNvSpPr/>
      </xdr:nvSpPr>
      <xdr:spPr>
        <a:xfrm>
          <a:off x="8963853" y="3772313"/>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45</xdr:col>
      <xdr:colOff>108944</xdr:colOff>
      <xdr:row>37</xdr:row>
      <xdr:rowOff>40240</xdr:rowOff>
    </xdr:from>
    <xdr:to>
      <xdr:col>57</xdr:col>
      <xdr:colOff>114300</xdr:colOff>
      <xdr:row>48</xdr:row>
      <xdr:rowOff>9525</xdr:rowOff>
    </xdr:to>
    <xdr:cxnSp macro="">
      <xdr:nvCxnSpPr>
        <xdr:cNvPr id="24" name="Straight Connector 23">
          <a:extLst>
            <a:ext uri="{FF2B5EF4-FFF2-40B4-BE49-F238E27FC236}">
              <a16:creationId xmlns:a16="http://schemas.microsoft.com/office/drawing/2014/main" id="{00000000-0008-0000-0E00-000018000000}"/>
            </a:ext>
          </a:extLst>
        </xdr:cNvPr>
        <xdr:cNvCxnSpPr>
          <a:stCxn id="25" idx="5"/>
        </xdr:cNvCxnSpPr>
      </xdr:nvCxnSpPr>
      <xdr:spPr>
        <a:xfrm rot="16200000" flipH="1">
          <a:off x="5665767" y="4541817"/>
          <a:ext cx="1331360" cy="149125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44</xdr:col>
      <xdr:colOff>83654</xdr:colOff>
      <xdr:row>36</xdr:row>
      <xdr:rowOff>8696</xdr:rowOff>
    </xdr:from>
    <xdr:to>
      <xdr:col>46</xdr:col>
      <xdr:colOff>10703</xdr:colOff>
      <xdr:row>37</xdr:row>
      <xdr:rowOff>66897</xdr:rowOff>
    </xdr:to>
    <xdr:sp macro="" textlink="">
      <xdr:nvSpPr>
        <xdr:cNvPr id="25" name="Oval 24">
          <a:extLst>
            <a:ext uri="{FF2B5EF4-FFF2-40B4-BE49-F238E27FC236}">
              <a16:creationId xmlns:a16="http://schemas.microsoft.com/office/drawing/2014/main" id="{00000000-0008-0000-0E00-000019000000}"/>
            </a:ext>
          </a:extLst>
        </xdr:cNvPr>
        <xdr:cNvSpPr/>
      </xdr:nvSpPr>
      <xdr:spPr>
        <a:xfrm>
          <a:off x="5436704" y="4466396"/>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37653</xdr:colOff>
      <xdr:row>37</xdr:row>
      <xdr:rowOff>75180</xdr:rowOff>
    </xdr:from>
    <xdr:to>
      <xdr:col>12</xdr:col>
      <xdr:colOff>85728</xdr:colOff>
      <xdr:row>47</xdr:row>
      <xdr:rowOff>114302</xdr:rowOff>
    </xdr:to>
    <xdr:cxnSp macro="">
      <xdr:nvCxnSpPr>
        <xdr:cNvPr id="26" name="Straight Connector 25">
          <a:extLst>
            <a:ext uri="{FF2B5EF4-FFF2-40B4-BE49-F238E27FC236}">
              <a16:creationId xmlns:a16="http://schemas.microsoft.com/office/drawing/2014/main" id="{00000000-0008-0000-0E00-00001A000000}"/>
            </a:ext>
          </a:extLst>
        </xdr:cNvPr>
        <xdr:cNvCxnSpPr>
          <a:stCxn id="27" idx="4"/>
        </xdr:cNvCxnSpPr>
      </xdr:nvCxnSpPr>
      <xdr:spPr>
        <a:xfrm rot="16200000" flipH="1">
          <a:off x="442180" y="4899878"/>
          <a:ext cx="1277372" cy="79102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74129</xdr:colOff>
      <xdr:row>36</xdr:row>
      <xdr:rowOff>16979</xdr:rowOff>
    </xdr:from>
    <xdr:to>
      <xdr:col>7</xdr:col>
      <xdr:colOff>1178</xdr:colOff>
      <xdr:row>37</xdr:row>
      <xdr:rowOff>75180</xdr:rowOff>
    </xdr:to>
    <xdr:sp macro="" textlink="">
      <xdr:nvSpPr>
        <xdr:cNvPr id="27" name="Oval 26">
          <a:extLst>
            <a:ext uri="{FF2B5EF4-FFF2-40B4-BE49-F238E27FC236}">
              <a16:creationId xmlns:a16="http://schemas.microsoft.com/office/drawing/2014/main" id="{00000000-0008-0000-0E00-00001B000000}"/>
            </a:ext>
          </a:extLst>
        </xdr:cNvPr>
        <xdr:cNvSpPr/>
      </xdr:nvSpPr>
      <xdr:spPr>
        <a:xfrm>
          <a:off x="598004" y="4474679"/>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44</xdr:col>
      <xdr:colOff>53688</xdr:colOff>
      <xdr:row>63</xdr:row>
      <xdr:rowOff>62470</xdr:rowOff>
    </xdr:from>
    <xdr:to>
      <xdr:col>46</xdr:col>
      <xdr:colOff>77017</xdr:colOff>
      <xdr:row>65</xdr:row>
      <xdr:rowOff>109538</xdr:rowOff>
    </xdr:to>
    <xdr:sp macro="" textlink="">
      <xdr:nvSpPr>
        <xdr:cNvPr id="28" name="Freccia curva 8">
          <a:extLst>
            <a:ext uri="{FF2B5EF4-FFF2-40B4-BE49-F238E27FC236}">
              <a16:creationId xmlns:a16="http://schemas.microsoft.com/office/drawing/2014/main" id="{00000000-0008-0000-0E00-00001C000000}"/>
            </a:ext>
          </a:extLst>
        </xdr:cNvPr>
        <xdr:cNvSpPr/>
      </xdr:nvSpPr>
      <xdr:spPr>
        <a:xfrm rot="10800000" flipH="1">
          <a:off x="5378163" y="78634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47</xdr:col>
      <xdr:colOff>55058</xdr:colOff>
      <xdr:row>63</xdr:row>
      <xdr:rowOff>67264</xdr:rowOff>
    </xdr:from>
    <xdr:to>
      <xdr:col>49</xdr:col>
      <xdr:colOff>84922</xdr:colOff>
      <xdr:row>65</xdr:row>
      <xdr:rowOff>123518</xdr:rowOff>
    </xdr:to>
    <xdr:sp macro="" textlink="">
      <xdr:nvSpPr>
        <xdr:cNvPr id="29" name="Freccia a inversione 13">
          <a:extLst>
            <a:ext uri="{FF2B5EF4-FFF2-40B4-BE49-F238E27FC236}">
              <a16:creationId xmlns:a16="http://schemas.microsoft.com/office/drawing/2014/main" id="{00000000-0008-0000-0E00-00001D000000}"/>
            </a:ext>
          </a:extLst>
        </xdr:cNvPr>
        <xdr:cNvSpPr/>
      </xdr:nvSpPr>
      <xdr:spPr>
        <a:xfrm flipV="1">
          <a:off x="5751008" y="78682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41</xdr:col>
      <xdr:colOff>101397</xdr:colOff>
      <xdr:row>63</xdr:row>
      <xdr:rowOff>51932</xdr:rowOff>
    </xdr:from>
    <xdr:to>
      <xdr:col>42</xdr:col>
      <xdr:colOff>114211</xdr:colOff>
      <xdr:row>65</xdr:row>
      <xdr:rowOff>95625</xdr:rowOff>
    </xdr:to>
    <xdr:sp macro="" textlink="">
      <xdr:nvSpPr>
        <xdr:cNvPr id="30" name="Freccia in giù 9">
          <a:extLst>
            <a:ext uri="{FF2B5EF4-FFF2-40B4-BE49-F238E27FC236}">
              <a16:creationId xmlns:a16="http://schemas.microsoft.com/office/drawing/2014/main" id="{00000000-0008-0000-0E00-00001E000000}"/>
            </a:ext>
          </a:extLst>
        </xdr:cNvPr>
        <xdr:cNvSpPr/>
      </xdr:nvSpPr>
      <xdr:spPr>
        <a:xfrm>
          <a:off x="5054397" y="78529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32507</xdr:colOff>
      <xdr:row>63</xdr:row>
      <xdr:rowOff>111530</xdr:rowOff>
    </xdr:from>
    <xdr:to>
      <xdr:col>40</xdr:col>
      <xdr:colOff>65439</xdr:colOff>
      <xdr:row>66</xdr:row>
      <xdr:rowOff>9683</xdr:rowOff>
    </xdr:to>
    <xdr:sp macro="" textlink="">
      <xdr:nvSpPr>
        <xdr:cNvPr id="31" name="Freccia curva 7">
          <a:extLst>
            <a:ext uri="{FF2B5EF4-FFF2-40B4-BE49-F238E27FC236}">
              <a16:creationId xmlns:a16="http://schemas.microsoft.com/office/drawing/2014/main" id="{00000000-0008-0000-0E00-00001F000000}"/>
            </a:ext>
          </a:extLst>
        </xdr:cNvPr>
        <xdr:cNvSpPr/>
      </xdr:nvSpPr>
      <xdr:spPr>
        <a:xfrm rot="10800000">
          <a:off x="4614032" y="79125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37</xdr:col>
      <xdr:colOff>96216</xdr:colOff>
      <xdr:row>105</xdr:row>
      <xdr:rowOff>91783</xdr:rowOff>
    </xdr:from>
    <xdr:to>
      <xdr:col>38</xdr:col>
      <xdr:colOff>109029</xdr:colOff>
      <xdr:row>108</xdr:row>
      <xdr:rowOff>10025</xdr:rowOff>
    </xdr:to>
    <xdr:sp macro="" textlink="">
      <xdr:nvSpPr>
        <xdr:cNvPr id="32" name="Freccia in giù 9">
          <a:extLst>
            <a:ext uri="{FF2B5EF4-FFF2-40B4-BE49-F238E27FC236}">
              <a16:creationId xmlns:a16="http://schemas.microsoft.com/office/drawing/2014/main" id="{00000000-0008-0000-0E00-000020000000}"/>
            </a:ext>
          </a:extLst>
        </xdr:cNvPr>
        <xdr:cNvSpPr/>
      </xdr:nvSpPr>
      <xdr:spPr>
        <a:xfrm rot="10800000">
          <a:off x="4553916" y="130934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31</xdr:col>
      <xdr:colOff>46691</xdr:colOff>
      <xdr:row>105</xdr:row>
      <xdr:rowOff>118493</xdr:rowOff>
    </xdr:from>
    <xdr:to>
      <xdr:col>33</xdr:col>
      <xdr:colOff>74536</xdr:colOff>
      <xdr:row>108</xdr:row>
      <xdr:rowOff>52529</xdr:rowOff>
    </xdr:to>
    <xdr:sp macro="" textlink="">
      <xdr:nvSpPr>
        <xdr:cNvPr id="33" name="Freccia a inversione 13">
          <a:extLst>
            <a:ext uri="{FF2B5EF4-FFF2-40B4-BE49-F238E27FC236}">
              <a16:creationId xmlns:a16="http://schemas.microsoft.com/office/drawing/2014/main" id="{00000000-0008-0000-0E00-000021000000}"/>
            </a:ext>
          </a:extLst>
        </xdr:cNvPr>
        <xdr:cNvSpPr/>
      </xdr:nvSpPr>
      <xdr:spPr>
        <a:xfrm rot="10800000" flipV="1">
          <a:off x="3761441" y="131201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34</xdr:col>
      <xdr:colOff>36089</xdr:colOff>
      <xdr:row>106</xdr:row>
      <xdr:rowOff>3514</xdr:rowOff>
    </xdr:from>
    <xdr:to>
      <xdr:col>36</xdr:col>
      <xdr:colOff>59418</xdr:colOff>
      <xdr:row>108</xdr:row>
      <xdr:rowOff>50582</xdr:rowOff>
    </xdr:to>
    <xdr:sp macro="" textlink="">
      <xdr:nvSpPr>
        <xdr:cNvPr id="34" name="Freccia curva 8">
          <a:extLst>
            <a:ext uri="{FF2B5EF4-FFF2-40B4-BE49-F238E27FC236}">
              <a16:creationId xmlns:a16="http://schemas.microsoft.com/office/drawing/2014/main" id="{00000000-0008-0000-0E00-000022000000}"/>
            </a:ext>
          </a:extLst>
        </xdr:cNvPr>
        <xdr:cNvSpPr/>
      </xdr:nvSpPr>
      <xdr:spPr>
        <a:xfrm flipH="1">
          <a:off x="4122314" y="131289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40</xdr:col>
      <xdr:colOff>41799</xdr:colOff>
      <xdr:row>106</xdr:row>
      <xdr:rowOff>18603</xdr:rowOff>
    </xdr:from>
    <xdr:to>
      <xdr:col>42</xdr:col>
      <xdr:colOff>74730</xdr:colOff>
      <xdr:row>108</xdr:row>
      <xdr:rowOff>42207</xdr:rowOff>
    </xdr:to>
    <xdr:sp macro="" textlink="">
      <xdr:nvSpPr>
        <xdr:cNvPr id="35" name="Freccia curva 7">
          <a:extLst>
            <a:ext uri="{FF2B5EF4-FFF2-40B4-BE49-F238E27FC236}">
              <a16:creationId xmlns:a16="http://schemas.microsoft.com/office/drawing/2014/main" id="{00000000-0008-0000-0E00-000023000000}"/>
            </a:ext>
          </a:extLst>
        </xdr:cNvPr>
        <xdr:cNvSpPr/>
      </xdr:nvSpPr>
      <xdr:spPr>
        <a:xfrm>
          <a:off x="4870974" y="131440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24</xdr:col>
      <xdr:colOff>66020</xdr:colOff>
      <xdr:row>84</xdr:row>
      <xdr:rowOff>58156</xdr:rowOff>
    </xdr:from>
    <xdr:to>
      <xdr:col>27</xdr:col>
      <xdr:colOff>24702</xdr:colOff>
      <xdr:row>86</xdr:row>
      <xdr:rowOff>69436</xdr:rowOff>
    </xdr:to>
    <xdr:sp macro="" textlink="">
      <xdr:nvSpPr>
        <xdr:cNvPr id="36" name="Freccia a inversione 13">
          <a:extLst>
            <a:ext uri="{FF2B5EF4-FFF2-40B4-BE49-F238E27FC236}">
              <a16:creationId xmlns:a16="http://schemas.microsoft.com/office/drawing/2014/main" id="{00000000-0008-0000-0E00-000024000000}"/>
            </a:ext>
          </a:extLst>
        </xdr:cNvPr>
        <xdr:cNvSpPr/>
      </xdr:nvSpPr>
      <xdr:spPr>
        <a:xfrm rot="16200000" flipV="1">
          <a:off x="2949609" y="104238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24</xdr:col>
      <xdr:colOff>51289</xdr:colOff>
      <xdr:row>87</xdr:row>
      <xdr:rowOff>58615</xdr:rowOff>
    </xdr:from>
    <xdr:to>
      <xdr:col>26</xdr:col>
      <xdr:colOff>116943</xdr:colOff>
      <xdr:row>89</xdr:row>
      <xdr:rowOff>63358</xdr:rowOff>
    </xdr:to>
    <xdr:sp macro="" textlink="">
      <xdr:nvSpPr>
        <xdr:cNvPr id="37" name="Freccia curva 8">
          <a:extLst>
            <a:ext uri="{FF2B5EF4-FFF2-40B4-BE49-F238E27FC236}">
              <a16:creationId xmlns:a16="http://schemas.microsoft.com/office/drawing/2014/main" id="{00000000-0008-0000-0E00-000025000000}"/>
            </a:ext>
          </a:extLst>
        </xdr:cNvPr>
        <xdr:cNvSpPr/>
      </xdr:nvSpPr>
      <xdr:spPr>
        <a:xfrm rot="5400000" flipH="1">
          <a:off x="2929719" y="108009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24</xdr:col>
      <xdr:colOff>73270</xdr:colOff>
      <xdr:row>93</xdr:row>
      <xdr:rowOff>80596</xdr:rowOff>
    </xdr:from>
    <xdr:to>
      <xdr:col>26</xdr:col>
      <xdr:colOff>134510</xdr:colOff>
      <xdr:row>95</xdr:row>
      <xdr:rowOff>94943</xdr:rowOff>
    </xdr:to>
    <xdr:sp macro="" textlink="">
      <xdr:nvSpPr>
        <xdr:cNvPr id="38" name="Freccia curva 7">
          <a:extLst>
            <a:ext uri="{FF2B5EF4-FFF2-40B4-BE49-F238E27FC236}">
              <a16:creationId xmlns:a16="http://schemas.microsoft.com/office/drawing/2014/main" id="{00000000-0008-0000-0E00-000026000000}"/>
            </a:ext>
          </a:extLst>
        </xdr:cNvPr>
        <xdr:cNvSpPr/>
      </xdr:nvSpPr>
      <xdr:spPr>
        <a:xfrm rot="5400000">
          <a:off x="2939929" y="115776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13</xdr:col>
      <xdr:colOff>108799</xdr:colOff>
      <xdr:row>87</xdr:row>
      <xdr:rowOff>27872</xdr:rowOff>
    </xdr:from>
    <xdr:ext cx="963800" cy="311715"/>
    <xdr:sp macro="" textlink="">
      <xdr:nvSpPr>
        <xdr:cNvPr id="39" name="Rectangle 38">
          <a:extLst>
            <a:ext uri="{FF2B5EF4-FFF2-40B4-BE49-F238E27FC236}">
              <a16:creationId xmlns:a16="http://schemas.microsoft.com/office/drawing/2014/main" id="{00000000-0008-0000-0E00-000027000000}"/>
            </a:ext>
          </a:extLst>
        </xdr:cNvPr>
        <xdr:cNvSpPr/>
      </xdr:nvSpPr>
      <xdr:spPr>
        <a:xfrm>
          <a:off x="1594699" y="108006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24</xdr:col>
      <xdr:colOff>58937</xdr:colOff>
      <xdr:row>91</xdr:row>
      <xdr:rowOff>6397</xdr:rowOff>
    </xdr:from>
    <xdr:to>
      <xdr:col>27</xdr:col>
      <xdr:colOff>5058</xdr:colOff>
      <xdr:row>92</xdr:row>
      <xdr:rowOff>9918</xdr:rowOff>
    </xdr:to>
    <xdr:sp macro="" textlink="">
      <xdr:nvSpPr>
        <xdr:cNvPr id="40" name="Freccia in giù 9">
          <a:extLst>
            <a:ext uri="{FF2B5EF4-FFF2-40B4-BE49-F238E27FC236}">
              <a16:creationId xmlns:a16="http://schemas.microsoft.com/office/drawing/2014/main" id="{00000000-0008-0000-0E00-000028000000}"/>
            </a:ext>
          </a:extLst>
        </xdr:cNvPr>
        <xdr:cNvSpPr/>
      </xdr:nvSpPr>
      <xdr:spPr>
        <a:xfrm rot="16200000">
          <a:off x="3002037" y="111793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97574</xdr:colOff>
      <xdr:row>80</xdr:row>
      <xdr:rowOff>4645</xdr:rowOff>
    </xdr:from>
    <xdr:to>
      <xdr:col>75</xdr:col>
      <xdr:colOff>43694</xdr:colOff>
      <xdr:row>81</xdr:row>
      <xdr:rowOff>8166</xdr:rowOff>
    </xdr:to>
    <xdr:sp macro="" textlink="">
      <xdr:nvSpPr>
        <xdr:cNvPr id="41" name="Freccia in giù 9">
          <a:extLst>
            <a:ext uri="{FF2B5EF4-FFF2-40B4-BE49-F238E27FC236}">
              <a16:creationId xmlns:a16="http://schemas.microsoft.com/office/drawing/2014/main" id="{00000000-0008-0000-0E00-000029000000}"/>
            </a:ext>
          </a:extLst>
        </xdr:cNvPr>
        <xdr:cNvSpPr/>
      </xdr:nvSpPr>
      <xdr:spPr>
        <a:xfrm rot="5400000">
          <a:off x="8984274" y="98155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54</xdr:col>
      <xdr:colOff>0</xdr:colOff>
      <xdr:row>82</xdr:row>
      <xdr:rowOff>136072</xdr:rowOff>
    </xdr:from>
    <xdr:to>
      <xdr:col>56</xdr:col>
      <xdr:colOff>55717</xdr:colOff>
      <xdr:row>84</xdr:row>
      <xdr:rowOff>82778</xdr:rowOff>
    </xdr:to>
    <xdr:sp macro="" textlink="">
      <xdr:nvSpPr>
        <xdr:cNvPr id="42" name="Freccia curva 66">
          <a:extLst>
            <a:ext uri="{FF2B5EF4-FFF2-40B4-BE49-F238E27FC236}">
              <a16:creationId xmlns:a16="http://schemas.microsoft.com/office/drawing/2014/main" id="{00000000-0008-0000-0E00-00002A000000}"/>
            </a:ext>
          </a:extLst>
        </xdr:cNvPr>
        <xdr:cNvSpPr/>
      </xdr:nvSpPr>
      <xdr:spPr>
        <a:xfrm rot="16200000" flipH="1">
          <a:off x="6612468" y="102304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54</xdr:col>
      <xdr:colOff>0</xdr:colOff>
      <xdr:row>82</xdr:row>
      <xdr:rowOff>136072</xdr:rowOff>
    </xdr:from>
    <xdr:to>
      <xdr:col>56</xdr:col>
      <xdr:colOff>55717</xdr:colOff>
      <xdr:row>84</xdr:row>
      <xdr:rowOff>82778</xdr:rowOff>
    </xdr:to>
    <xdr:sp macro="" textlink="">
      <xdr:nvSpPr>
        <xdr:cNvPr id="43" name="Freccia curva 66">
          <a:extLst>
            <a:ext uri="{FF2B5EF4-FFF2-40B4-BE49-F238E27FC236}">
              <a16:creationId xmlns:a16="http://schemas.microsoft.com/office/drawing/2014/main" id="{00000000-0008-0000-0E00-00002B000000}"/>
            </a:ext>
          </a:extLst>
        </xdr:cNvPr>
        <xdr:cNvSpPr/>
      </xdr:nvSpPr>
      <xdr:spPr>
        <a:xfrm rot="16200000" flipH="1">
          <a:off x="6612468" y="102304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54</xdr:col>
      <xdr:colOff>0</xdr:colOff>
      <xdr:row>82</xdr:row>
      <xdr:rowOff>136072</xdr:rowOff>
    </xdr:from>
    <xdr:to>
      <xdr:col>56</xdr:col>
      <xdr:colOff>55717</xdr:colOff>
      <xdr:row>84</xdr:row>
      <xdr:rowOff>82778</xdr:rowOff>
    </xdr:to>
    <xdr:sp macro="" textlink="">
      <xdr:nvSpPr>
        <xdr:cNvPr id="44" name="Freccia curva 66">
          <a:extLst>
            <a:ext uri="{FF2B5EF4-FFF2-40B4-BE49-F238E27FC236}">
              <a16:creationId xmlns:a16="http://schemas.microsoft.com/office/drawing/2014/main" id="{00000000-0008-0000-0E00-00002C000000}"/>
            </a:ext>
          </a:extLst>
        </xdr:cNvPr>
        <xdr:cNvSpPr/>
      </xdr:nvSpPr>
      <xdr:spPr>
        <a:xfrm rot="16200000" flipH="1">
          <a:off x="6612468" y="102304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54</xdr:col>
      <xdr:colOff>0</xdr:colOff>
      <xdr:row>82</xdr:row>
      <xdr:rowOff>136072</xdr:rowOff>
    </xdr:from>
    <xdr:to>
      <xdr:col>56</xdr:col>
      <xdr:colOff>55717</xdr:colOff>
      <xdr:row>84</xdr:row>
      <xdr:rowOff>82778</xdr:rowOff>
    </xdr:to>
    <xdr:sp macro="" textlink="">
      <xdr:nvSpPr>
        <xdr:cNvPr id="45" name="Freccia curva 66">
          <a:extLst>
            <a:ext uri="{FF2B5EF4-FFF2-40B4-BE49-F238E27FC236}">
              <a16:creationId xmlns:a16="http://schemas.microsoft.com/office/drawing/2014/main" id="{00000000-0008-0000-0E00-00002D000000}"/>
            </a:ext>
          </a:extLst>
        </xdr:cNvPr>
        <xdr:cNvSpPr/>
      </xdr:nvSpPr>
      <xdr:spPr>
        <a:xfrm rot="16200000" flipH="1">
          <a:off x="6612468" y="102304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53</xdr:col>
      <xdr:colOff>94989</xdr:colOff>
      <xdr:row>85</xdr:row>
      <xdr:rowOff>82275</xdr:rowOff>
    </xdr:from>
    <xdr:to>
      <xdr:col>56</xdr:col>
      <xdr:colOff>56903</xdr:colOff>
      <xdr:row>87</xdr:row>
      <xdr:rowOff>91535</xdr:rowOff>
    </xdr:to>
    <xdr:sp macro="" textlink="">
      <xdr:nvSpPr>
        <xdr:cNvPr id="46" name="Freccia a inversione 13">
          <a:extLst>
            <a:ext uri="{FF2B5EF4-FFF2-40B4-BE49-F238E27FC236}">
              <a16:creationId xmlns:a16="http://schemas.microsoft.com/office/drawing/2014/main" id="{00000000-0008-0000-0E00-00002E000000}"/>
            </a:ext>
          </a:extLst>
        </xdr:cNvPr>
        <xdr:cNvSpPr/>
      </xdr:nvSpPr>
      <xdr:spPr>
        <a:xfrm rot="5400000" flipV="1">
          <a:off x="6572129" y="105691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58937</xdr:colOff>
      <xdr:row>91</xdr:row>
      <xdr:rowOff>6397</xdr:rowOff>
    </xdr:from>
    <xdr:to>
      <xdr:col>8</xdr:col>
      <xdr:colOff>5058</xdr:colOff>
      <xdr:row>92</xdr:row>
      <xdr:rowOff>9918</xdr:rowOff>
    </xdr:to>
    <xdr:sp macro="" textlink="">
      <xdr:nvSpPr>
        <xdr:cNvPr id="47" name="Freccia in giù 9">
          <a:extLst>
            <a:ext uri="{FF2B5EF4-FFF2-40B4-BE49-F238E27FC236}">
              <a16:creationId xmlns:a16="http://schemas.microsoft.com/office/drawing/2014/main" id="{00000000-0008-0000-0E00-00002F000000}"/>
            </a:ext>
          </a:extLst>
        </xdr:cNvPr>
        <xdr:cNvSpPr/>
      </xdr:nvSpPr>
      <xdr:spPr>
        <a:xfrm rot="16200000">
          <a:off x="649362" y="111793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53</xdr:col>
      <xdr:colOff>97574</xdr:colOff>
      <xdr:row>80</xdr:row>
      <xdr:rowOff>4645</xdr:rowOff>
    </xdr:from>
    <xdr:to>
      <xdr:col>56</xdr:col>
      <xdr:colOff>43694</xdr:colOff>
      <xdr:row>81</xdr:row>
      <xdr:rowOff>8166</xdr:rowOff>
    </xdr:to>
    <xdr:sp macro="" textlink="">
      <xdr:nvSpPr>
        <xdr:cNvPr id="48" name="Freccia in giù 9">
          <a:extLst>
            <a:ext uri="{FF2B5EF4-FFF2-40B4-BE49-F238E27FC236}">
              <a16:creationId xmlns:a16="http://schemas.microsoft.com/office/drawing/2014/main" id="{00000000-0008-0000-0E00-000030000000}"/>
            </a:ext>
          </a:extLst>
        </xdr:cNvPr>
        <xdr:cNvSpPr/>
      </xdr:nvSpPr>
      <xdr:spPr>
        <a:xfrm rot="5400000">
          <a:off x="6631599" y="98155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54</xdr:col>
      <xdr:colOff>24849</xdr:colOff>
      <xdr:row>76</xdr:row>
      <xdr:rowOff>41413</xdr:rowOff>
    </xdr:from>
    <xdr:to>
      <xdr:col>56</xdr:col>
      <xdr:colOff>48452</xdr:colOff>
      <xdr:row>78</xdr:row>
      <xdr:rowOff>74345</xdr:rowOff>
    </xdr:to>
    <xdr:sp macro="" textlink="">
      <xdr:nvSpPr>
        <xdr:cNvPr id="49" name="Freccia curva 7">
          <a:extLst>
            <a:ext uri="{FF2B5EF4-FFF2-40B4-BE49-F238E27FC236}">
              <a16:creationId xmlns:a16="http://schemas.microsoft.com/office/drawing/2014/main" id="{00000000-0008-0000-0E00-000031000000}"/>
            </a:ext>
          </a:extLst>
        </xdr:cNvPr>
        <xdr:cNvSpPr/>
      </xdr:nvSpPr>
      <xdr:spPr>
        <a:xfrm rot="16200000">
          <a:off x="6582910" y="9456777"/>
          <a:ext cx="280582" cy="27125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58</xdr:col>
      <xdr:colOff>99274</xdr:colOff>
      <xdr:row>78</xdr:row>
      <xdr:rowOff>113597</xdr:rowOff>
    </xdr:from>
    <xdr:ext cx="963800" cy="311715"/>
    <xdr:sp macro="" textlink="">
      <xdr:nvSpPr>
        <xdr:cNvPr id="50" name="Rectangle 49">
          <a:extLst>
            <a:ext uri="{FF2B5EF4-FFF2-40B4-BE49-F238E27FC236}">
              <a16:creationId xmlns:a16="http://schemas.microsoft.com/office/drawing/2014/main" id="{00000000-0008-0000-0E00-000032000000}"/>
            </a:ext>
          </a:extLst>
        </xdr:cNvPr>
        <xdr:cNvSpPr/>
      </xdr:nvSpPr>
      <xdr:spPr>
        <a:xfrm>
          <a:off x="7157299" y="97719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17</xdr:col>
      <xdr:colOff>74544</xdr:colOff>
      <xdr:row>81</xdr:row>
      <xdr:rowOff>57979</xdr:rowOff>
    </xdr:from>
    <xdr:to>
      <xdr:col>20</xdr:col>
      <xdr:colOff>36458</xdr:colOff>
      <xdr:row>83</xdr:row>
      <xdr:rowOff>67239</xdr:rowOff>
    </xdr:to>
    <xdr:sp macro="" textlink="">
      <xdr:nvSpPr>
        <xdr:cNvPr id="51" name="Freccia a inversione 13">
          <a:extLst>
            <a:ext uri="{FF2B5EF4-FFF2-40B4-BE49-F238E27FC236}">
              <a16:creationId xmlns:a16="http://schemas.microsoft.com/office/drawing/2014/main" id="{00000000-0008-0000-0E00-000033000000}"/>
            </a:ext>
          </a:extLst>
        </xdr:cNvPr>
        <xdr:cNvSpPr/>
      </xdr:nvSpPr>
      <xdr:spPr>
        <a:xfrm rot="5400000" flipV="1">
          <a:off x="2093984" y="10049564"/>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40</xdr:col>
      <xdr:colOff>3195</xdr:colOff>
      <xdr:row>72</xdr:row>
      <xdr:rowOff>94547</xdr:rowOff>
    </xdr:from>
    <xdr:ext cx="963800" cy="311715"/>
    <xdr:sp macro="" textlink="">
      <xdr:nvSpPr>
        <xdr:cNvPr id="52" name="Rectangle 51">
          <a:extLst>
            <a:ext uri="{FF2B5EF4-FFF2-40B4-BE49-F238E27FC236}">
              <a16:creationId xmlns:a16="http://schemas.microsoft.com/office/drawing/2014/main" id="{00000000-0008-0000-0E00-000034000000}"/>
            </a:ext>
          </a:extLst>
        </xdr:cNvPr>
        <xdr:cNvSpPr/>
      </xdr:nvSpPr>
      <xdr:spPr>
        <a:xfrm>
          <a:off x="4832370" y="90099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60</xdr:col>
      <xdr:colOff>66261</xdr:colOff>
      <xdr:row>88</xdr:row>
      <xdr:rowOff>49696</xdr:rowOff>
    </xdr:from>
    <xdr:to>
      <xdr:col>63</xdr:col>
      <xdr:colOff>24942</xdr:colOff>
      <xdr:row>90</xdr:row>
      <xdr:rowOff>60976</xdr:rowOff>
    </xdr:to>
    <xdr:sp macro="" textlink="">
      <xdr:nvSpPr>
        <xdr:cNvPr id="53" name="Freccia a inversione 13">
          <a:extLst>
            <a:ext uri="{FF2B5EF4-FFF2-40B4-BE49-F238E27FC236}">
              <a16:creationId xmlns:a16="http://schemas.microsoft.com/office/drawing/2014/main" id="{00000000-0008-0000-0E00-000035000000}"/>
            </a:ext>
          </a:extLst>
        </xdr:cNvPr>
        <xdr:cNvSpPr/>
      </xdr:nvSpPr>
      <xdr:spPr>
        <a:xfrm rot="16200000" flipV="1">
          <a:off x="7407549" y="10910683"/>
          <a:ext cx="258930" cy="330156"/>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33</xdr:col>
      <xdr:colOff>3195</xdr:colOff>
      <xdr:row>92</xdr:row>
      <xdr:rowOff>94547</xdr:rowOff>
    </xdr:from>
    <xdr:ext cx="963800" cy="311715"/>
    <xdr:sp macro="" textlink="">
      <xdr:nvSpPr>
        <xdr:cNvPr id="54" name="Rectangle 53">
          <a:extLst>
            <a:ext uri="{FF2B5EF4-FFF2-40B4-BE49-F238E27FC236}">
              <a16:creationId xmlns:a16="http://schemas.microsoft.com/office/drawing/2014/main" id="{00000000-0008-0000-0E00-000036000000}"/>
            </a:ext>
          </a:extLst>
        </xdr:cNvPr>
        <xdr:cNvSpPr/>
      </xdr:nvSpPr>
      <xdr:spPr>
        <a:xfrm>
          <a:off x="3965595" y="114864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30</xdr:col>
      <xdr:colOff>124237</xdr:colOff>
      <xdr:row>82</xdr:row>
      <xdr:rowOff>16565</xdr:rowOff>
    </xdr:from>
    <xdr:to>
      <xdr:col>49</xdr:col>
      <xdr:colOff>115957</xdr:colOff>
      <xdr:row>89</xdr:row>
      <xdr:rowOff>99390</xdr:rowOff>
    </xdr:to>
    <xdr:cxnSp macro="">
      <xdr:nvCxnSpPr>
        <xdr:cNvPr id="55" name="Straight Connector 54">
          <a:extLst>
            <a:ext uri="{FF2B5EF4-FFF2-40B4-BE49-F238E27FC236}">
              <a16:creationId xmlns:a16="http://schemas.microsoft.com/office/drawing/2014/main" id="{00000000-0008-0000-0E00-000037000000}"/>
            </a:ext>
          </a:extLst>
        </xdr:cNvPr>
        <xdr:cNvCxnSpPr/>
      </xdr:nvCxnSpPr>
      <xdr:spPr>
        <a:xfrm flipV="1">
          <a:off x="3715162" y="10170215"/>
          <a:ext cx="2344395" cy="94960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85725</xdr:colOff>
      <xdr:row>106</xdr:row>
      <xdr:rowOff>9525</xdr:rowOff>
    </xdr:from>
    <xdr:to>
      <xdr:col>79</xdr:col>
      <xdr:colOff>28574</xdr:colOff>
      <xdr:row>109</xdr:row>
      <xdr:rowOff>114300</xdr:rowOff>
    </xdr:to>
    <xdr:sp macro="" textlink="">
      <xdr:nvSpPr>
        <xdr:cNvPr id="57" name="Right Arrow 56">
          <a:hlinkClick xmlns:r="http://schemas.openxmlformats.org/officeDocument/2006/relationships" r:id="rId2"/>
          <a:extLst>
            <a:ext uri="{FF2B5EF4-FFF2-40B4-BE49-F238E27FC236}">
              <a16:creationId xmlns:a16="http://schemas.microsoft.com/office/drawing/2014/main" id="{00000000-0008-0000-0E00-000039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114300</xdr:colOff>
      <xdr:row>14</xdr:row>
      <xdr:rowOff>23198</xdr:rowOff>
    </xdr:from>
    <xdr:to>
      <xdr:col>22</xdr:col>
      <xdr:colOff>95250</xdr:colOff>
      <xdr:row>71</xdr:row>
      <xdr:rowOff>95250</xdr:rowOff>
    </xdr:to>
    <xdr:pic>
      <xdr:nvPicPr>
        <xdr:cNvPr id="11" name="Picture 10" descr="Median U Turn-Model.jpg">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srcRect t="2154" b="1722"/>
        <a:stretch>
          <a:fillRect/>
        </a:stretch>
      </xdr:blipFill>
      <xdr:spPr>
        <a:xfrm>
          <a:off x="1019175" y="1756748"/>
          <a:ext cx="1714500" cy="7130077"/>
        </a:xfrm>
        <a:prstGeom prst="rect">
          <a:avLst/>
        </a:prstGeom>
      </xdr:spPr>
    </xdr:pic>
    <xdr:clientData/>
  </xdr:twoCellAnchor>
  <xdr:oneCellAnchor>
    <xdr:from>
      <xdr:col>44</xdr:col>
      <xdr:colOff>114328</xdr:colOff>
      <xdr:row>37</xdr:row>
      <xdr:rowOff>40660</xdr:rowOff>
    </xdr:from>
    <xdr:ext cx="1235761" cy="313954"/>
    <xdr:sp macro="" textlink="">
      <xdr:nvSpPr>
        <xdr:cNvPr id="2" name="Rectangle 1">
          <a:extLst>
            <a:ext uri="{FF2B5EF4-FFF2-40B4-BE49-F238E27FC236}">
              <a16:creationId xmlns:a16="http://schemas.microsoft.com/office/drawing/2014/main" id="{00000000-0008-0000-0F00-000002000000}"/>
            </a:ext>
          </a:extLst>
        </xdr:cNvPr>
        <xdr:cNvSpPr/>
      </xdr:nvSpPr>
      <xdr:spPr>
        <a:xfrm>
          <a:off x="5438803" y="462218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38</xdr:col>
      <xdr:colOff>0</xdr:colOff>
      <xdr:row>20</xdr:row>
      <xdr:rowOff>57150</xdr:rowOff>
    </xdr:from>
    <xdr:ext cx="1235761" cy="313954"/>
    <xdr:sp macro="" textlink="">
      <xdr:nvSpPr>
        <xdr:cNvPr id="3" name="Rectangle 2">
          <a:extLst>
            <a:ext uri="{FF2B5EF4-FFF2-40B4-BE49-F238E27FC236}">
              <a16:creationId xmlns:a16="http://schemas.microsoft.com/office/drawing/2014/main" id="{00000000-0008-0000-0F00-000003000000}"/>
            </a:ext>
          </a:extLst>
        </xdr:cNvPr>
        <xdr:cNvSpPr/>
      </xdr:nvSpPr>
      <xdr:spPr>
        <a:xfrm>
          <a:off x="4581525" y="25336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37</xdr:col>
      <xdr:colOff>114300</xdr:colOff>
      <xdr:row>55</xdr:row>
      <xdr:rowOff>19050</xdr:rowOff>
    </xdr:from>
    <xdr:ext cx="1235761" cy="313954"/>
    <xdr:sp macro="" textlink="">
      <xdr:nvSpPr>
        <xdr:cNvPr id="4" name="Rectangle 3">
          <a:extLst>
            <a:ext uri="{FF2B5EF4-FFF2-40B4-BE49-F238E27FC236}">
              <a16:creationId xmlns:a16="http://schemas.microsoft.com/office/drawing/2014/main" id="{00000000-0008-0000-0F00-000004000000}"/>
            </a:ext>
          </a:extLst>
        </xdr:cNvPr>
        <xdr:cNvSpPr/>
      </xdr:nvSpPr>
      <xdr:spPr>
        <a:xfrm>
          <a:off x="4572000" y="682942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16</xdr:col>
      <xdr:colOff>60813</xdr:colOff>
      <xdr:row>40</xdr:row>
      <xdr:rowOff>9525</xdr:rowOff>
    </xdr:from>
    <xdr:to>
      <xdr:col>45</xdr:col>
      <xdr:colOff>0</xdr:colOff>
      <xdr:row>43</xdr:row>
      <xdr:rowOff>24545</xdr:rowOff>
    </xdr:to>
    <xdr:cxnSp macro="">
      <xdr:nvCxnSpPr>
        <xdr:cNvPr id="5" name="Straight Connector 4">
          <a:extLst>
            <a:ext uri="{FF2B5EF4-FFF2-40B4-BE49-F238E27FC236}">
              <a16:creationId xmlns:a16="http://schemas.microsoft.com/office/drawing/2014/main" id="{00000000-0008-0000-0F00-000005000000}"/>
            </a:ext>
          </a:extLst>
        </xdr:cNvPr>
        <xdr:cNvCxnSpPr/>
      </xdr:nvCxnSpPr>
      <xdr:spPr>
        <a:xfrm flipV="1">
          <a:off x="1956288" y="4962525"/>
          <a:ext cx="3530112" cy="38649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47625</xdr:colOff>
      <xdr:row>42</xdr:row>
      <xdr:rowOff>47625</xdr:rowOff>
    </xdr:from>
    <xdr:to>
      <xdr:col>16</xdr:col>
      <xdr:colOff>98913</xdr:colOff>
      <xdr:row>43</xdr:row>
      <xdr:rowOff>106240</xdr:rowOff>
    </xdr:to>
    <xdr:sp macro="" textlink="">
      <xdr:nvSpPr>
        <xdr:cNvPr id="6" name="Oval 5">
          <a:extLst>
            <a:ext uri="{FF2B5EF4-FFF2-40B4-BE49-F238E27FC236}">
              <a16:creationId xmlns:a16="http://schemas.microsoft.com/office/drawing/2014/main" id="{00000000-0008-0000-0F00-000006000000}"/>
            </a:ext>
          </a:extLst>
        </xdr:cNvPr>
        <xdr:cNvSpPr/>
      </xdr:nvSpPr>
      <xdr:spPr>
        <a:xfrm>
          <a:off x="1819275" y="524827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98913</xdr:colOff>
      <xdr:row>16</xdr:row>
      <xdr:rowOff>91220</xdr:rowOff>
    </xdr:from>
    <xdr:to>
      <xdr:col>38</xdr:col>
      <xdr:colOff>0</xdr:colOff>
      <xdr:row>23</xdr:row>
      <xdr:rowOff>0</xdr:rowOff>
    </xdr:to>
    <xdr:cxnSp macro="">
      <xdr:nvCxnSpPr>
        <xdr:cNvPr id="7" name="Straight Connector 6">
          <a:extLst>
            <a:ext uri="{FF2B5EF4-FFF2-40B4-BE49-F238E27FC236}">
              <a16:creationId xmlns:a16="http://schemas.microsoft.com/office/drawing/2014/main" id="{00000000-0008-0000-0F00-000007000000}"/>
            </a:ext>
          </a:extLst>
        </xdr:cNvPr>
        <xdr:cNvCxnSpPr>
          <a:stCxn id="8" idx="6"/>
        </xdr:cNvCxnSpPr>
      </xdr:nvCxnSpPr>
      <xdr:spPr>
        <a:xfrm>
          <a:off x="1746738" y="2072420"/>
          <a:ext cx="2872887" cy="77555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47625</xdr:colOff>
      <xdr:row>16</xdr:row>
      <xdr:rowOff>0</xdr:rowOff>
    </xdr:from>
    <xdr:to>
      <xdr:col>14</xdr:col>
      <xdr:colOff>98913</xdr:colOff>
      <xdr:row>17</xdr:row>
      <xdr:rowOff>58615</xdr:rowOff>
    </xdr:to>
    <xdr:sp macro="" textlink="">
      <xdr:nvSpPr>
        <xdr:cNvPr id="8" name="Oval 7">
          <a:extLst>
            <a:ext uri="{FF2B5EF4-FFF2-40B4-BE49-F238E27FC236}">
              <a16:creationId xmlns:a16="http://schemas.microsoft.com/office/drawing/2014/main" id="{00000000-0008-0000-0F00-000008000000}"/>
            </a:ext>
          </a:extLst>
        </xdr:cNvPr>
        <xdr:cNvSpPr/>
      </xdr:nvSpPr>
      <xdr:spPr>
        <a:xfrm>
          <a:off x="1571625" y="198120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60813</xdr:colOff>
      <xdr:row>57</xdr:row>
      <xdr:rowOff>114301</xdr:rowOff>
    </xdr:from>
    <xdr:to>
      <xdr:col>38</xdr:col>
      <xdr:colOff>19050</xdr:colOff>
      <xdr:row>69</xdr:row>
      <xdr:rowOff>100745</xdr:rowOff>
    </xdr:to>
    <xdr:cxnSp macro="">
      <xdr:nvCxnSpPr>
        <xdr:cNvPr id="9" name="Straight Connector 8">
          <a:extLst>
            <a:ext uri="{FF2B5EF4-FFF2-40B4-BE49-F238E27FC236}">
              <a16:creationId xmlns:a16="http://schemas.microsoft.com/office/drawing/2014/main" id="{00000000-0008-0000-0F00-000009000000}"/>
            </a:ext>
          </a:extLst>
        </xdr:cNvPr>
        <xdr:cNvCxnSpPr>
          <a:stCxn id="10" idx="6"/>
        </xdr:cNvCxnSpPr>
      </xdr:nvCxnSpPr>
      <xdr:spPr>
        <a:xfrm flipV="1">
          <a:off x="2203938" y="7172326"/>
          <a:ext cx="2434737" cy="147234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9525</xdr:colOff>
      <xdr:row>69</xdr:row>
      <xdr:rowOff>9525</xdr:rowOff>
    </xdr:from>
    <xdr:to>
      <xdr:col>18</xdr:col>
      <xdr:colOff>60813</xdr:colOff>
      <xdr:row>70</xdr:row>
      <xdr:rowOff>68140</xdr:rowOff>
    </xdr:to>
    <xdr:sp macro="" textlink="">
      <xdr:nvSpPr>
        <xdr:cNvPr id="10" name="Oval 9">
          <a:extLst>
            <a:ext uri="{FF2B5EF4-FFF2-40B4-BE49-F238E27FC236}">
              <a16:creationId xmlns:a16="http://schemas.microsoft.com/office/drawing/2014/main" id="{00000000-0008-0000-0F00-00000A000000}"/>
            </a:ext>
          </a:extLst>
        </xdr:cNvPr>
        <xdr:cNvSpPr/>
      </xdr:nvSpPr>
      <xdr:spPr>
        <a:xfrm>
          <a:off x="2028825" y="855345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91</xdr:col>
      <xdr:colOff>53688</xdr:colOff>
      <xdr:row>26</xdr:row>
      <xdr:rowOff>62470</xdr:rowOff>
    </xdr:from>
    <xdr:to>
      <xdr:col>93</xdr:col>
      <xdr:colOff>77017</xdr:colOff>
      <xdr:row>28</xdr:row>
      <xdr:rowOff>109538</xdr:rowOff>
    </xdr:to>
    <xdr:sp macro="" textlink="">
      <xdr:nvSpPr>
        <xdr:cNvPr id="15" name="Freccia curva 8">
          <a:extLst>
            <a:ext uri="{FF2B5EF4-FFF2-40B4-BE49-F238E27FC236}">
              <a16:creationId xmlns:a16="http://schemas.microsoft.com/office/drawing/2014/main" id="{00000000-0008-0000-0F00-00000F000000}"/>
            </a:ext>
          </a:extLst>
        </xdr:cNvPr>
        <xdr:cNvSpPr/>
      </xdr:nvSpPr>
      <xdr:spPr>
        <a:xfrm rot="10800000" flipH="1">
          <a:off x="3520788" y="1244497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55058</xdr:colOff>
      <xdr:row>26</xdr:row>
      <xdr:rowOff>67264</xdr:rowOff>
    </xdr:from>
    <xdr:to>
      <xdr:col>96</xdr:col>
      <xdr:colOff>84922</xdr:colOff>
      <xdr:row>28</xdr:row>
      <xdr:rowOff>123518</xdr:rowOff>
    </xdr:to>
    <xdr:sp macro="" textlink="">
      <xdr:nvSpPr>
        <xdr:cNvPr id="16" name="Freccia a inversione 13">
          <a:extLst>
            <a:ext uri="{FF2B5EF4-FFF2-40B4-BE49-F238E27FC236}">
              <a16:creationId xmlns:a16="http://schemas.microsoft.com/office/drawing/2014/main" id="{00000000-0008-0000-0F00-000010000000}"/>
            </a:ext>
          </a:extLst>
        </xdr:cNvPr>
        <xdr:cNvSpPr/>
      </xdr:nvSpPr>
      <xdr:spPr>
        <a:xfrm flipV="1">
          <a:off x="3893633" y="1244976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26</xdr:row>
      <xdr:rowOff>51932</xdr:rowOff>
    </xdr:from>
    <xdr:to>
      <xdr:col>89</xdr:col>
      <xdr:colOff>114211</xdr:colOff>
      <xdr:row>28</xdr:row>
      <xdr:rowOff>95625</xdr:rowOff>
    </xdr:to>
    <xdr:sp macro="" textlink="">
      <xdr:nvSpPr>
        <xdr:cNvPr id="17" name="Freccia in giù 9">
          <a:extLst>
            <a:ext uri="{FF2B5EF4-FFF2-40B4-BE49-F238E27FC236}">
              <a16:creationId xmlns:a16="http://schemas.microsoft.com/office/drawing/2014/main" id="{00000000-0008-0000-0F00-000011000000}"/>
            </a:ext>
          </a:extLst>
        </xdr:cNvPr>
        <xdr:cNvSpPr/>
      </xdr:nvSpPr>
      <xdr:spPr>
        <a:xfrm>
          <a:off x="3197022" y="1243443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32507</xdr:colOff>
      <xdr:row>26</xdr:row>
      <xdr:rowOff>111530</xdr:rowOff>
    </xdr:from>
    <xdr:to>
      <xdr:col>87</xdr:col>
      <xdr:colOff>65439</xdr:colOff>
      <xdr:row>29</xdr:row>
      <xdr:rowOff>9683</xdr:rowOff>
    </xdr:to>
    <xdr:sp macro="" textlink="">
      <xdr:nvSpPr>
        <xdr:cNvPr id="18" name="Freccia curva 7">
          <a:extLst>
            <a:ext uri="{FF2B5EF4-FFF2-40B4-BE49-F238E27FC236}">
              <a16:creationId xmlns:a16="http://schemas.microsoft.com/office/drawing/2014/main" id="{00000000-0008-0000-0F00-000012000000}"/>
            </a:ext>
          </a:extLst>
        </xdr:cNvPr>
        <xdr:cNvSpPr/>
      </xdr:nvSpPr>
      <xdr:spPr>
        <a:xfrm rot="10800000">
          <a:off x="2756657" y="1249403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91</xdr:col>
      <xdr:colOff>96216</xdr:colOff>
      <xdr:row>48</xdr:row>
      <xdr:rowOff>91783</xdr:rowOff>
    </xdr:from>
    <xdr:to>
      <xdr:col>92</xdr:col>
      <xdr:colOff>109029</xdr:colOff>
      <xdr:row>51</xdr:row>
      <xdr:rowOff>10025</xdr:rowOff>
    </xdr:to>
    <xdr:sp macro="" textlink="">
      <xdr:nvSpPr>
        <xdr:cNvPr id="19" name="Freccia in giù 9">
          <a:extLst>
            <a:ext uri="{FF2B5EF4-FFF2-40B4-BE49-F238E27FC236}">
              <a16:creationId xmlns:a16="http://schemas.microsoft.com/office/drawing/2014/main" id="{00000000-0008-0000-0F00-000013000000}"/>
            </a:ext>
          </a:extLst>
        </xdr:cNvPr>
        <xdr:cNvSpPr/>
      </xdr:nvSpPr>
      <xdr:spPr>
        <a:xfrm rot="10800000">
          <a:off x="3563316" y="151984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46691</xdr:colOff>
      <xdr:row>48</xdr:row>
      <xdr:rowOff>118493</xdr:rowOff>
    </xdr:from>
    <xdr:to>
      <xdr:col>87</xdr:col>
      <xdr:colOff>74536</xdr:colOff>
      <xdr:row>51</xdr:row>
      <xdr:rowOff>52529</xdr:rowOff>
    </xdr:to>
    <xdr:sp macro="" textlink="">
      <xdr:nvSpPr>
        <xdr:cNvPr id="20" name="Freccia a inversione 13">
          <a:extLst>
            <a:ext uri="{FF2B5EF4-FFF2-40B4-BE49-F238E27FC236}">
              <a16:creationId xmlns:a16="http://schemas.microsoft.com/office/drawing/2014/main" id="{00000000-0008-0000-0F00-000014000000}"/>
            </a:ext>
          </a:extLst>
        </xdr:cNvPr>
        <xdr:cNvSpPr/>
      </xdr:nvSpPr>
      <xdr:spPr>
        <a:xfrm rot="10800000" flipV="1">
          <a:off x="2770841" y="1522514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36089</xdr:colOff>
      <xdr:row>49</xdr:row>
      <xdr:rowOff>3514</xdr:rowOff>
    </xdr:from>
    <xdr:to>
      <xdr:col>90</xdr:col>
      <xdr:colOff>59418</xdr:colOff>
      <xdr:row>51</xdr:row>
      <xdr:rowOff>50582</xdr:rowOff>
    </xdr:to>
    <xdr:sp macro="" textlink="">
      <xdr:nvSpPr>
        <xdr:cNvPr id="21" name="Freccia curva 8">
          <a:extLst>
            <a:ext uri="{FF2B5EF4-FFF2-40B4-BE49-F238E27FC236}">
              <a16:creationId xmlns:a16="http://schemas.microsoft.com/office/drawing/2014/main" id="{00000000-0008-0000-0F00-000015000000}"/>
            </a:ext>
          </a:extLst>
        </xdr:cNvPr>
        <xdr:cNvSpPr/>
      </xdr:nvSpPr>
      <xdr:spPr>
        <a:xfrm flipH="1">
          <a:off x="3131714" y="1523398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41799</xdr:colOff>
      <xdr:row>49</xdr:row>
      <xdr:rowOff>18603</xdr:rowOff>
    </xdr:from>
    <xdr:to>
      <xdr:col>96</xdr:col>
      <xdr:colOff>74730</xdr:colOff>
      <xdr:row>51</xdr:row>
      <xdr:rowOff>42207</xdr:rowOff>
    </xdr:to>
    <xdr:sp macro="" textlink="">
      <xdr:nvSpPr>
        <xdr:cNvPr id="22" name="Freccia curva 7">
          <a:extLst>
            <a:ext uri="{FF2B5EF4-FFF2-40B4-BE49-F238E27FC236}">
              <a16:creationId xmlns:a16="http://schemas.microsoft.com/office/drawing/2014/main" id="{00000000-0008-0000-0F00-000016000000}"/>
            </a:ext>
          </a:extLst>
        </xdr:cNvPr>
        <xdr:cNvSpPr/>
      </xdr:nvSpPr>
      <xdr:spPr>
        <a:xfrm>
          <a:off x="3880374" y="1524907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66020</xdr:colOff>
      <xdr:row>33</xdr:row>
      <xdr:rowOff>58156</xdr:rowOff>
    </xdr:from>
    <xdr:to>
      <xdr:col>81</xdr:col>
      <xdr:colOff>24702</xdr:colOff>
      <xdr:row>35</xdr:row>
      <xdr:rowOff>69436</xdr:rowOff>
    </xdr:to>
    <xdr:sp macro="" textlink="">
      <xdr:nvSpPr>
        <xdr:cNvPr id="23" name="Freccia a inversione 13">
          <a:extLst>
            <a:ext uri="{FF2B5EF4-FFF2-40B4-BE49-F238E27FC236}">
              <a16:creationId xmlns:a16="http://schemas.microsoft.com/office/drawing/2014/main" id="{00000000-0008-0000-0F00-000017000000}"/>
            </a:ext>
          </a:extLst>
        </xdr:cNvPr>
        <xdr:cNvSpPr/>
      </xdr:nvSpPr>
      <xdr:spPr>
        <a:xfrm rot="16200000" flipV="1">
          <a:off x="1959009" y="132718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51289</xdr:colOff>
      <xdr:row>36</xdr:row>
      <xdr:rowOff>58615</xdr:rowOff>
    </xdr:from>
    <xdr:to>
      <xdr:col>80</xdr:col>
      <xdr:colOff>116943</xdr:colOff>
      <xdr:row>38</xdr:row>
      <xdr:rowOff>63358</xdr:rowOff>
    </xdr:to>
    <xdr:sp macro="" textlink="">
      <xdr:nvSpPr>
        <xdr:cNvPr id="24" name="Freccia curva 8">
          <a:extLst>
            <a:ext uri="{FF2B5EF4-FFF2-40B4-BE49-F238E27FC236}">
              <a16:creationId xmlns:a16="http://schemas.microsoft.com/office/drawing/2014/main" id="{00000000-0008-0000-0F00-000018000000}"/>
            </a:ext>
          </a:extLst>
        </xdr:cNvPr>
        <xdr:cNvSpPr/>
      </xdr:nvSpPr>
      <xdr:spPr>
        <a:xfrm rot="5400000" flipH="1">
          <a:off x="1939119" y="136489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73270</xdr:colOff>
      <xdr:row>42</xdr:row>
      <xdr:rowOff>80596</xdr:rowOff>
    </xdr:from>
    <xdr:to>
      <xdr:col>80</xdr:col>
      <xdr:colOff>134510</xdr:colOff>
      <xdr:row>44</xdr:row>
      <xdr:rowOff>94943</xdr:rowOff>
    </xdr:to>
    <xdr:sp macro="" textlink="">
      <xdr:nvSpPr>
        <xdr:cNvPr id="25" name="Freccia curva 7">
          <a:extLst>
            <a:ext uri="{FF2B5EF4-FFF2-40B4-BE49-F238E27FC236}">
              <a16:creationId xmlns:a16="http://schemas.microsoft.com/office/drawing/2014/main" id="{00000000-0008-0000-0F00-000019000000}"/>
            </a:ext>
          </a:extLst>
        </xdr:cNvPr>
        <xdr:cNvSpPr/>
      </xdr:nvSpPr>
      <xdr:spPr>
        <a:xfrm rot="5400000">
          <a:off x="1949329" y="144256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86</xdr:col>
      <xdr:colOff>108799</xdr:colOff>
      <xdr:row>56</xdr:row>
      <xdr:rowOff>27872</xdr:rowOff>
    </xdr:from>
    <xdr:ext cx="963800" cy="311715"/>
    <xdr:sp macro="" textlink="">
      <xdr:nvSpPr>
        <xdr:cNvPr id="26" name="Rectangle 25">
          <a:extLst>
            <a:ext uri="{FF2B5EF4-FFF2-40B4-BE49-F238E27FC236}">
              <a16:creationId xmlns:a16="http://schemas.microsoft.com/office/drawing/2014/main" id="{00000000-0008-0000-0F00-00001A000000}"/>
            </a:ext>
          </a:extLst>
        </xdr:cNvPr>
        <xdr:cNvSpPr/>
      </xdr:nvSpPr>
      <xdr:spPr>
        <a:xfrm>
          <a:off x="2956774" y="161251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78</xdr:col>
      <xdr:colOff>58937</xdr:colOff>
      <xdr:row>40</xdr:row>
      <xdr:rowOff>6397</xdr:rowOff>
    </xdr:from>
    <xdr:to>
      <xdr:col>81</xdr:col>
      <xdr:colOff>5058</xdr:colOff>
      <xdr:row>41</xdr:row>
      <xdr:rowOff>9918</xdr:rowOff>
    </xdr:to>
    <xdr:sp macro="" textlink="">
      <xdr:nvSpPr>
        <xdr:cNvPr id="27" name="Freccia in giù 9">
          <a:extLst>
            <a:ext uri="{FF2B5EF4-FFF2-40B4-BE49-F238E27FC236}">
              <a16:creationId xmlns:a16="http://schemas.microsoft.com/office/drawing/2014/main" id="{00000000-0008-0000-0F00-00001B000000}"/>
            </a:ext>
          </a:extLst>
        </xdr:cNvPr>
        <xdr:cNvSpPr/>
      </xdr:nvSpPr>
      <xdr:spPr>
        <a:xfrm rot="16200000">
          <a:off x="2011437" y="140273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0</xdr:colOff>
      <xdr:row>39</xdr:row>
      <xdr:rowOff>136072</xdr:rowOff>
    </xdr:from>
    <xdr:to>
      <xdr:col>103</xdr:col>
      <xdr:colOff>55717</xdr:colOff>
      <xdr:row>41</xdr:row>
      <xdr:rowOff>82778</xdr:rowOff>
    </xdr:to>
    <xdr:sp macro="" textlink="">
      <xdr:nvSpPr>
        <xdr:cNvPr id="28" name="Freccia curva 66">
          <a:extLst>
            <a:ext uri="{FF2B5EF4-FFF2-40B4-BE49-F238E27FC236}">
              <a16:creationId xmlns:a16="http://schemas.microsoft.com/office/drawing/2014/main" id="{00000000-0008-0000-0F00-00001C000000}"/>
            </a:ext>
          </a:extLst>
        </xdr:cNvPr>
        <xdr:cNvSpPr/>
      </xdr:nvSpPr>
      <xdr:spPr>
        <a:xfrm rot="16200000" flipH="1">
          <a:off x="4755093"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0</xdr:colOff>
      <xdr:row>39</xdr:row>
      <xdr:rowOff>136072</xdr:rowOff>
    </xdr:from>
    <xdr:to>
      <xdr:col>103</xdr:col>
      <xdr:colOff>55717</xdr:colOff>
      <xdr:row>41</xdr:row>
      <xdr:rowOff>82778</xdr:rowOff>
    </xdr:to>
    <xdr:sp macro="" textlink="">
      <xdr:nvSpPr>
        <xdr:cNvPr id="29" name="Freccia curva 66">
          <a:extLst>
            <a:ext uri="{FF2B5EF4-FFF2-40B4-BE49-F238E27FC236}">
              <a16:creationId xmlns:a16="http://schemas.microsoft.com/office/drawing/2014/main" id="{00000000-0008-0000-0F00-00001D000000}"/>
            </a:ext>
          </a:extLst>
        </xdr:cNvPr>
        <xdr:cNvSpPr/>
      </xdr:nvSpPr>
      <xdr:spPr>
        <a:xfrm rot="16200000" flipH="1">
          <a:off x="4755093"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0</xdr:colOff>
      <xdr:row>39</xdr:row>
      <xdr:rowOff>136072</xdr:rowOff>
    </xdr:from>
    <xdr:to>
      <xdr:col>103</xdr:col>
      <xdr:colOff>55717</xdr:colOff>
      <xdr:row>41</xdr:row>
      <xdr:rowOff>82778</xdr:rowOff>
    </xdr:to>
    <xdr:sp macro="" textlink="">
      <xdr:nvSpPr>
        <xdr:cNvPr id="30" name="Freccia curva 66">
          <a:extLst>
            <a:ext uri="{FF2B5EF4-FFF2-40B4-BE49-F238E27FC236}">
              <a16:creationId xmlns:a16="http://schemas.microsoft.com/office/drawing/2014/main" id="{00000000-0008-0000-0F00-00001E000000}"/>
            </a:ext>
          </a:extLst>
        </xdr:cNvPr>
        <xdr:cNvSpPr/>
      </xdr:nvSpPr>
      <xdr:spPr>
        <a:xfrm rot="16200000" flipH="1">
          <a:off x="4755093"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0</xdr:colOff>
      <xdr:row>39</xdr:row>
      <xdr:rowOff>136072</xdr:rowOff>
    </xdr:from>
    <xdr:to>
      <xdr:col>103</xdr:col>
      <xdr:colOff>55717</xdr:colOff>
      <xdr:row>41</xdr:row>
      <xdr:rowOff>82778</xdr:rowOff>
    </xdr:to>
    <xdr:sp macro="" textlink="">
      <xdr:nvSpPr>
        <xdr:cNvPr id="31" name="Freccia curva 66">
          <a:extLst>
            <a:ext uri="{FF2B5EF4-FFF2-40B4-BE49-F238E27FC236}">
              <a16:creationId xmlns:a16="http://schemas.microsoft.com/office/drawing/2014/main" id="{00000000-0008-0000-0F00-00001F000000}"/>
            </a:ext>
          </a:extLst>
        </xdr:cNvPr>
        <xdr:cNvSpPr/>
      </xdr:nvSpPr>
      <xdr:spPr>
        <a:xfrm rot="16200000" flipH="1">
          <a:off x="4755093"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100</xdr:col>
      <xdr:colOff>94989</xdr:colOff>
      <xdr:row>42</xdr:row>
      <xdr:rowOff>82275</xdr:rowOff>
    </xdr:from>
    <xdr:to>
      <xdr:col>103</xdr:col>
      <xdr:colOff>56903</xdr:colOff>
      <xdr:row>44</xdr:row>
      <xdr:rowOff>91535</xdr:rowOff>
    </xdr:to>
    <xdr:sp macro="" textlink="">
      <xdr:nvSpPr>
        <xdr:cNvPr id="32" name="Freccia a inversione 13">
          <a:extLst>
            <a:ext uri="{FF2B5EF4-FFF2-40B4-BE49-F238E27FC236}">
              <a16:creationId xmlns:a16="http://schemas.microsoft.com/office/drawing/2014/main" id="{00000000-0008-0000-0F00-000020000000}"/>
            </a:ext>
          </a:extLst>
        </xdr:cNvPr>
        <xdr:cNvSpPr/>
      </xdr:nvSpPr>
      <xdr:spPr>
        <a:xfrm rot="5400000" flipV="1">
          <a:off x="4714754" y="1440773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100</xdr:col>
      <xdr:colOff>97574</xdr:colOff>
      <xdr:row>37</xdr:row>
      <xdr:rowOff>4645</xdr:rowOff>
    </xdr:from>
    <xdr:to>
      <xdr:col>103</xdr:col>
      <xdr:colOff>43694</xdr:colOff>
      <xdr:row>38</xdr:row>
      <xdr:rowOff>8166</xdr:rowOff>
    </xdr:to>
    <xdr:sp macro="" textlink="">
      <xdr:nvSpPr>
        <xdr:cNvPr id="33" name="Freccia in giù 9">
          <a:extLst>
            <a:ext uri="{FF2B5EF4-FFF2-40B4-BE49-F238E27FC236}">
              <a16:creationId xmlns:a16="http://schemas.microsoft.com/office/drawing/2014/main" id="{00000000-0008-0000-0F00-000021000000}"/>
            </a:ext>
          </a:extLst>
        </xdr:cNvPr>
        <xdr:cNvSpPr/>
      </xdr:nvSpPr>
      <xdr:spPr>
        <a:xfrm rot="5400000">
          <a:off x="4774224" y="136540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100</xdr:col>
      <xdr:colOff>107676</xdr:colOff>
      <xdr:row>33</xdr:row>
      <xdr:rowOff>38928</xdr:rowOff>
    </xdr:from>
    <xdr:to>
      <xdr:col>103</xdr:col>
      <xdr:colOff>7040</xdr:colOff>
      <xdr:row>35</xdr:row>
      <xdr:rowOff>71860</xdr:rowOff>
    </xdr:to>
    <xdr:sp macro="" textlink="">
      <xdr:nvSpPr>
        <xdr:cNvPr id="34" name="Freccia curva 7">
          <a:extLst>
            <a:ext uri="{FF2B5EF4-FFF2-40B4-BE49-F238E27FC236}">
              <a16:creationId xmlns:a16="http://schemas.microsoft.com/office/drawing/2014/main" id="{00000000-0008-0000-0F00-000022000000}"/>
            </a:ext>
          </a:extLst>
        </xdr:cNvPr>
        <xdr:cNvSpPr/>
      </xdr:nvSpPr>
      <xdr:spPr>
        <a:xfrm rot="16200000">
          <a:off x="4684330" y="132930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86</xdr:col>
      <xdr:colOff>99274</xdr:colOff>
      <xdr:row>15</xdr:row>
      <xdr:rowOff>113597</xdr:rowOff>
    </xdr:from>
    <xdr:ext cx="963800" cy="311715"/>
    <xdr:sp macro="" textlink="">
      <xdr:nvSpPr>
        <xdr:cNvPr id="35" name="Rectangle 34">
          <a:extLst>
            <a:ext uri="{FF2B5EF4-FFF2-40B4-BE49-F238E27FC236}">
              <a16:creationId xmlns:a16="http://schemas.microsoft.com/office/drawing/2014/main" id="{00000000-0008-0000-0F00-000023000000}"/>
            </a:ext>
          </a:extLst>
        </xdr:cNvPr>
        <xdr:cNvSpPr/>
      </xdr:nvSpPr>
      <xdr:spPr>
        <a:xfrm>
          <a:off x="2947249" y="111340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87</xdr:col>
      <xdr:colOff>41295</xdr:colOff>
      <xdr:row>35</xdr:row>
      <xdr:rowOff>113597</xdr:rowOff>
    </xdr:from>
    <xdr:ext cx="963800" cy="311715"/>
    <xdr:sp macro="" textlink="">
      <xdr:nvSpPr>
        <xdr:cNvPr id="36" name="Rectangle 35">
          <a:extLst>
            <a:ext uri="{FF2B5EF4-FFF2-40B4-BE49-F238E27FC236}">
              <a16:creationId xmlns:a16="http://schemas.microsoft.com/office/drawing/2014/main" id="{00000000-0008-0000-0F00-000024000000}"/>
            </a:ext>
          </a:extLst>
        </xdr:cNvPr>
        <xdr:cNvSpPr/>
      </xdr:nvSpPr>
      <xdr:spPr>
        <a:xfrm>
          <a:off x="3013095" y="136105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88</xdr:col>
      <xdr:colOff>101397</xdr:colOff>
      <xdr:row>6</xdr:row>
      <xdr:rowOff>51932</xdr:rowOff>
    </xdr:from>
    <xdr:to>
      <xdr:col>89</xdr:col>
      <xdr:colOff>114211</xdr:colOff>
      <xdr:row>8</xdr:row>
      <xdr:rowOff>95625</xdr:rowOff>
    </xdr:to>
    <xdr:sp macro="" textlink="">
      <xdr:nvSpPr>
        <xdr:cNvPr id="37" name="Freccia in giù 9">
          <a:extLst>
            <a:ext uri="{FF2B5EF4-FFF2-40B4-BE49-F238E27FC236}">
              <a16:creationId xmlns:a16="http://schemas.microsoft.com/office/drawing/2014/main" id="{00000000-0008-0000-0F00-000025000000}"/>
            </a:ext>
          </a:extLst>
        </xdr:cNvPr>
        <xdr:cNvSpPr/>
      </xdr:nvSpPr>
      <xdr:spPr>
        <a:xfrm>
          <a:off x="3197022" y="995793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966</xdr:colOff>
      <xdr:row>68</xdr:row>
      <xdr:rowOff>91783</xdr:rowOff>
    </xdr:from>
    <xdr:to>
      <xdr:col>93</xdr:col>
      <xdr:colOff>13779</xdr:colOff>
      <xdr:row>71</xdr:row>
      <xdr:rowOff>10025</xdr:rowOff>
    </xdr:to>
    <xdr:sp macro="" textlink="">
      <xdr:nvSpPr>
        <xdr:cNvPr id="38" name="Freccia in giù 9">
          <a:extLst>
            <a:ext uri="{FF2B5EF4-FFF2-40B4-BE49-F238E27FC236}">
              <a16:creationId xmlns:a16="http://schemas.microsoft.com/office/drawing/2014/main" id="{00000000-0008-0000-0F00-000026000000}"/>
            </a:ext>
          </a:extLst>
        </xdr:cNvPr>
        <xdr:cNvSpPr/>
      </xdr:nvSpPr>
      <xdr:spPr>
        <a:xfrm rot="10800000">
          <a:off x="3591891" y="176749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55058</xdr:colOff>
      <xdr:row>55</xdr:row>
      <xdr:rowOff>67264</xdr:rowOff>
    </xdr:from>
    <xdr:to>
      <xdr:col>84</xdr:col>
      <xdr:colOff>84922</xdr:colOff>
      <xdr:row>57</xdr:row>
      <xdr:rowOff>123518</xdr:rowOff>
    </xdr:to>
    <xdr:sp macro="" textlink="">
      <xdr:nvSpPr>
        <xdr:cNvPr id="39" name="Freccia a inversione 13">
          <a:extLst>
            <a:ext uri="{FF2B5EF4-FFF2-40B4-BE49-F238E27FC236}">
              <a16:creationId xmlns:a16="http://schemas.microsoft.com/office/drawing/2014/main" id="{00000000-0008-0000-0F00-000027000000}"/>
            </a:ext>
          </a:extLst>
        </xdr:cNvPr>
        <xdr:cNvSpPr/>
      </xdr:nvSpPr>
      <xdr:spPr>
        <a:xfrm flipV="1">
          <a:off x="2407733" y="160406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46691</xdr:colOff>
      <xdr:row>19</xdr:row>
      <xdr:rowOff>118493</xdr:rowOff>
    </xdr:from>
    <xdr:to>
      <xdr:col>99</xdr:col>
      <xdr:colOff>74536</xdr:colOff>
      <xdr:row>22</xdr:row>
      <xdr:rowOff>52529</xdr:rowOff>
    </xdr:to>
    <xdr:sp macro="" textlink="">
      <xdr:nvSpPr>
        <xdr:cNvPr id="40" name="Freccia a inversione 13">
          <a:extLst>
            <a:ext uri="{FF2B5EF4-FFF2-40B4-BE49-F238E27FC236}">
              <a16:creationId xmlns:a16="http://schemas.microsoft.com/office/drawing/2014/main" id="{00000000-0008-0000-0F00-000028000000}"/>
            </a:ext>
          </a:extLst>
        </xdr:cNvPr>
        <xdr:cNvSpPr/>
      </xdr:nvSpPr>
      <xdr:spPr>
        <a:xfrm rot="10800000" flipV="1">
          <a:off x="4256741" y="116342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41" name="Right Arrow 40">
          <a:hlinkClick xmlns:r="http://schemas.openxmlformats.org/officeDocument/2006/relationships" r:id="rId2"/>
          <a:extLst>
            <a:ext uri="{FF2B5EF4-FFF2-40B4-BE49-F238E27FC236}">
              <a16:creationId xmlns:a16="http://schemas.microsoft.com/office/drawing/2014/main" id="{00000000-0008-0000-0F00-000029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22077</xdr:colOff>
      <xdr:row>33</xdr:row>
      <xdr:rowOff>63650</xdr:rowOff>
    </xdr:from>
    <xdr:to>
      <xdr:col>77</xdr:col>
      <xdr:colOff>102930</xdr:colOff>
      <xdr:row>50</xdr:row>
      <xdr:rowOff>95253</xdr:rowOff>
    </xdr:to>
    <xdr:pic>
      <xdr:nvPicPr>
        <xdr:cNvPr id="37" name="Picture 36" descr="Median U Turn-Model.jpg">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1" cstate="print"/>
        <a:stretch>
          <a:fillRect/>
        </a:stretch>
      </xdr:blipFill>
      <xdr:spPr>
        <a:xfrm rot="16200000">
          <a:off x="3851940" y="596237"/>
          <a:ext cx="2136628" cy="9243903"/>
        </a:xfrm>
        <a:prstGeom prst="rect">
          <a:avLst/>
        </a:prstGeom>
      </xdr:spPr>
    </xdr:pic>
    <xdr:clientData/>
  </xdr:twoCellAnchor>
  <xdr:oneCellAnchor>
    <xdr:from>
      <xdr:col>5</xdr:col>
      <xdr:colOff>20175</xdr:colOff>
      <xdr:row>17</xdr:row>
      <xdr:rowOff>118442</xdr:rowOff>
    </xdr:from>
    <xdr:ext cx="1106259" cy="353668"/>
    <xdr:sp macro="" textlink="">
      <xdr:nvSpPr>
        <xdr:cNvPr id="3" name="Rectangle 2">
          <a:extLst>
            <a:ext uri="{FF2B5EF4-FFF2-40B4-BE49-F238E27FC236}">
              <a16:creationId xmlns:a16="http://schemas.microsoft.com/office/drawing/2014/main" id="{00000000-0008-0000-1000-000003000000}"/>
            </a:ext>
          </a:extLst>
        </xdr:cNvPr>
        <xdr:cNvSpPr/>
      </xdr:nvSpPr>
      <xdr:spPr>
        <a:xfrm>
          <a:off x="515475" y="2223467"/>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36</xdr:col>
      <xdr:colOff>0</xdr:colOff>
      <xdr:row>18</xdr:row>
      <xdr:rowOff>8283</xdr:rowOff>
    </xdr:from>
    <xdr:ext cx="1106259" cy="353668"/>
    <xdr:sp macro="" textlink="">
      <xdr:nvSpPr>
        <xdr:cNvPr id="4" name="Rectangle 3">
          <a:extLst>
            <a:ext uri="{FF2B5EF4-FFF2-40B4-BE49-F238E27FC236}">
              <a16:creationId xmlns:a16="http://schemas.microsoft.com/office/drawing/2014/main" id="{00000000-0008-0000-1000-000004000000}"/>
            </a:ext>
          </a:extLst>
        </xdr:cNvPr>
        <xdr:cNvSpPr/>
      </xdr:nvSpPr>
      <xdr:spPr>
        <a:xfrm>
          <a:off x="4333875" y="2237133"/>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67</xdr:col>
      <xdr:colOff>0</xdr:colOff>
      <xdr:row>18</xdr:row>
      <xdr:rowOff>0</xdr:rowOff>
    </xdr:from>
    <xdr:ext cx="1106259" cy="353668"/>
    <xdr:sp macro="" textlink="">
      <xdr:nvSpPr>
        <xdr:cNvPr id="5" name="Rectangle 4">
          <a:extLst>
            <a:ext uri="{FF2B5EF4-FFF2-40B4-BE49-F238E27FC236}">
              <a16:creationId xmlns:a16="http://schemas.microsoft.com/office/drawing/2014/main" id="{00000000-0008-0000-1000-000005000000}"/>
            </a:ext>
          </a:extLst>
        </xdr:cNvPr>
        <xdr:cNvSpPr/>
      </xdr:nvSpPr>
      <xdr:spPr>
        <a:xfrm>
          <a:off x="8172450" y="2228850"/>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36</xdr:col>
      <xdr:colOff>1</xdr:colOff>
      <xdr:row>27</xdr:row>
      <xdr:rowOff>9525</xdr:rowOff>
    </xdr:from>
    <xdr:to>
      <xdr:col>40</xdr:col>
      <xdr:colOff>61967</xdr:colOff>
      <xdr:row>41</xdr:row>
      <xdr:rowOff>4648</xdr:rowOff>
    </xdr:to>
    <xdr:cxnSp macro="">
      <xdr:nvCxnSpPr>
        <xdr:cNvPr id="6" name="Straight Connector 5">
          <a:extLst>
            <a:ext uri="{FF2B5EF4-FFF2-40B4-BE49-F238E27FC236}">
              <a16:creationId xmlns:a16="http://schemas.microsoft.com/office/drawing/2014/main" id="{00000000-0008-0000-1000-000006000000}"/>
            </a:ext>
          </a:extLst>
        </xdr:cNvPr>
        <xdr:cNvCxnSpPr>
          <a:stCxn id="7" idx="1"/>
        </xdr:cNvCxnSpPr>
      </xdr:nvCxnSpPr>
      <xdr:spPr>
        <a:xfrm rot="16200000" flipV="1">
          <a:off x="3776747" y="3938504"/>
          <a:ext cx="1728673" cy="55726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40</xdr:col>
      <xdr:colOff>36443</xdr:colOff>
      <xdr:row>40</xdr:row>
      <xdr:rowOff>101877</xdr:rowOff>
    </xdr:from>
    <xdr:to>
      <xdr:col>41</xdr:col>
      <xdr:colOff>86903</xdr:colOff>
      <xdr:row>42</xdr:row>
      <xdr:rowOff>35839</xdr:rowOff>
    </xdr:to>
    <xdr:sp macro="" textlink="">
      <xdr:nvSpPr>
        <xdr:cNvPr id="7" name="Oval 6">
          <a:extLst>
            <a:ext uri="{FF2B5EF4-FFF2-40B4-BE49-F238E27FC236}">
              <a16:creationId xmlns:a16="http://schemas.microsoft.com/office/drawing/2014/main" id="{00000000-0008-0000-1000-000007000000}"/>
            </a:ext>
          </a:extLst>
        </xdr:cNvPr>
        <xdr:cNvSpPr/>
      </xdr:nvSpPr>
      <xdr:spPr>
        <a:xfrm>
          <a:off x="4894193" y="5054877"/>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67</xdr:col>
      <xdr:colOff>1</xdr:colOff>
      <xdr:row>27</xdr:row>
      <xdr:rowOff>9525</xdr:rowOff>
    </xdr:from>
    <xdr:to>
      <xdr:col>73</xdr:col>
      <xdr:colOff>90663</xdr:colOff>
      <xdr:row>38</xdr:row>
      <xdr:rowOff>90695</xdr:rowOff>
    </xdr:to>
    <xdr:cxnSp macro="">
      <xdr:nvCxnSpPr>
        <xdr:cNvPr id="8" name="Straight Connector 7">
          <a:extLst>
            <a:ext uri="{FF2B5EF4-FFF2-40B4-BE49-F238E27FC236}">
              <a16:creationId xmlns:a16="http://schemas.microsoft.com/office/drawing/2014/main" id="{00000000-0008-0000-1000-000008000000}"/>
            </a:ext>
          </a:extLst>
        </xdr:cNvPr>
        <xdr:cNvCxnSpPr>
          <a:stCxn id="9" idx="0"/>
        </xdr:cNvCxnSpPr>
      </xdr:nvCxnSpPr>
      <xdr:spPr>
        <a:xfrm rot="16200000" flipV="1">
          <a:off x="7896209" y="3657617"/>
          <a:ext cx="1443245" cy="83361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73</xdr:col>
      <xdr:colOff>3313</xdr:colOff>
      <xdr:row>38</xdr:row>
      <xdr:rowOff>90695</xdr:rowOff>
    </xdr:from>
    <xdr:to>
      <xdr:col>74</xdr:col>
      <xdr:colOff>54186</xdr:colOff>
      <xdr:row>40</xdr:row>
      <xdr:rowOff>24657</xdr:rowOff>
    </xdr:to>
    <xdr:sp macro="" textlink="">
      <xdr:nvSpPr>
        <xdr:cNvPr id="9" name="Oval 8">
          <a:extLst>
            <a:ext uri="{FF2B5EF4-FFF2-40B4-BE49-F238E27FC236}">
              <a16:creationId xmlns:a16="http://schemas.microsoft.com/office/drawing/2014/main" id="{00000000-0008-0000-1000-000009000000}"/>
            </a:ext>
          </a:extLst>
        </xdr:cNvPr>
        <xdr:cNvSpPr/>
      </xdr:nvSpPr>
      <xdr:spPr>
        <a:xfrm>
          <a:off x="8947288" y="4796045"/>
          <a:ext cx="174698"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41</xdr:col>
      <xdr:colOff>53688</xdr:colOff>
      <xdr:row>73</xdr:row>
      <xdr:rowOff>62470</xdr:rowOff>
    </xdr:from>
    <xdr:to>
      <xdr:col>43</xdr:col>
      <xdr:colOff>77017</xdr:colOff>
      <xdr:row>75</xdr:row>
      <xdr:rowOff>109538</xdr:rowOff>
    </xdr:to>
    <xdr:sp macro="" textlink="">
      <xdr:nvSpPr>
        <xdr:cNvPr id="11" name="Freccia curva 8">
          <a:extLst>
            <a:ext uri="{FF2B5EF4-FFF2-40B4-BE49-F238E27FC236}">
              <a16:creationId xmlns:a16="http://schemas.microsoft.com/office/drawing/2014/main" id="{00000000-0008-0000-1000-00000B000000}"/>
            </a:ext>
          </a:extLst>
        </xdr:cNvPr>
        <xdr:cNvSpPr/>
      </xdr:nvSpPr>
      <xdr:spPr>
        <a:xfrm rot="10800000" flipH="1">
          <a:off x="5006688" y="91016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44</xdr:col>
      <xdr:colOff>55058</xdr:colOff>
      <xdr:row>73</xdr:row>
      <xdr:rowOff>67264</xdr:rowOff>
    </xdr:from>
    <xdr:to>
      <xdr:col>46</xdr:col>
      <xdr:colOff>84922</xdr:colOff>
      <xdr:row>75</xdr:row>
      <xdr:rowOff>123518</xdr:rowOff>
    </xdr:to>
    <xdr:sp macro="" textlink="">
      <xdr:nvSpPr>
        <xdr:cNvPr id="12" name="Freccia a inversione 13">
          <a:extLst>
            <a:ext uri="{FF2B5EF4-FFF2-40B4-BE49-F238E27FC236}">
              <a16:creationId xmlns:a16="http://schemas.microsoft.com/office/drawing/2014/main" id="{00000000-0008-0000-1000-00000C000000}"/>
            </a:ext>
          </a:extLst>
        </xdr:cNvPr>
        <xdr:cNvSpPr/>
      </xdr:nvSpPr>
      <xdr:spPr>
        <a:xfrm flipV="1">
          <a:off x="5379533" y="91064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101397</xdr:colOff>
      <xdr:row>73</xdr:row>
      <xdr:rowOff>51932</xdr:rowOff>
    </xdr:from>
    <xdr:to>
      <xdr:col>39</xdr:col>
      <xdr:colOff>114211</xdr:colOff>
      <xdr:row>75</xdr:row>
      <xdr:rowOff>95625</xdr:rowOff>
    </xdr:to>
    <xdr:sp macro="" textlink="">
      <xdr:nvSpPr>
        <xdr:cNvPr id="13" name="Freccia in giù 9">
          <a:extLst>
            <a:ext uri="{FF2B5EF4-FFF2-40B4-BE49-F238E27FC236}">
              <a16:creationId xmlns:a16="http://schemas.microsoft.com/office/drawing/2014/main" id="{00000000-0008-0000-1000-00000D000000}"/>
            </a:ext>
          </a:extLst>
        </xdr:cNvPr>
        <xdr:cNvSpPr/>
      </xdr:nvSpPr>
      <xdr:spPr>
        <a:xfrm>
          <a:off x="4682922" y="90911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32507</xdr:colOff>
      <xdr:row>73</xdr:row>
      <xdr:rowOff>111530</xdr:rowOff>
    </xdr:from>
    <xdr:to>
      <xdr:col>37</xdr:col>
      <xdr:colOff>65439</xdr:colOff>
      <xdr:row>76</xdr:row>
      <xdr:rowOff>9683</xdr:rowOff>
    </xdr:to>
    <xdr:sp macro="" textlink="">
      <xdr:nvSpPr>
        <xdr:cNvPr id="14" name="Freccia curva 7">
          <a:extLst>
            <a:ext uri="{FF2B5EF4-FFF2-40B4-BE49-F238E27FC236}">
              <a16:creationId xmlns:a16="http://schemas.microsoft.com/office/drawing/2014/main" id="{00000000-0008-0000-1000-00000E000000}"/>
            </a:ext>
          </a:extLst>
        </xdr:cNvPr>
        <xdr:cNvSpPr/>
      </xdr:nvSpPr>
      <xdr:spPr>
        <a:xfrm rot="10800000">
          <a:off x="4242557" y="91507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41</xdr:col>
      <xdr:colOff>96216</xdr:colOff>
      <xdr:row>95</xdr:row>
      <xdr:rowOff>91783</xdr:rowOff>
    </xdr:from>
    <xdr:to>
      <xdr:col>42</xdr:col>
      <xdr:colOff>109029</xdr:colOff>
      <xdr:row>98</xdr:row>
      <xdr:rowOff>10025</xdr:rowOff>
    </xdr:to>
    <xdr:sp macro="" textlink="">
      <xdr:nvSpPr>
        <xdr:cNvPr id="15" name="Freccia in giù 9">
          <a:extLst>
            <a:ext uri="{FF2B5EF4-FFF2-40B4-BE49-F238E27FC236}">
              <a16:creationId xmlns:a16="http://schemas.microsoft.com/office/drawing/2014/main" id="{00000000-0008-0000-1000-00000F000000}"/>
            </a:ext>
          </a:extLst>
        </xdr:cNvPr>
        <xdr:cNvSpPr/>
      </xdr:nvSpPr>
      <xdr:spPr>
        <a:xfrm rot="10800000">
          <a:off x="5049216" y="118551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46691</xdr:colOff>
      <xdr:row>95</xdr:row>
      <xdr:rowOff>118493</xdr:rowOff>
    </xdr:from>
    <xdr:to>
      <xdr:col>37</xdr:col>
      <xdr:colOff>74536</xdr:colOff>
      <xdr:row>98</xdr:row>
      <xdr:rowOff>52529</xdr:rowOff>
    </xdr:to>
    <xdr:sp macro="" textlink="">
      <xdr:nvSpPr>
        <xdr:cNvPr id="16" name="Freccia a inversione 13">
          <a:extLst>
            <a:ext uri="{FF2B5EF4-FFF2-40B4-BE49-F238E27FC236}">
              <a16:creationId xmlns:a16="http://schemas.microsoft.com/office/drawing/2014/main" id="{00000000-0008-0000-1000-000010000000}"/>
            </a:ext>
          </a:extLst>
        </xdr:cNvPr>
        <xdr:cNvSpPr/>
      </xdr:nvSpPr>
      <xdr:spPr>
        <a:xfrm rot="10800000" flipV="1">
          <a:off x="4256741" y="118818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36089</xdr:colOff>
      <xdr:row>96</xdr:row>
      <xdr:rowOff>3514</xdr:rowOff>
    </xdr:from>
    <xdr:to>
      <xdr:col>40</xdr:col>
      <xdr:colOff>59418</xdr:colOff>
      <xdr:row>98</xdr:row>
      <xdr:rowOff>50582</xdr:rowOff>
    </xdr:to>
    <xdr:sp macro="" textlink="">
      <xdr:nvSpPr>
        <xdr:cNvPr id="17" name="Freccia curva 8">
          <a:extLst>
            <a:ext uri="{FF2B5EF4-FFF2-40B4-BE49-F238E27FC236}">
              <a16:creationId xmlns:a16="http://schemas.microsoft.com/office/drawing/2014/main" id="{00000000-0008-0000-1000-000011000000}"/>
            </a:ext>
          </a:extLst>
        </xdr:cNvPr>
        <xdr:cNvSpPr/>
      </xdr:nvSpPr>
      <xdr:spPr>
        <a:xfrm flipH="1">
          <a:off x="4617614" y="11890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44</xdr:col>
      <xdr:colOff>41799</xdr:colOff>
      <xdr:row>96</xdr:row>
      <xdr:rowOff>18603</xdr:rowOff>
    </xdr:from>
    <xdr:to>
      <xdr:col>46</xdr:col>
      <xdr:colOff>74730</xdr:colOff>
      <xdr:row>98</xdr:row>
      <xdr:rowOff>42207</xdr:rowOff>
    </xdr:to>
    <xdr:sp macro="" textlink="">
      <xdr:nvSpPr>
        <xdr:cNvPr id="18" name="Freccia curva 7">
          <a:extLst>
            <a:ext uri="{FF2B5EF4-FFF2-40B4-BE49-F238E27FC236}">
              <a16:creationId xmlns:a16="http://schemas.microsoft.com/office/drawing/2014/main" id="{00000000-0008-0000-1000-000012000000}"/>
            </a:ext>
          </a:extLst>
        </xdr:cNvPr>
        <xdr:cNvSpPr/>
      </xdr:nvSpPr>
      <xdr:spPr>
        <a:xfrm>
          <a:off x="5366274" y="119058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66020</xdr:colOff>
      <xdr:row>80</xdr:row>
      <xdr:rowOff>58156</xdr:rowOff>
    </xdr:from>
    <xdr:to>
      <xdr:col>31</xdr:col>
      <xdr:colOff>24702</xdr:colOff>
      <xdr:row>82</xdr:row>
      <xdr:rowOff>69436</xdr:rowOff>
    </xdr:to>
    <xdr:sp macro="" textlink="">
      <xdr:nvSpPr>
        <xdr:cNvPr id="19" name="Freccia a inversione 13">
          <a:extLst>
            <a:ext uri="{FF2B5EF4-FFF2-40B4-BE49-F238E27FC236}">
              <a16:creationId xmlns:a16="http://schemas.microsoft.com/office/drawing/2014/main" id="{00000000-0008-0000-1000-000013000000}"/>
            </a:ext>
          </a:extLst>
        </xdr:cNvPr>
        <xdr:cNvSpPr/>
      </xdr:nvSpPr>
      <xdr:spPr>
        <a:xfrm rot="16200000" flipV="1">
          <a:off x="3444909" y="99285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51289</xdr:colOff>
      <xdr:row>83</xdr:row>
      <xdr:rowOff>58615</xdr:rowOff>
    </xdr:from>
    <xdr:to>
      <xdr:col>30</xdr:col>
      <xdr:colOff>116943</xdr:colOff>
      <xdr:row>85</xdr:row>
      <xdr:rowOff>63358</xdr:rowOff>
    </xdr:to>
    <xdr:sp macro="" textlink="">
      <xdr:nvSpPr>
        <xdr:cNvPr id="20" name="Freccia curva 8">
          <a:extLst>
            <a:ext uri="{FF2B5EF4-FFF2-40B4-BE49-F238E27FC236}">
              <a16:creationId xmlns:a16="http://schemas.microsoft.com/office/drawing/2014/main" id="{00000000-0008-0000-1000-000014000000}"/>
            </a:ext>
          </a:extLst>
        </xdr:cNvPr>
        <xdr:cNvSpPr/>
      </xdr:nvSpPr>
      <xdr:spPr>
        <a:xfrm rot="5400000" flipH="1">
          <a:off x="3425019" y="103056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73270</xdr:colOff>
      <xdr:row>89</xdr:row>
      <xdr:rowOff>80596</xdr:rowOff>
    </xdr:from>
    <xdr:to>
      <xdr:col>30</xdr:col>
      <xdr:colOff>134510</xdr:colOff>
      <xdr:row>91</xdr:row>
      <xdr:rowOff>94943</xdr:rowOff>
    </xdr:to>
    <xdr:sp macro="" textlink="">
      <xdr:nvSpPr>
        <xdr:cNvPr id="21" name="Freccia curva 7">
          <a:extLst>
            <a:ext uri="{FF2B5EF4-FFF2-40B4-BE49-F238E27FC236}">
              <a16:creationId xmlns:a16="http://schemas.microsoft.com/office/drawing/2014/main" id="{00000000-0008-0000-1000-000015000000}"/>
            </a:ext>
          </a:extLst>
        </xdr:cNvPr>
        <xdr:cNvSpPr/>
      </xdr:nvSpPr>
      <xdr:spPr>
        <a:xfrm rot="5400000">
          <a:off x="3435229" y="110823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16</xdr:col>
      <xdr:colOff>108799</xdr:colOff>
      <xdr:row>83</xdr:row>
      <xdr:rowOff>27872</xdr:rowOff>
    </xdr:from>
    <xdr:ext cx="963800" cy="311715"/>
    <xdr:sp macro="" textlink="">
      <xdr:nvSpPr>
        <xdr:cNvPr id="22" name="Rectangle 21">
          <a:extLst>
            <a:ext uri="{FF2B5EF4-FFF2-40B4-BE49-F238E27FC236}">
              <a16:creationId xmlns:a16="http://schemas.microsoft.com/office/drawing/2014/main" id="{00000000-0008-0000-1000-000016000000}"/>
            </a:ext>
          </a:extLst>
        </xdr:cNvPr>
        <xdr:cNvSpPr/>
      </xdr:nvSpPr>
      <xdr:spPr>
        <a:xfrm>
          <a:off x="1966174" y="103053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28</xdr:col>
      <xdr:colOff>58937</xdr:colOff>
      <xdr:row>87</xdr:row>
      <xdr:rowOff>6397</xdr:rowOff>
    </xdr:from>
    <xdr:to>
      <xdr:col>31</xdr:col>
      <xdr:colOff>5058</xdr:colOff>
      <xdr:row>88</xdr:row>
      <xdr:rowOff>9918</xdr:rowOff>
    </xdr:to>
    <xdr:sp macro="" textlink="">
      <xdr:nvSpPr>
        <xdr:cNvPr id="23" name="Freccia in giù 9">
          <a:extLst>
            <a:ext uri="{FF2B5EF4-FFF2-40B4-BE49-F238E27FC236}">
              <a16:creationId xmlns:a16="http://schemas.microsoft.com/office/drawing/2014/main" id="{00000000-0008-0000-1000-000017000000}"/>
            </a:ext>
          </a:extLst>
        </xdr:cNvPr>
        <xdr:cNvSpPr/>
      </xdr:nvSpPr>
      <xdr:spPr>
        <a:xfrm rot="16200000">
          <a:off x="3497337" y="106840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97574</xdr:colOff>
      <xdr:row>84</xdr:row>
      <xdr:rowOff>4645</xdr:rowOff>
    </xdr:from>
    <xdr:to>
      <xdr:col>73</xdr:col>
      <xdr:colOff>43694</xdr:colOff>
      <xdr:row>85</xdr:row>
      <xdr:rowOff>8166</xdr:rowOff>
    </xdr:to>
    <xdr:sp macro="" textlink="">
      <xdr:nvSpPr>
        <xdr:cNvPr id="24" name="Freccia in giù 9">
          <a:extLst>
            <a:ext uri="{FF2B5EF4-FFF2-40B4-BE49-F238E27FC236}">
              <a16:creationId xmlns:a16="http://schemas.microsoft.com/office/drawing/2014/main" id="{00000000-0008-0000-1000-000018000000}"/>
            </a:ext>
          </a:extLst>
        </xdr:cNvPr>
        <xdr:cNvSpPr/>
      </xdr:nvSpPr>
      <xdr:spPr>
        <a:xfrm rot="5400000">
          <a:off x="8736624" y="10310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25" name="Freccia curva 66">
          <a:extLst>
            <a:ext uri="{FF2B5EF4-FFF2-40B4-BE49-F238E27FC236}">
              <a16:creationId xmlns:a16="http://schemas.microsoft.com/office/drawing/2014/main" id="{00000000-0008-0000-1000-000019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26" name="Freccia curva 66">
          <a:extLst>
            <a:ext uri="{FF2B5EF4-FFF2-40B4-BE49-F238E27FC236}">
              <a16:creationId xmlns:a16="http://schemas.microsoft.com/office/drawing/2014/main" id="{00000000-0008-0000-1000-00001A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27" name="Freccia curva 66">
          <a:extLst>
            <a:ext uri="{FF2B5EF4-FFF2-40B4-BE49-F238E27FC236}">
              <a16:creationId xmlns:a16="http://schemas.microsoft.com/office/drawing/2014/main" id="{00000000-0008-0000-1000-00001B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28" name="Freccia curva 66">
          <a:extLst>
            <a:ext uri="{FF2B5EF4-FFF2-40B4-BE49-F238E27FC236}">
              <a16:creationId xmlns:a16="http://schemas.microsoft.com/office/drawing/2014/main" id="{00000000-0008-0000-1000-00001C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94989</xdr:colOff>
      <xdr:row>89</xdr:row>
      <xdr:rowOff>82275</xdr:rowOff>
    </xdr:from>
    <xdr:to>
      <xdr:col>53</xdr:col>
      <xdr:colOff>56903</xdr:colOff>
      <xdr:row>91</xdr:row>
      <xdr:rowOff>91535</xdr:rowOff>
    </xdr:to>
    <xdr:sp macro="" textlink="">
      <xdr:nvSpPr>
        <xdr:cNvPr id="29" name="Freccia a inversione 13">
          <a:extLst>
            <a:ext uri="{FF2B5EF4-FFF2-40B4-BE49-F238E27FC236}">
              <a16:creationId xmlns:a16="http://schemas.microsoft.com/office/drawing/2014/main" id="{00000000-0008-0000-1000-00001D000000}"/>
            </a:ext>
          </a:extLst>
        </xdr:cNvPr>
        <xdr:cNvSpPr/>
      </xdr:nvSpPr>
      <xdr:spPr>
        <a:xfrm rot="5400000" flipV="1">
          <a:off x="6200654" y="110644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xdr:col>
      <xdr:colOff>58937</xdr:colOff>
      <xdr:row>87</xdr:row>
      <xdr:rowOff>6397</xdr:rowOff>
    </xdr:from>
    <xdr:to>
      <xdr:col>11</xdr:col>
      <xdr:colOff>5058</xdr:colOff>
      <xdr:row>88</xdr:row>
      <xdr:rowOff>9918</xdr:rowOff>
    </xdr:to>
    <xdr:sp macro="" textlink="">
      <xdr:nvSpPr>
        <xdr:cNvPr id="30" name="Freccia in giù 9">
          <a:extLst>
            <a:ext uri="{FF2B5EF4-FFF2-40B4-BE49-F238E27FC236}">
              <a16:creationId xmlns:a16="http://schemas.microsoft.com/office/drawing/2014/main" id="{00000000-0008-0000-1000-00001E000000}"/>
            </a:ext>
          </a:extLst>
        </xdr:cNvPr>
        <xdr:cNvSpPr/>
      </xdr:nvSpPr>
      <xdr:spPr>
        <a:xfrm rot="16200000">
          <a:off x="1020837" y="106840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97574</xdr:colOff>
      <xdr:row>84</xdr:row>
      <xdr:rowOff>4645</xdr:rowOff>
    </xdr:from>
    <xdr:to>
      <xdr:col>53</xdr:col>
      <xdr:colOff>43694</xdr:colOff>
      <xdr:row>85</xdr:row>
      <xdr:rowOff>8166</xdr:rowOff>
    </xdr:to>
    <xdr:sp macro="" textlink="">
      <xdr:nvSpPr>
        <xdr:cNvPr id="31" name="Freccia in giù 9">
          <a:extLst>
            <a:ext uri="{FF2B5EF4-FFF2-40B4-BE49-F238E27FC236}">
              <a16:creationId xmlns:a16="http://schemas.microsoft.com/office/drawing/2014/main" id="{00000000-0008-0000-1000-00001F000000}"/>
            </a:ext>
          </a:extLst>
        </xdr:cNvPr>
        <xdr:cNvSpPr/>
      </xdr:nvSpPr>
      <xdr:spPr>
        <a:xfrm rot="5400000">
          <a:off x="6260124" y="10310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12426</xdr:colOff>
      <xdr:row>80</xdr:row>
      <xdr:rowOff>10353</xdr:rowOff>
    </xdr:from>
    <xdr:to>
      <xdr:col>53</xdr:col>
      <xdr:colOff>35615</xdr:colOff>
      <xdr:row>82</xdr:row>
      <xdr:rowOff>43285</xdr:rowOff>
    </xdr:to>
    <xdr:sp macro="" textlink="">
      <xdr:nvSpPr>
        <xdr:cNvPr id="32" name="Freccia curva 7">
          <a:extLst>
            <a:ext uri="{FF2B5EF4-FFF2-40B4-BE49-F238E27FC236}">
              <a16:creationId xmlns:a16="http://schemas.microsoft.com/office/drawing/2014/main" id="{00000000-0008-0000-1000-000020000000}"/>
            </a:ext>
          </a:extLst>
        </xdr:cNvPr>
        <xdr:cNvSpPr/>
      </xdr:nvSpPr>
      <xdr:spPr>
        <a:xfrm rot="16200000">
          <a:off x="6198805" y="992122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56</xdr:col>
      <xdr:colOff>99274</xdr:colOff>
      <xdr:row>82</xdr:row>
      <xdr:rowOff>113597</xdr:rowOff>
    </xdr:from>
    <xdr:ext cx="963800" cy="311715"/>
    <xdr:sp macro="" textlink="">
      <xdr:nvSpPr>
        <xdr:cNvPr id="33" name="Rectangle 32">
          <a:extLst>
            <a:ext uri="{FF2B5EF4-FFF2-40B4-BE49-F238E27FC236}">
              <a16:creationId xmlns:a16="http://schemas.microsoft.com/office/drawing/2014/main" id="{00000000-0008-0000-1000-000021000000}"/>
            </a:ext>
          </a:extLst>
        </xdr:cNvPr>
        <xdr:cNvSpPr/>
      </xdr:nvSpPr>
      <xdr:spPr>
        <a:xfrm>
          <a:off x="6909649" y="102672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20</xdr:col>
      <xdr:colOff>74544</xdr:colOff>
      <xdr:row>77</xdr:row>
      <xdr:rowOff>57979</xdr:rowOff>
    </xdr:from>
    <xdr:to>
      <xdr:col>23</xdr:col>
      <xdr:colOff>36458</xdr:colOff>
      <xdr:row>79</xdr:row>
      <xdr:rowOff>67239</xdr:rowOff>
    </xdr:to>
    <xdr:sp macro="" textlink="">
      <xdr:nvSpPr>
        <xdr:cNvPr id="34" name="Freccia a inversione 13">
          <a:extLst>
            <a:ext uri="{FF2B5EF4-FFF2-40B4-BE49-F238E27FC236}">
              <a16:creationId xmlns:a16="http://schemas.microsoft.com/office/drawing/2014/main" id="{00000000-0008-0000-1000-000022000000}"/>
            </a:ext>
          </a:extLst>
        </xdr:cNvPr>
        <xdr:cNvSpPr/>
      </xdr:nvSpPr>
      <xdr:spPr>
        <a:xfrm rot="5400000" flipV="1">
          <a:off x="2465459" y="9554264"/>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37</xdr:col>
      <xdr:colOff>3195</xdr:colOff>
      <xdr:row>83</xdr:row>
      <xdr:rowOff>8822</xdr:rowOff>
    </xdr:from>
    <xdr:ext cx="963800" cy="311715"/>
    <xdr:sp macro="" textlink="">
      <xdr:nvSpPr>
        <xdr:cNvPr id="35" name="Rectangle 34">
          <a:extLst>
            <a:ext uri="{FF2B5EF4-FFF2-40B4-BE49-F238E27FC236}">
              <a16:creationId xmlns:a16="http://schemas.microsoft.com/office/drawing/2014/main" id="{00000000-0008-0000-1000-000023000000}"/>
            </a:ext>
          </a:extLst>
        </xdr:cNvPr>
        <xdr:cNvSpPr/>
      </xdr:nvSpPr>
      <xdr:spPr>
        <a:xfrm>
          <a:off x="4460895" y="102862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58</xdr:col>
      <xdr:colOff>66261</xdr:colOff>
      <xdr:row>92</xdr:row>
      <xdr:rowOff>49696</xdr:rowOff>
    </xdr:from>
    <xdr:to>
      <xdr:col>61</xdr:col>
      <xdr:colOff>24942</xdr:colOff>
      <xdr:row>94</xdr:row>
      <xdr:rowOff>60976</xdr:rowOff>
    </xdr:to>
    <xdr:sp macro="" textlink="">
      <xdr:nvSpPr>
        <xdr:cNvPr id="36" name="Freccia a inversione 13">
          <a:extLst>
            <a:ext uri="{FF2B5EF4-FFF2-40B4-BE49-F238E27FC236}">
              <a16:creationId xmlns:a16="http://schemas.microsoft.com/office/drawing/2014/main" id="{00000000-0008-0000-1000-000024000000}"/>
            </a:ext>
          </a:extLst>
        </xdr:cNvPr>
        <xdr:cNvSpPr/>
      </xdr:nvSpPr>
      <xdr:spPr>
        <a:xfrm rot="16200000" flipV="1">
          <a:off x="7159899" y="11405983"/>
          <a:ext cx="258930" cy="330156"/>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xdr:col>
      <xdr:colOff>114297</xdr:colOff>
      <xdr:row>26</xdr:row>
      <xdr:rowOff>114300</xdr:rowOff>
    </xdr:from>
    <xdr:to>
      <xdr:col>8</xdr:col>
      <xdr:colOff>14462</xdr:colOff>
      <xdr:row>43</xdr:row>
      <xdr:rowOff>62121</xdr:rowOff>
    </xdr:to>
    <xdr:cxnSp macro="">
      <xdr:nvCxnSpPr>
        <xdr:cNvPr id="38" name="Straight Connector 37">
          <a:extLst>
            <a:ext uri="{FF2B5EF4-FFF2-40B4-BE49-F238E27FC236}">
              <a16:creationId xmlns:a16="http://schemas.microsoft.com/office/drawing/2014/main" id="{00000000-0008-0000-1000-000026000000}"/>
            </a:ext>
          </a:extLst>
        </xdr:cNvPr>
        <xdr:cNvCxnSpPr>
          <a:stCxn id="39" idx="0"/>
        </xdr:cNvCxnSpPr>
      </xdr:nvCxnSpPr>
      <xdr:spPr>
        <a:xfrm rot="16200000" flipV="1">
          <a:off x="-314343" y="4162440"/>
          <a:ext cx="2052846" cy="39546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50938</xdr:colOff>
      <xdr:row>43</xdr:row>
      <xdr:rowOff>62121</xdr:rowOff>
    </xdr:from>
    <xdr:to>
      <xdr:col>8</xdr:col>
      <xdr:colOff>101811</xdr:colOff>
      <xdr:row>44</xdr:row>
      <xdr:rowOff>119908</xdr:rowOff>
    </xdr:to>
    <xdr:sp macro="" textlink="">
      <xdr:nvSpPr>
        <xdr:cNvPr id="39" name="Oval 38">
          <a:extLst>
            <a:ext uri="{FF2B5EF4-FFF2-40B4-BE49-F238E27FC236}">
              <a16:creationId xmlns:a16="http://schemas.microsoft.com/office/drawing/2014/main" id="{00000000-0008-0000-1000-000027000000}"/>
            </a:ext>
          </a:extLst>
        </xdr:cNvPr>
        <xdr:cNvSpPr/>
      </xdr:nvSpPr>
      <xdr:spPr>
        <a:xfrm>
          <a:off x="822463" y="5386596"/>
          <a:ext cx="174698"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69</xdr:col>
      <xdr:colOff>85725</xdr:colOff>
      <xdr:row>106</xdr:row>
      <xdr:rowOff>9525</xdr:rowOff>
    </xdr:from>
    <xdr:to>
      <xdr:col>79</xdr:col>
      <xdr:colOff>28574</xdr:colOff>
      <xdr:row>109</xdr:row>
      <xdr:rowOff>114300</xdr:rowOff>
    </xdr:to>
    <xdr:sp macro="" textlink="">
      <xdr:nvSpPr>
        <xdr:cNvPr id="40" name="Right Arrow 39">
          <a:hlinkClick xmlns:r="http://schemas.openxmlformats.org/officeDocument/2006/relationships" r:id="rId2"/>
          <a:extLst>
            <a:ext uri="{FF2B5EF4-FFF2-40B4-BE49-F238E27FC236}">
              <a16:creationId xmlns:a16="http://schemas.microsoft.com/office/drawing/2014/main" id="{00000000-0008-0000-1000-000028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28574</xdr:colOff>
      <xdr:row>14</xdr:row>
      <xdr:rowOff>19050</xdr:rowOff>
    </xdr:from>
    <xdr:to>
      <xdr:col>23</xdr:col>
      <xdr:colOff>559</xdr:colOff>
      <xdr:row>71</xdr:row>
      <xdr:rowOff>81803</xdr:rowOff>
    </xdr:to>
    <xdr:pic>
      <xdr:nvPicPr>
        <xdr:cNvPr id="11" name="Picture 10" descr="PMedian U Turn-Model.jpg">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srcRect t="1904" b="1562"/>
        <a:stretch>
          <a:fillRect/>
        </a:stretch>
      </xdr:blipFill>
      <xdr:spPr>
        <a:xfrm>
          <a:off x="1057274" y="1752600"/>
          <a:ext cx="1704975" cy="7120778"/>
        </a:xfrm>
        <a:prstGeom prst="rect">
          <a:avLst/>
        </a:prstGeom>
      </xdr:spPr>
    </xdr:pic>
    <xdr:clientData/>
  </xdr:twoCellAnchor>
  <xdr:oneCellAnchor>
    <xdr:from>
      <xdr:col>44</xdr:col>
      <xdr:colOff>114328</xdr:colOff>
      <xdr:row>37</xdr:row>
      <xdr:rowOff>40660</xdr:rowOff>
    </xdr:from>
    <xdr:ext cx="1235761" cy="313954"/>
    <xdr:sp macro="" textlink="">
      <xdr:nvSpPr>
        <xdr:cNvPr id="2" name="Rectangle 1">
          <a:extLst>
            <a:ext uri="{FF2B5EF4-FFF2-40B4-BE49-F238E27FC236}">
              <a16:creationId xmlns:a16="http://schemas.microsoft.com/office/drawing/2014/main" id="{00000000-0008-0000-1100-000002000000}"/>
            </a:ext>
          </a:extLst>
        </xdr:cNvPr>
        <xdr:cNvSpPr/>
      </xdr:nvSpPr>
      <xdr:spPr>
        <a:xfrm>
          <a:off x="5438803" y="462218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38</xdr:col>
      <xdr:colOff>0</xdr:colOff>
      <xdr:row>20</xdr:row>
      <xdr:rowOff>57150</xdr:rowOff>
    </xdr:from>
    <xdr:ext cx="1235761" cy="313954"/>
    <xdr:sp macro="" textlink="">
      <xdr:nvSpPr>
        <xdr:cNvPr id="3" name="Rectangle 2">
          <a:extLst>
            <a:ext uri="{FF2B5EF4-FFF2-40B4-BE49-F238E27FC236}">
              <a16:creationId xmlns:a16="http://schemas.microsoft.com/office/drawing/2014/main" id="{00000000-0008-0000-1100-000003000000}"/>
            </a:ext>
          </a:extLst>
        </xdr:cNvPr>
        <xdr:cNvSpPr/>
      </xdr:nvSpPr>
      <xdr:spPr>
        <a:xfrm>
          <a:off x="4581525" y="25336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37</xdr:col>
      <xdr:colOff>114300</xdr:colOff>
      <xdr:row>55</xdr:row>
      <xdr:rowOff>19050</xdr:rowOff>
    </xdr:from>
    <xdr:ext cx="1235761" cy="313954"/>
    <xdr:sp macro="" textlink="">
      <xdr:nvSpPr>
        <xdr:cNvPr id="4" name="Rectangle 3">
          <a:extLst>
            <a:ext uri="{FF2B5EF4-FFF2-40B4-BE49-F238E27FC236}">
              <a16:creationId xmlns:a16="http://schemas.microsoft.com/office/drawing/2014/main" id="{00000000-0008-0000-1100-000004000000}"/>
            </a:ext>
          </a:extLst>
        </xdr:cNvPr>
        <xdr:cNvSpPr/>
      </xdr:nvSpPr>
      <xdr:spPr>
        <a:xfrm>
          <a:off x="4572000" y="682942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15</xdr:col>
      <xdr:colOff>2002</xdr:colOff>
      <xdr:row>15</xdr:row>
      <xdr:rowOff>106209</xdr:rowOff>
    </xdr:from>
    <xdr:to>
      <xdr:col>38</xdr:col>
      <xdr:colOff>0</xdr:colOff>
      <xdr:row>23</xdr:row>
      <xdr:rowOff>0</xdr:rowOff>
    </xdr:to>
    <xdr:cxnSp macro="">
      <xdr:nvCxnSpPr>
        <xdr:cNvPr id="5" name="Straight Connector 4">
          <a:extLst>
            <a:ext uri="{FF2B5EF4-FFF2-40B4-BE49-F238E27FC236}">
              <a16:creationId xmlns:a16="http://schemas.microsoft.com/office/drawing/2014/main" id="{00000000-0008-0000-1100-000005000000}"/>
            </a:ext>
          </a:extLst>
        </xdr:cNvPr>
        <xdr:cNvCxnSpPr>
          <a:stCxn id="6" idx="6"/>
        </xdr:cNvCxnSpPr>
      </xdr:nvCxnSpPr>
      <xdr:spPr>
        <a:xfrm>
          <a:off x="1735552" y="1963584"/>
          <a:ext cx="2845973" cy="884391"/>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74539</xdr:colOff>
      <xdr:row>15</xdr:row>
      <xdr:rowOff>14989</xdr:rowOff>
    </xdr:from>
    <xdr:to>
      <xdr:col>15</xdr:col>
      <xdr:colOff>2002</xdr:colOff>
      <xdr:row>16</xdr:row>
      <xdr:rowOff>73604</xdr:rowOff>
    </xdr:to>
    <xdr:sp macro="" textlink="">
      <xdr:nvSpPr>
        <xdr:cNvPr id="6" name="Oval 5">
          <a:extLst>
            <a:ext uri="{FF2B5EF4-FFF2-40B4-BE49-F238E27FC236}">
              <a16:creationId xmlns:a16="http://schemas.microsoft.com/office/drawing/2014/main" id="{00000000-0008-0000-1100-000006000000}"/>
            </a:ext>
          </a:extLst>
        </xdr:cNvPr>
        <xdr:cNvSpPr/>
      </xdr:nvSpPr>
      <xdr:spPr>
        <a:xfrm>
          <a:off x="1560439" y="187236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78202</xdr:colOff>
      <xdr:row>40</xdr:row>
      <xdr:rowOff>0</xdr:rowOff>
    </xdr:from>
    <xdr:to>
      <xdr:col>45</xdr:col>
      <xdr:colOff>9525</xdr:colOff>
      <xdr:row>43</xdr:row>
      <xdr:rowOff>1434</xdr:rowOff>
    </xdr:to>
    <xdr:cxnSp macro="">
      <xdr:nvCxnSpPr>
        <xdr:cNvPr id="7" name="Straight Connector 6">
          <a:extLst>
            <a:ext uri="{FF2B5EF4-FFF2-40B4-BE49-F238E27FC236}">
              <a16:creationId xmlns:a16="http://schemas.microsoft.com/office/drawing/2014/main" id="{00000000-0008-0000-1100-000007000000}"/>
            </a:ext>
          </a:extLst>
        </xdr:cNvPr>
        <xdr:cNvCxnSpPr>
          <a:stCxn id="8" idx="6"/>
        </xdr:cNvCxnSpPr>
      </xdr:nvCxnSpPr>
      <xdr:spPr>
        <a:xfrm flipV="1">
          <a:off x="1935577" y="4953000"/>
          <a:ext cx="3522248" cy="37290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26914</xdr:colOff>
      <xdr:row>42</xdr:row>
      <xdr:rowOff>34039</xdr:rowOff>
    </xdr:from>
    <xdr:to>
      <xdr:col>16</xdr:col>
      <xdr:colOff>78202</xdr:colOff>
      <xdr:row>43</xdr:row>
      <xdr:rowOff>92654</xdr:rowOff>
    </xdr:to>
    <xdr:sp macro="" textlink="">
      <xdr:nvSpPr>
        <xdr:cNvPr id="8" name="Oval 7">
          <a:extLst>
            <a:ext uri="{FF2B5EF4-FFF2-40B4-BE49-F238E27FC236}">
              <a16:creationId xmlns:a16="http://schemas.microsoft.com/office/drawing/2014/main" id="{00000000-0008-0000-1100-000008000000}"/>
            </a:ext>
          </a:extLst>
        </xdr:cNvPr>
        <xdr:cNvSpPr/>
      </xdr:nvSpPr>
      <xdr:spPr>
        <a:xfrm>
          <a:off x="1760464" y="523468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21052</xdr:colOff>
      <xdr:row>58</xdr:row>
      <xdr:rowOff>9525</xdr:rowOff>
    </xdr:from>
    <xdr:to>
      <xdr:col>38</xdr:col>
      <xdr:colOff>0</xdr:colOff>
      <xdr:row>69</xdr:row>
      <xdr:rowOff>106209</xdr:rowOff>
    </xdr:to>
    <xdr:cxnSp macro="">
      <xdr:nvCxnSpPr>
        <xdr:cNvPr id="9" name="Straight Connector 8">
          <a:extLst>
            <a:ext uri="{FF2B5EF4-FFF2-40B4-BE49-F238E27FC236}">
              <a16:creationId xmlns:a16="http://schemas.microsoft.com/office/drawing/2014/main" id="{00000000-0008-0000-1100-000009000000}"/>
            </a:ext>
          </a:extLst>
        </xdr:cNvPr>
        <xdr:cNvCxnSpPr>
          <a:stCxn id="10" idx="6"/>
        </xdr:cNvCxnSpPr>
      </xdr:nvCxnSpPr>
      <xdr:spPr>
        <a:xfrm flipV="1">
          <a:off x="2126077" y="7191375"/>
          <a:ext cx="2455448" cy="145875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93589</xdr:colOff>
      <xdr:row>69</xdr:row>
      <xdr:rowOff>14989</xdr:rowOff>
    </xdr:from>
    <xdr:to>
      <xdr:col>18</xdr:col>
      <xdr:colOff>21052</xdr:colOff>
      <xdr:row>70</xdr:row>
      <xdr:rowOff>73604</xdr:rowOff>
    </xdr:to>
    <xdr:sp macro="" textlink="">
      <xdr:nvSpPr>
        <xdr:cNvPr id="10" name="Oval 9">
          <a:extLst>
            <a:ext uri="{FF2B5EF4-FFF2-40B4-BE49-F238E27FC236}">
              <a16:creationId xmlns:a16="http://schemas.microsoft.com/office/drawing/2014/main" id="{00000000-0008-0000-1100-00000A000000}"/>
            </a:ext>
          </a:extLst>
        </xdr:cNvPr>
        <xdr:cNvSpPr/>
      </xdr:nvSpPr>
      <xdr:spPr>
        <a:xfrm>
          <a:off x="1950964" y="855891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92</xdr:col>
      <xdr:colOff>53688</xdr:colOff>
      <xdr:row>26</xdr:row>
      <xdr:rowOff>62470</xdr:rowOff>
    </xdr:from>
    <xdr:to>
      <xdr:col>94</xdr:col>
      <xdr:colOff>77017</xdr:colOff>
      <xdr:row>28</xdr:row>
      <xdr:rowOff>109538</xdr:rowOff>
    </xdr:to>
    <xdr:sp macro="" textlink="">
      <xdr:nvSpPr>
        <xdr:cNvPr id="12" name="Freccia curva 8">
          <a:extLst>
            <a:ext uri="{FF2B5EF4-FFF2-40B4-BE49-F238E27FC236}">
              <a16:creationId xmlns:a16="http://schemas.microsoft.com/office/drawing/2014/main" id="{00000000-0008-0000-1100-00000C000000}"/>
            </a:ext>
          </a:extLst>
        </xdr:cNvPr>
        <xdr:cNvSpPr/>
      </xdr:nvSpPr>
      <xdr:spPr>
        <a:xfrm rot="10800000" flipH="1">
          <a:off x="3644613" y="1244497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55058</xdr:colOff>
      <xdr:row>26</xdr:row>
      <xdr:rowOff>67264</xdr:rowOff>
    </xdr:from>
    <xdr:to>
      <xdr:col>97</xdr:col>
      <xdr:colOff>84922</xdr:colOff>
      <xdr:row>28</xdr:row>
      <xdr:rowOff>123518</xdr:rowOff>
    </xdr:to>
    <xdr:sp macro="" textlink="">
      <xdr:nvSpPr>
        <xdr:cNvPr id="13" name="Freccia a inversione 13">
          <a:extLst>
            <a:ext uri="{FF2B5EF4-FFF2-40B4-BE49-F238E27FC236}">
              <a16:creationId xmlns:a16="http://schemas.microsoft.com/office/drawing/2014/main" id="{00000000-0008-0000-1100-00000D000000}"/>
            </a:ext>
          </a:extLst>
        </xdr:cNvPr>
        <xdr:cNvSpPr/>
      </xdr:nvSpPr>
      <xdr:spPr>
        <a:xfrm flipV="1">
          <a:off x="4017458" y="1244976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101397</xdr:colOff>
      <xdr:row>26</xdr:row>
      <xdr:rowOff>51932</xdr:rowOff>
    </xdr:from>
    <xdr:to>
      <xdr:col>90</xdr:col>
      <xdr:colOff>114211</xdr:colOff>
      <xdr:row>28</xdr:row>
      <xdr:rowOff>95625</xdr:rowOff>
    </xdr:to>
    <xdr:sp macro="" textlink="">
      <xdr:nvSpPr>
        <xdr:cNvPr id="14" name="Freccia in giù 9">
          <a:extLst>
            <a:ext uri="{FF2B5EF4-FFF2-40B4-BE49-F238E27FC236}">
              <a16:creationId xmlns:a16="http://schemas.microsoft.com/office/drawing/2014/main" id="{00000000-0008-0000-1100-00000E000000}"/>
            </a:ext>
          </a:extLst>
        </xdr:cNvPr>
        <xdr:cNvSpPr/>
      </xdr:nvSpPr>
      <xdr:spPr>
        <a:xfrm>
          <a:off x="3320847" y="1243443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32507</xdr:colOff>
      <xdr:row>26</xdr:row>
      <xdr:rowOff>111530</xdr:rowOff>
    </xdr:from>
    <xdr:to>
      <xdr:col>88</xdr:col>
      <xdr:colOff>65439</xdr:colOff>
      <xdr:row>29</xdr:row>
      <xdr:rowOff>9683</xdr:rowOff>
    </xdr:to>
    <xdr:sp macro="" textlink="">
      <xdr:nvSpPr>
        <xdr:cNvPr id="15" name="Freccia curva 7">
          <a:extLst>
            <a:ext uri="{FF2B5EF4-FFF2-40B4-BE49-F238E27FC236}">
              <a16:creationId xmlns:a16="http://schemas.microsoft.com/office/drawing/2014/main" id="{00000000-0008-0000-1100-00000F000000}"/>
            </a:ext>
          </a:extLst>
        </xdr:cNvPr>
        <xdr:cNvSpPr/>
      </xdr:nvSpPr>
      <xdr:spPr>
        <a:xfrm rot="10800000">
          <a:off x="2880482" y="1249403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96216</xdr:colOff>
      <xdr:row>48</xdr:row>
      <xdr:rowOff>91783</xdr:rowOff>
    </xdr:from>
    <xdr:to>
      <xdr:col>93</xdr:col>
      <xdr:colOff>109029</xdr:colOff>
      <xdr:row>51</xdr:row>
      <xdr:rowOff>10025</xdr:rowOff>
    </xdr:to>
    <xdr:sp macro="" textlink="">
      <xdr:nvSpPr>
        <xdr:cNvPr id="16" name="Freccia in giù 9">
          <a:extLst>
            <a:ext uri="{FF2B5EF4-FFF2-40B4-BE49-F238E27FC236}">
              <a16:creationId xmlns:a16="http://schemas.microsoft.com/office/drawing/2014/main" id="{00000000-0008-0000-1100-000010000000}"/>
            </a:ext>
          </a:extLst>
        </xdr:cNvPr>
        <xdr:cNvSpPr/>
      </xdr:nvSpPr>
      <xdr:spPr>
        <a:xfrm rot="10800000">
          <a:off x="3687141" y="151984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46691</xdr:colOff>
      <xdr:row>48</xdr:row>
      <xdr:rowOff>118493</xdr:rowOff>
    </xdr:from>
    <xdr:to>
      <xdr:col>88</xdr:col>
      <xdr:colOff>74536</xdr:colOff>
      <xdr:row>51</xdr:row>
      <xdr:rowOff>52529</xdr:rowOff>
    </xdr:to>
    <xdr:sp macro="" textlink="">
      <xdr:nvSpPr>
        <xdr:cNvPr id="17" name="Freccia a inversione 13">
          <a:extLst>
            <a:ext uri="{FF2B5EF4-FFF2-40B4-BE49-F238E27FC236}">
              <a16:creationId xmlns:a16="http://schemas.microsoft.com/office/drawing/2014/main" id="{00000000-0008-0000-1100-000011000000}"/>
            </a:ext>
          </a:extLst>
        </xdr:cNvPr>
        <xdr:cNvSpPr/>
      </xdr:nvSpPr>
      <xdr:spPr>
        <a:xfrm rot="10800000" flipV="1">
          <a:off x="2894666" y="1522514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36089</xdr:colOff>
      <xdr:row>49</xdr:row>
      <xdr:rowOff>3514</xdr:rowOff>
    </xdr:from>
    <xdr:to>
      <xdr:col>91</xdr:col>
      <xdr:colOff>59418</xdr:colOff>
      <xdr:row>51</xdr:row>
      <xdr:rowOff>50582</xdr:rowOff>
    </xdr:to>
    <xdr:sp macro="" textlink="">
      <xdr:nvSpPr>
        <xdr:cNvPr id="18" name="Freccia curva 8">
          <a:extLst>
            <a:ext uri="{FF2B5EF4-FFF2-40B4-BE49-F238E27FC236}">
              <a16:creationId xmlns:a16="http://schemas.microsoft.com/office/drawing/2014/main" id="{00000000-0008-0000-1100-000012000000}"/>
            </a:ext>
          </a:extLst>
        </xdr:cNvPr>
        <xdr:cNvSpPr/>
      </xdr:nvSpPr>
      <xdr:spPr>
        <a:xfrm flipH="1">
          <a:off x="3255539" y="1523398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51324</xdr:colOff>
      <xdr:row>48</xdr:row>
      <xdr:rowOff>94803</xdr:rowOff>
    </xdr:from>
    <xdr:to>
      <xdr:col>97</xdr:col>
      <xdr:colOff>84255</xdr:colOff>
      <xdr:row>50</xdr:row>
      <xdr:rowOff>118407</xdr:rowOff>
    </xdr:to>
    <xdr:sp macro="" textlink="">
      <xdr:nvSpPr>
        <xdr:cNvPr id="19" name="Freccia curva 7">
          <a:extLst>
            <a:ext uri="{FF2B5EF4-FFF2-40B4-BE49-F238E27FC236}">
              <a16:creationId xmlns:a16="http://schemas.microsoft.com/office/drawing/2014/main" id="{00000000-0008-0000-1100-000013000000}"/>
            </a:ext>
          </a:extLst>
        </xdr:cNvPr>
        <xdr:cNvSpPr/>
      </xdr:nvSpPr>
      <xdr:spPr>
        <a:xfrm>
          <a:off x="4013724" y="152014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66020</xdr:colOff>
      <xdr:row>33</xdr:row>
      <xdr:rowOff>58156</xdr:rowOff>
    </xdr:from>
    <xdr:to>
      <xdr:col>82</xdr:col>
      <xdr:colOff>24702</xdr:colOff>
      <xdr:row>35</xdr:row>
      <xdr:rowOff>69436</xdr:rowOff>
    </xdr:to>
    <xdr:sp macro="" textlink="">
      <xdr:nvSpPr>
        <xdr:cNvPr id="20" name="Freccia a inversione 13">
          <a:extLst>
            <a:ext uri="{FF2B5EF4-FFF2-40B4-BE49-F238E27FC236}">
              <a16:creationId xmlns:a16="http://schemas.microsoft.com/office/drawing/2014/main" id="{00000000-0008-0000-1100-000014000000}"/>
            </a:ext>
          </a:extLst>
        </xdr:cNvPr>
        <xdr:cNvSpPr/>
      </xdr:nvSpPr>
      <xdr:spPr>
        <a:xfrm rot="16200000" flipV="1">
          <a:off x="2082834" y="132718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51289</xdr:colOff>
      <xdr:row>36</xdr:row>
      <xdr:rowOff>58615</xdr:rowOff>
    </xdr:from>
    <xdr:to>
      <xdr:col>81</xdr:col>
      <xdr:colOff>116943</xdr:colOff>
      <xdr:row>38</xdr:row>
      <xdr:rowOff>63358</xdr:rowOff>
    </xdr:to>
    <xdr:sp macro="" textlink="">
      <xdr:nvSpPr>
        <xdr:cNvPr id="21" name="Freccia curva 8">
          <a:extLst>
            <a:ext uri="{FF2B5EF4-FFF2-40B4-BE49-F238E27FC236}">
              <a16:creationId xmlns:a16="http://schemas.microsoft.com/office/drawing/2014/main" id="{00000000-0008-0000-1100-000015000000}"/>
            </a:ext>
          </a:extLst>
        </xdr:cNvPr>
        <xdr:cNvSpPr/>
      </xdr:nvSpPr>
      <xdr:spPr>
        <a:xfrm rot="5400000" flipH="1">
          <a:off x="2062944" y="136489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82795</xdr:colOff>
      <xdr:row>42</xdr:row>
      <xdr:rowOff>42496</xdr:rowOff>
    </xdr:from>
    <xdr:to>
      <xdr:col>82</xdr:col>
      <xdr:colOff>10685</xdr:colOff>
      <xdr:row>44</xdr:row>
      <xdr:rowOff>56843</xdr:rowOff>
    </xdr:to>
    <xdr:sp macro="" textlink="">
      <xdr:nvSpPr>
        <xdr:cNvPr id="22" name="Freccia curva 7">
          <a:extLst>
            <a:ext uri="{FF2B5EF4-FFF2-40B4-BE49-F238E27FC236}">
              <a16:creationId xmlns:a16="http://schemas.microsoft.com/office/drawing/2014/main" id="{00000000-0008-0000-1100-000016000000}"/>
            </a:ext>
          </a:extLst>
        </xdr:cNvPr>
        <xdr:cNvSpPr/>
      </xdr:nvSpPr>
      <xdr:spPr>
        <a:xfrm rot="5400000">
          <a:off x="2082679" y="143875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87</xdr:col>
      <xdr:colOff>108799</xdr:colOff>
      <xdr:row>56</xdr:row>
      <xdr:rowOff>27872</xdr:rowOff>
    </xdr:from>
    <xdr:ext cx="963800" cy="311715"/>
    <xdr:sp macro="" textlink="">
      <xdr:nvSpPr>
        <xdr:cNvPr id="23" name="Rectangle 22">
          <a:extLst>
            <a:ext uri="{FF2B5EF4-FFF2-40B4-BE49-F238E27FC236}">
              <a16:creationId xmlns:a16="http://schemas.microsoft.com/office/drawing/2014/main" id="{00000000-0008-0000-1100-000017000000}"/>
            </a:ext>
          </a:extLst>
        </xdr:cNvPr>
        <xdr:cNvSpPr/>
      </xdr:nvSpPr>
      <xdr:spPr>
        <a:xfrm>
          <a:off x="3080599" y="161251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79</xdr:col>
      <xdr:colOff>58937</xdr:colOff>
      <xdr:row>40</xdr:row>
      <xdr:rowOff>6397</xdr:rowOff>
    </xdr:from>
    <xdr:to>
      <xdr:col>82</xdr:col>
      <xdr:colOff>5058</xdr:colOff>
      <xdr:row>41</xdr:row>
      <xdr:rowOff>9918</xdr:rowOff>
    </xdr:to>
    <xdr:sp macro="" textlink="">
      <xdr:nvSpPr>
        <xdr:cNvPr id="24" name="Freccia in giù 9">
          <a:extLst>
            <a:ext uri="{FF2B5EF4-FFF2-40B4-BE49-F238E27FC236}">
              <a16:creationId xmlns:a16="http://schemas.microsoft.com/office/drawing/2014/main" id="{00000000-0008-0000-1100-000018000000}"/>
            </a:ext>
          </a:extLst>
        </xdr:cNvPr>
        <xdr:cNvSpPr/>
      </xdr:nvSpPr>
      <xdr:spPr>
        <a:xfrm rot="16200000">
          <a:off x="2135262" y="140273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39</xdr:row>
      <xdr:rowOff>136072</xdr:rowOff>
    </xdr:from>
    <xdr:to>
      <xdr:col>104</xdr:col>
      <xdr:colOff>55717</xdr:colOff>
      <xdr:row>41</xdr:row>
      <xdr:rowOff>82778</xdr:rowOff>
    </xdr:to>
    <xdr:sp macro="" textlink="">
      <xdr:nvSpPr>
        <xdr:cNvPr id="25" name="Freccia curva 66">
          <a:extLst>
            <a:ext uri="{FF2B5EF4-FFF2-40B4-BE49-F238E27FC236}">
              <a16:creationId xmlns:a16="http://schemas.microsoft.com/office/drawing/2014/main" id="{00000000-0008-0000-1100-000019000000}"/>
            </a:ext>
          </a:extLst>
        </xdr:cNvPr>
        <xdr:cNvSpPr/>
      </xdr:nvSpPr>
      <xdr:spPr>
        <a:xfrm rot="16200000" flipH="1">
          <a:off x="487891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39</xdr:row>
      <xdr:rowOff>136072</xdr:rowOff>
    </xdr:from>
    <xdr:to>
      <xdr:col>104</xdr:col>
      <xdr:colOff>55717</xdr:colOff>
      <xdr:row>41</xdr:row>
      <xdr:rowOff>82778</xdr:rowOff>
    </xdr:to>
    <xdr:sp macro="" textlink="">
      <xdr:nvSpPr>
        <xdr:cNvPr id="26" name="Freccia curva 66">
          <a:extLst>
            <a:ext uri="{FF2B5EF4-FFF2-40B4-BE49-F238E27FC236}">
              <a16:creationId xmlns:a16="http://schemas.microsoft.com/office/drawing/2014/main" id="{00000000-0008-0000-1100-00001A000000}"/>
            </a:ext>
          </a:extLst>
        </xdr:cNvPr>
        <xdr:cNvSpPr/>
      </xdr:nvSpPr>
      <xdr:spPr>
        <a:xfrm rot="16200000" flipH="1">
          <a:off x="487891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39</xdr:row>
      <xdr:rowOff>136072</xdr:rowOff>
    </xdr:from>
    <xdr:to>
      <xdr:col>104</xdr:col>
      <xdr:colOff>55717</xdr:colOff>
      <xdr:row>41</xdr:row>
      <xdr:rowOff>82778</xdr:rowOff>
    </xdr:to>
    <xdr:sp macro="" textlink="">
      <xdr:nvSpPr>
        <xdr:cNvPr id="27" name="Freccia curva 66">
          <a:extLst>
            <a:ext uri="{FF2B5EF4-FFF2-40B4-BE49-F238E27FC236}">
              <a16:creationId xmlns:a16="http://schemas.microsoft.com/office/drawing/2014/main" id="{00000000-0008-0000-1100-00001B000000}"/>
            </a:ext>
          </a:extLst>
        </xdr:cNvPr>
        <xdr:cNvSpPr/>
      </xdr:nvSpPr>
      <xdr:spPr>
        <a:xfrm rot="16200000" flipH="1">
          <a:off x="487891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39</xdr:row>
      <xdr:rowOff>136072</xdr:rowOff>
    </xdr:from>
    <xdr:to>
      <xdr:col>104</xdr:col>
      <xdr:colOff>55717</xdr:colOff>
      <xdr:row>41</xdr:row>
      <xdr:rowOff>82778</xdr:rowOff>
    </xdr:to>
    <xdr:sp macro="" textlink="">
      <xdr:nvSpPr>
        <xdr:cNvPr id="28" name="Freccia curva 66">
          <a:extLst>
            <a:ext uri="{FF2B5EF4-FFF2-40B4-BE49-F238E27FC236}">
              <a16:creationId xmlns:a16="http://schemas.microsoft.com/office/drawing/2014/main" id="{00000000-0008-0000-1100-00001C000000}"/>
            </a:ext>
          </a:extLst>
        </xdr:cNvPr>
        <xdr:cNvSpPr/>
      </xdr:nvSpPr>
      <xdr:spPr>
        <a:xfrm rot="16200000" flipH="1">
          <a:off x="4878918" y="140690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94989</xdr:colOff>
      <xdr:row>42</xdr:row>
      <xdr:rowOff>82275</xdr:rowOff>
    </xdr:from>
    <xdr:to>
      <xdr:col>104</xdr:col>
      <xdr:colOff>56903</xdr:colOff>
      <xdr:row>44</xdr:row>
      <xdr:rowOff>91535</xdr:rowOff>
    </xdr:to>
    <xdr:sp macro="" textlink="">
      <xdr:nvSpPr>
        <xdr:cNvPr id="29" name="Freccia a inversione 13">
          <a:extLst>
            <a:ext uri="{FF2B5EF4-FFF2-40B4-BE49-F238E27FC236}">
              <a16:creationId xmlns:a16="http://schemas.microsoft.com/office/drawing/2014/main" id="{00000000-0008-0000-1100-00001D000000}"/>
            </a:ext>
          </a:extLst>
        </xdr:cNvPr>
        <xdr:cNvSpPr/>
      </xdr:nvSpPr>
      <xdr:spPr>
        <a:xfrm rot="5400000" flipV="1">
          <a:off x="4838579" y="1440773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97574</xdr:colOff>
      <xdr:row>37</xdr:row>
      <xdr:rowOff>4645</xdr:rowOff>
    </xdr:from>
    <xdr:to>
      <xdr:col>104</xdr:col>
      <xdr:colOff>43694</xdr:colOff>
      <xdr:row>38</xdr:row>
      <xdr:rowOff>8166</xdr:rowOff>
    </xdr:to>
    <xdr:sp macro="" textlink="">
      <xdr:nvSpPr>
        <xdr:cNvPr id="30" name="Freccia in giù 9">
          <a:extLst>
            <a:ext uri="{FF2B5EF4-FFF2-40B4-BE49-F238E27FC236}">
              <a16:creationId xmlns:a16="http://schemas.microsoft.com/office/drawing/2014/main" id="{00000000-0008-0000-1100-00001E000000}"/>
            </a:ext>
          </a:extLst>
        </xdr:cNvPr>
        <xdr:cNvSpPr/>
      </xdr:nvSpPr>
      <xdr:spPr>
        <a:xfrm rot="5400000">
          <a:off x="4898049" y="136540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2901</xdr:colOff>
      <xdr:row>33</xdr:row>
      <xdr:rowOff>38928</xdr:rowOff>
    </xdr:from>
    <xdr:to>
      <xdr:col>104</xdr:col>
      <xdr:colOff>26090</xdr:colOff>
      <xdr:row>35</xdr:row>
      <xdr:rowOff>71860</xdr:rowOff>
    </xdr:to>
    <xdr:sp macro="" textlink="">
      <xdr:nvSpPr>
        <xdr:cNvPr id="31" name="Freccia curva 7">
          <a:extLst>
            <a:ext uri="{FF2B5EF4-FFF2-40B4-BE49-F238E27FC236}">
              <a16:creationId xmlns:a16="http://schemas.microsoft.com/office/drawing/2014/main" id="{00000000-0008-0000-1100-00001F000000}"/>
            </a:ext>
          </a:extLst>
        </xdr:cNvPr>
        <xdr:cNvSpPr/>
      </xdr:nvSpPr>
      <xdr:spPr>
        <a:xfrm rot="16200000">
          <a:off x="4827205" y="132930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87</xdr:col>
      <xdr:colOff>99274</xdr:colOff>
      <xdr:row>15</xdr:row>
      <xdr:rowOff>113597</xdr:rowOff>
    </xdr:from>
    <xdr:ext cx="963800" cy="311715"/>
    <xdr:sp macro="" textlink="">
      <xdr:nvSpPr>
        <xdr:cNvPr id="32" name="Rectangle 31">
          <a:extLst>
            <a:ext uri="{FF2B5EF4-FFF2-40B4-BE49-F238E27FC236}">
              <a16:creationId xmlns:a16="http://schemas.microsoft.com/office/drawing/2014/main" id="{00000000-0008-0000-1100-000020000000}"/>
            </a:ext>
          </a:extLst>
        </xdr:cNvPr>
        <xdr:cNvSpPr/>
      </xdr:nvSpPr>
      <xdr:spPr>
        <a:xfrm>
          <a:off x="3071074" y="111340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88</xdr:col>
      <xdr:colOff>41295</xdr:colOff>
      <xdr:row>35</xdr:row>
      <xdr:rowOff>113597</xdr:rowOff>
    </xdr:from>
    <xdr:ext cx="963800" cy="311715"/>
    <xdr:sp macro="" textlink="">
      <xdr:nvSpPr>
        <xdr:cNvPr id="33" name="Rectangle 32">
          <a:extLst>
            <a:ext uri="{FF2B5EF4-FFF2-40B4-BE49-F238E27FC236}">
              <a16:creationId xmlns:a16="http://schemas.microsoft.com/office/drawing/2014/main" id="{00000000-0008-0000-1100-000021000000}"/>
            </a:ext>
          </a:extLst>
        </xdr:cNvPr>
        <xdr:cNvSpPr/>
      </xdr:nvSpPr>
      <xdr:spPr>
        <a:xfrm>
          <a:off x="3136920" y="136105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101397</xdr:colOff>
      <xdr:row>6</xdr:row>
      <xdr:rowOff>51932</xdr:rowOff>
    </xdr:from>
    <xdr:to>
      <xdr:col>90</xdr:col>
      <xdr:colOff>114211</xdr:colOff>
      <xdr:row>8</xdr:row>
      <xdr:rowOff>95625</xdr:rowOff>
    </xdr:to>
    <xdr:sp macro="" textlink="">
      <xdr:nvSpPr>
        <xdr:cNvPr id="34" name="Freccia in giù 9">
          <a:extLst>
            <a:ext uri="{FF2B5EF4-FFF2-40B4-BE49-F238E27FC236}">
              <a16:creationId xmlns:a16="http://schemas.microsoft.com/office/drawing/2014/main" id="{00000000-0008-0000-1100-000022000000}"/>
            </a:ext>
          </a:extLst>
        </xdr:cNvPr>
        <xdr:cNvSpPr/>
      </xdr:nvSpPr>
      <xdr:spPr>
        <a:xfrm>
          <a:off x="3320847" y="995793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96216</xdr:colOff>
      <xdr:row>68</xdr:row>
      <xdr:rowOff>91783</xdr:rowOff>
    </xdr:from>
    <xdr:to>
      <xdr:col>93</xdr:col>
      <xdr:colOff>109029</xdr:colOff>
      <xdr:row>71</xdr:row>
      <xdr:rowOff>10025</xdr:rowOff>
    </xdr:to>
    <xdr:sp macro="" textlink="">
      <xdr:nvSpPr>
        <xdr:cNvPr id="35" name="Freccia in giù 9">
          <a:extLst>
            <a:ext uri="{FF2B5EF4-FFF2-40B4-BE49-F238E27FC236}">
              <a16:creationId xmlns:a16="http://schemas.microsoft.com/office/drawing/2014/main" id="{00000000-0008-0000-1100-000023000000}"/>
            </a:ext>
          </a:extLst>
        </xdr:cNvPr>
        <xdr:cNvSpPr/>
      </xdr:nvSpPr>
      <xdr:spPr>
        <a:xfrm rot="10800000">
          <a:off x="3687141" y="176749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55058</xdr:colOff>
      <xdr:row>55</xdr:row>
      <xdr:rowOff>67264</xdr:rowOff>
    </xdr:from>
    <xdr:to>
      <xdr:col>85</xdr:col>
      <xdr:colOff>84922</xdr:colOff>
      <xdr:row>57</xdr:row>
      <xdr:rowOff>123518</xdr:rowOff>
    </xdr:to>
    <xdr:sp macro="" textlink="">
      <xdr:nvSpPr>
        <xdr:cNvPr id="36" name="Freccia a inversione 13">
          <a:extLst>
            <a:ext uri="{FF2B5EF4-FFF2-40B4-BE49-F238E27FC236}">
              <a16:creationId xmlns:a16="http://schemas.microsoft.com/office/drawing/2014/main" id="{00000000-0008-0000-1100-000024000000}"/>
            </a:ext>
          </a:extLst>
        </xdr:cNvPr>
        <xdr:cNvSpPr/>
      </xdr:nvSpPr>
      <xdr:spPr>
        <a:xfrm flipV="1">
          <a:off x="2531558" y="160406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46691</xdr:colOff>
      <xdr:row>19</xdr:row>
      <xdr:rowOff>118493</xdr:rowOff>
    </xdr:from>
    <xdr:to>
      <xdr:col>100</xdr:col>
      <xdr:colOff>74536</xdr:colOff>
      <xdr:row>22</xdr:row>
      <xdr:rowOff>52529</xdr:rowOff>
    </xdr:to>
    <xdr:sp macro="" textlink="">
      <xdr:nvSpPr>
        <xdr:cNvPr id="37" name="Freccia a inversione 13">
          <a:extLst>
            <a:ext uri="{FF2B5EF4-FFF2-40B4-BE49-F238E27FC236}">
              <a16:creationId xmlns:a16="http://schemas.microsoft.com/office/drawing/2014/main" id="{00000000-0008-0000-1100-000025000000}"/>
            </a:ext>
          </a:extLst>
        </xdr:cNvPr>
        <xdr:cNvSpPr/>
      </xdr:nvSpPr>
      <xdr:spPr>
        <a:xfrm rot="10800000" flipV="1">
          <a:off x="4380566" y="116342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39" name="Right Arrow 38">
          <a:hlinkClick xmlns:r="http://schemas.openxmlformats.org/officeDocument/2006/relationships" r:id="rId2"/>
          <a:extLst>
            <a:ext uri="{FF2B5EF4-FFF2-40B4-BE49-F238E27FC236}">
              <a16:creationId xmlns:a16="http://schemas.microsoft.com/office/drawing/2014/main" id="{00000000-0008-0000-1100-000027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104814</xdr:colOff>
      <xdr:row>32</xdr:row>
      <xdr:rowOff>95211</xdr:rowOff>
    </xdr:from>
    <xdr:to>
      <xdr:col>77</xdr:col>
      <xdr:colOff>48908</xdr:colOff>
      <xdr:row>50</xdr:row>
      <xdr:rowOff>4762</xdr:rowOff>
    </xdr:to>
    <xdr:pic>
      <xdr:nvPicPr>
        <xdr:cNvPr id="36" name="Picture 35" descr="PMedian U Turn-Model.jpg">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1" cstate="print"/>
        <a:stretch>
          <a:fillRect/>
        </a:stretch>
      </xdr:blipFill>
      <xdr:spPr>
        <a:xfrm rot="16200000">
          <a:off x="3805880" y="508945"/>
          <a:ext cx="2133638" cy="9230969"/>
        </a:xfrm>
        <a:prstGeom prst="rect">
          <a:avLst/>
        </a:prstGeom>
      </xdr:spPr>
    </xdr:pic>
    <xdr:clientData/>
  </xdr:twoCellAnchor>
  <xdr:twoCellAnchor>
    <xdr:from>
      <xdr:col>41</xdr:col>
      <xdr:colOff>53688</xdr:colOff>
      <xdr:row>73</xdr:row>
      <xdr:rowOff>62470</xdr:rowOff>
    </xdr:from>
    <xdr:to>
      <xdr:col>43</xdr:col>
      <xdr:colOff>77017</xdr:colOff>
      <xdr:row>75</xdr:row>
      <xdr:rowOff>109538</xdr:rowOff>
    </xdr:to>
    <xdr:sp macro="" textlink="">
      <xdr:nvSpPr>
        <xdr:cNvPr id="2" name="Freccia curva 8">
          <a:extLst>
            <a:ext uri="{FF2B5EF4-FFF2-40B4-BE49-F238E27FC236}">
              <a16:creationId xmlns:a16="http://schemas.microsoft.com/office/drawing/2014/main" id="{00000000-0008-0000-1200-000002000000}"/>
            </a:ext>
          </a:extLst>
        </xdr:cNvPr>
        <xdr:cNvSpPr/>
      </xdr:nvSpPr>
      <xdr:spPr>
        <a:xfrm rot="10800000" flipH="1">
          <a:off x="5006688" y="91016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44</xdr:col>
      <xdr:colOff>55058</xdr:colOff>
      <xdr:row>73</xdr:row>
      <xdr:rowOff>67264</xdr:rowOff>
    </xdr:from>
    <xdr:to>
      <xdr:col>46</xdr:col>
      <xdr:colOff>84922</xdr:colOff>
      <xdr:row>75</xdr:row>
      <xdr:rowOff>123518</xdr:rowOff>
    </xdr:to>
    <xdr:sp macro="" textlink="">
      <xdr:nvSpPr>
        <xdr:cNvPr id="3" name="Freccia a inversione 13">
          <a:extLst>
            <a:ext uri="{FF2B5EF4-FFF2-40B4-BE49-F238E27FC236}">
              <a16:creationId xmlns:a16="http://schemas.microsoft.com/office/drawing/2014/main" id="{00000000-0008-0000-1200-000003000000}"/>
            </a:ext>
          </a:extLst>
        </xdr:cNvPr>
        <xdr:cNvSpPr/>
      </xdr:nvSpPr>
      <xdr:spPr>
        <a:xfrm flipV="1">
          <a:off x="5379533" y="91064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101397</xdr:colOff>
      <xdr:row>73</xdr:row>
      <xdr:rowOff>51932</xdr:rowOff>
    </xdr:from>
    <xdr:to>
      <xdr:col>39</xdr:col>
      <xdr:colOff>114211</xdr:colOff>
      <xdr:row>75</xdr:row>
      <xdr:rowOff>95625</xdr:rowOff>
    </xdr:to>
    <xdr:sp macro="" textlink="">
      <xdr:nvSpPr>
        <xdr:cNvPr id="4" name="Freccia in giù 9">
          <a:extLst>
            <a:ext uri="{FF2B5EF4-FFF2-40B4-BE49-F238E27FC236}">
              <a16:creationId xmlns:a16="http://schemas.microsoft.com/office/drawing/2014/main" id="{00000000-0008-0000-1200-000004000000}"/>
            </a:ext>
          </a:extLst>
        </xdr:cNvPr>
        <xdr:cNvSpPr/>
      </xdr:nvSpPr>
      <xdr:spPr>
        <a:xfrm>
          <a:off x="4682922" y="90911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32507</xdr:colOff>
      <xdr:row>73</xdr:row>
      <xdr:rowOff>111530</xdr:rowOff>
    </xdr:from>
    <xdr:to>
      <xdr:col>37</xdr:col>
      <xdr:colOff>65439</xdr:colOff>
      <xdr:row>76</xdr:row>
      <xdr:rowOff>9683</xdr:rowOff>
    </xdr:to>
    <xdr:sp macro="" textlink="">
      <xdr:nvSpPr>
        <xdr:cNvPr id="5" name="Freccia curva 7">
          <a:extLst>
            <a:ext uri="{FF2B5EF4-FFF2-40B4-BE49-F238E27FC236}">
              <a16:creationId xmlns:a16="http://schemas.microsoft.com/office/drawing/2014/main" id="{00000000-0008-0000-1200-000005000000}"/>
            </a:ext>
          </a:extLst>
        </xdr:cNvPr>
        <xdr:cNvSpPr/>
      </xdr:nvSpPr>
      <xdr:spPr>
        <a:xfrm rot="10800000">
          <a:off x="4242557" y="91507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41</xdr:col>
      <xdr:colOff>96216</xdr:colOff>
      <xdr:row>95</xdr:row>
      <xdr:rowOff>91783</xdr:rowOff>
    </xdr:from>
    <xdr:to>
      <xdr:col>42</xdr:col>
      <xdr:colOff>109029</xdr:colOff>
      <xdr:row>98</xdr:row>
      <xdr:rowOff>10025</xdr:rowOff>
    </xdr:to>
    <xdr:sp macro="" textlink="">
      <xdr:nvSpPr>
        <xdr:cNvPr id="6" name="Freccia in giù 9">
          <a:extLst>
            <a:ext uri="{FF2B5EF4-FFF2-40B4-BE49-F238E27FC236}">
              <a16:creationId xmlns:a16="http://schemas.microsoft.com/office/drawing/2014/main" id="{00000000-0008-0000-1200-000006000000}"/>
            </a:ext>
          </a:extLst>
        </xdr:cNvPr>
        <xdr:cNvSpPr/>
      </xdr:nvSpPr>
      <xdr:spPr>
        <a:xfrm rot="10800000">
          <a:off x="5049216" y="118551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46691</xdr:colOff>
      <xdr:row>95</xdr:row>
      <xdr:rowOff>118493</xdr:rowOff>
    </xdr:from>
    <xdr:to>
      <xdr:col>37</xdr:col>
      <xdr:colOff>74536</xdr:colOff>
      <xdr:row>98</xdr:row>
      <xdr:rowOff>52529</xdr:rowOff>
    </xdr:to>
    <xdr:sp macro="" textlink="">
      <xdr:nvSpPr>
        <xdr:cNvPr id="7" name="Freccia a inversione 13">
          <a:extLst>
            <a:ext uri="{FF2B5EF4-FFF2-40B4-BE49-F238E27FC236}">
              <a16:creationId xmlns:a16="http://schemas.microsoft.com/office/drawing/2014/main" id="{00000000-0008-0000-1200-000007000000}"/>
            </a:ext>
          </a:extLst>
        </xdr:cNvPr>
        <xdr:cNvSpPr/>
      </xdr:nvSpPr>
      <xdr:spPr>
        <a:xfrm rot="10800000" flipV="1">
          <a:off x="4256741" y="118818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36089</xdr:colOff>
      <xdr:row>96</xdr:row>
      <xdr:rowOff>3514</xdr:rowOff>
    </xdr:from>
    <xdr:to>
      <xdr:col>40</xdr:col>
      <xdr:colOff>59418</xdr:colOff>
      <xdr:row>98</xdr:row>
      <xdr:rowOff>50582</xdr:rowOff>
    </xdr:to>
    <xdr:sp macro="" textlink="">
      <xdr:nvSpPr>
        <xdr:cNvPr id="8" name="Freccia curva 8">
          <a:extLst>
            <a:ext uri="{FF2B5EF4-FFF2-40B4-BE49-F238E27FC236}">
              <a16:creationId xmlns:a16="http://schemas.microsoft.com/office/drawing/2014/main" id="{00000000-0008-0000-1200-000008000000}"/>
            </a:ext>
          </a:extLst>
        </xdr:cNvPr>
        <xdr:cNvSpPr/>
      </xdr:nvSpPr>
      <xdr:spPr>
        <a:xfrm flipH="1">
          <a:off x="4617614" y="11890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44</xdr:col>
      <xdr:colOff>41799</xdr:colOff>
      <xdr:row>96</xdr:row>
      <xdr:rowOff>18603</xdr:rowOff>
    </xdr:from>
    <xdr:to>
      <xdr:col>46</xdr:col>
      <xdr:colOff>74730</xdr:colOff>
      <xdr:row>98</xdr:row>
      <xdr:rowOff>42207</xdr:rowOff>
    </xdr:to>
    <xdr:sp macro="" textlink="">
      <xdr:nvSpPr>
        <xdr:cNvPr id="9" name="Freccia curva 7">
          <a:extLst>
            <a:ext uri="{FF2B5EF4-FFF2-40B4-BE49-F238E27FC236}">
              <a16:creationId xmlns:a16="http://schemas.microsoft.com/office/drawing/2014/main" id="{00000000-0008-0000-1200-000009000000}"/>
            </a:ext>
          </a:extLst>
        </xdr:cNvPr>
        <xdr:cNvSpPr/>
      </xdr:nvSpPr>
      <xdr:spPr>
        <a:xfrm>
          <a:off x="5366274" y="119058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66020</xdr:colOff>
      <xdr:row>80</xdr:row>
      <xdr:rowOff>58156</xdr:rowOff>
    </xdr:from>
    <xdr:to>
      <xdr:col>31</xdr:col>
      <xdr:colOff>24702</xdr:colOff>
      <xdr:row>82</xdr:row>
      <xdr:rowOff>69436</xdr:rowOff>
    </xdr:to>
    <xdr:sp macro="" textlink="">
      <xdr:nvSpPr>
        <xdr:cNvPr id="10" name="Freccia a inversione 13">
          <a:extLst>
            <a:ext uri="{FF2B5EF4-FFF2-40B4-BE49-F238E27FC236}">
              <a16:creationId xmlns:a16="http://schemas.microsoft.com/office/drawing/2014/main" id="{00000000-0008-0000-1200-00000A000000}"/>
            </a:ext>
          </a:extLst>
        </xdr:cNvPr>
        <xdr:cNvSpPr/>
      </xdr:nvSpPr>
      <xdr:spPr>
        <a:xfrm rot="16200000" flipV="1">
          <a:off x="3444909" y="99285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51289</xdr:colOff>
      <xdr:row>83</xdr:row>
      <xdr:rowOff>58615</xdr:rowOff>
    </xdr:from>
    <xdr:to>
      <xdr:col>30</xdr:col>
      <xdr:colOff>116943</xdr:colOff>
      <xdr:row>85</xdr:row>
      <xdr:rowOff>63358</xdr:rowOff>
    </xdr:to>
    <xdr:sp macro="" textlink="">
      <xdr:nvSpPr>
        <xdr:cNvPr id="11" name="Freccia curva 8">
          <a:extLst>
            <a:ext uri="{FF2B5EF4-FFF2-40B4-BE49-F238E27FC236}">
              <a16:creationId xmlns:a16="http://schemas.microsoft.com/office/drawing/2014/main" id="{00000000-0008-0000-1200-00000B000000}"/>
            </a:ext>
          </a:extLst>
        </xdr:cNvPr>
        <xdr:cNvSpPr/>
      </xdr:nvSpPr>
      <xdr:spPr>
        <a:xfrm rot="5400000" flipH="1">
          <a:off x="3425019" y="103056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73270</xdr:colOff>
      <xdr:row>89</xdr:row>
      <xdr:rowOff>80596</xdr:rowOff>
    </xdr:from>
    <xdr:to>
      <xdr:col>30</xdr:col>
      <xdr:colOff>134510</xdr:colOff>
      <xdr:row>91</xdr:row>
      <xdr:rowOff>94943</xdr:rowOff>
    </xdr:to>
    <xdr:sp macro="" textlink="">
      <xdr:nvSpPr>
        <xdr:cNvPr id="12" name="Freccia curva 7">
          <a:extLst>
            <a:ext uri="{FF2B5EF4-FFF2-40B4-BE49-F238E27FC236}">
              <a16:creationId xmlns:a16="http://schemas.microsoft.com/office/drawing/2014/main" id="{00000000-0008-0000-1200-00000C000000}"/>
            </a:ext>
          </a:extLst>
        </xdr:cNvPr>
        <xdr:cNvSpPr/>
      </xdr:nvSpPr>
      <xdr:spPr>
        <a:xfrm rot="5400000">
          <a:off x="3435229" y="110823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16</xdr:col>
      <xdr:colOff>108799</xdr:colOff>
      <xdr:row>83</xdr:row>
      <xdr:rowOff>27872</xdr:rowOff>
    </xdr:from>
    <xdr:ext cx="963800" cy="311715"/>
    <xdr:sp macro="" textlink="">
      <xdr:nvSpPr>
        <xdr:cNvPr id="13" name="Rectangle 12">
          <a:extLst>
            <a:ext uri="{FF2B5EF4-FFF2-40B4-BE49-F238E27FC236}">
              <a16:creationId xmlns:a16="http://schemas.microsoft.com/office/drawing/2014/main" id="{00000000-0008-0000-1200-00000D000000}"/>
            </a:ext>
          </a:extLst>
        </xdr:cNvPr>
        <xdr:cNvSpPr/>
      </xdr:nvSpPr>
      <xdr:spPr>
        <a:xfrm>
          <a:off x="1966174" y="103053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28</xdr:col>
      <xdr:colOff>58937</xdr:colOff>
      <xdr:row>87</xdr:row>
      <xdr:rowOff>6397</xdr:rowOff>
    </xdr:from>
    <xdr:to>
      <xdr:col>31</xdr:col>
      <xdr:colOff>5058</xdr:colOff>
      <xdr:row>88</xdr:row>
      <xdr:rowOff>9918</xdr:rowOff>
    </xdr:to>
    <xdr:sp macro="" textlink="">
      <xdr:nvSpPr>
        <xdr:cNvPr id="14" name="Freccia in giù 9">
          <a:extLst>
            <a:ext uri="{FF2B5EF4-FFF2-40B4-BE49-F238E27FC236}">
              <a16:creationId xmlns:a16="http://schemas.microsoft.com/office/drawing/2014/main" id="{00000000-0008-0000-1200-00000E000000}"/>
            </a:ext>
          </a:extLst>
        </xdr:cNvPr>
        <xdr:cNvSpPr/>
      </xdr:nvSpPr>
      <xdr:spPr>
        <a:xfrm rot="16200000">
          <a:off x="3497337" y="106840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97574</xdr:colOff>
      <xdr:row>84</xdr:row>
      <xdr:rowOff>4645</xdr:rowOff>
    </xdr:from>
    <xdr:to>
      <xdr:col>73</xdr:col>
      <xdr:colOff>43694</xdr:colOff>
      <xdr:row>85</xdr:row>
      <xdr:rowOff>8166</xdr:rowOff>
    </xdr:to>
    <xdr:sp macro="" textlink="">
      <xdr:nvSpPr>
        <xdr:cNvPr id="15" name="Freccia in giù 9">
          <a:extLst>
            <a:ext uri="{FF2B5EF4-FFF2-40B4-BE49-F238E27FC236}">
              <a16:creationId xmlns:a16="http://schemas.microsoft.com/office/drawing/2014/main" id="{00000000-0008-0000-1200-00000F000000}"/>
            </a:ext>
          </a:extLst>
        </xdr:cNvPr>
        <xdr:cNvSpPr/>
      </xdr:nvSpPr>
      <xdr:spPr>
        <a:xfrm rot="5400000">
          <a:off x="8736624" y="10310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16" name="Freccia curva 66">
          <a:extLst>
            <a:ext uri="{FF2B5EF4-FFF2-40B4-BE49-F238E27FC236}">
              <a16:creationId xmlns:a16="http://schemas.microsoft.com/office/drawing/2014/main" id="{00000000-0008-0000-1200-000010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17" name="Freccia curva 66">
          <a:extLst>
            <a:ext uri="{FF2B5EF4-FFF2-40B4-BE49-F238E27FC236}">
              <a16:creationId xmlns:a16="http://schemas.microsoft.com/office/drawing/2014/main" id="{00000000-0008-0000-1200-000011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18" name="Freccia curva 66">
          <a:extLst>
            <a:ext uri="{FF2B5EF4-FFF2-40B4-BE49-F238E27FC236}">
              <a16:creationId xmlns:a16="http://schemas.microsoft.com/office/drawing/2014/main" id="{00000000-0008-0000-1200-000012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86</xdr:row>
      <xdr:rowOff>136072</xdr:rowOff>
    </xdr:from>
    <xdr:to>
      <xdr:col>53</xdr:col>
      <xdr:colOff>55717</xdr:colOff>
      <xdr:row>88</xdr:row>
      <xdr:rowOff>82778</xdr:rowOff>
    </xdr:to>
    <xdr:sp macro="" textlink="">
      <xdr:nvSpPr>
        <xdr:cNvPr id="19" name="Freccia curva 66">
          <a:extLst>
            <a:ext uri="{FF2B5EF4-FFF2-40B4-BE49-F238E27FC236}">
              <a16:creationId xmlns:a16="http://schemas.microsoft.com/office/drawing/2014/main" id="{00000000-0008-0000-1200-000013000000}"/>
            </a:ext>
          </a:extLst>
        </xdr:cNvPr>
        <xdr:cNvSpPr/>
      </xdr:nvSpPr>
      <xdr:spPr>
        <a:xfrm rot="16200000" flipH="1">
          <a:off x="6240993" y="10725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94989</xdr:colOff>
      <xdr:row>89</xdr:row>
      <xdr:rowOff>82275</xdr:rowOff>
    </xdr:from>
    <xdr:to>
      <xdr:col>53</xdr:col>
      <xdr:colOff>56903</xdr:colOff>
      <xdr:row>91</xdr:row>
      <xdr:rowOff>91535</xdr:rowOff>
    </xdr:to>
    <xdr:sp macro="" textlink="">
      <xdr:nvSpPr>
        <xdr:cNvPr id="20" name="Freccia a inversione 13">
          <a:extLst>
            <a:ext uri="{FF2B5EF4-FFF2-40B4-BE49-F238E27FC236}">
              <a16:creationId xmlns:a16="http://schemas.microsoft.com/office/drawing/2014/main" id="{00000000-0008-0000-1200-000014000000}"/>
            </a:ext>
          </a:extLst>
        </xdr:cNvPr>
        <xdr:cNvSpPr/>
      </xdr:nvSpPr>
      <xdr:spPr>
        <a:xfrm rot="5400000" flipV="1">
          <a:off x="6200654" y="110644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xdr:col>
      <xdr:colOff>58937</xdr:colOff>
      <xdr:row>86</xdr:row>
      <xdr:rowOff>6397</xdr:rowOff>
    </xdr:from>
    <xdr:to>
      <xdr:col>11</xdr:col>
      <xdr:colOff>5058</xdr:colOff>
      <xdr:row>87</xdr:row>
      <xdr:rowOff>9918</xdr:rowOff>
    </xdr:to>
    <xdr:sp macro="" textlink="">
      <xdr:nvSpPr>
        <xdr:cNvPr id="21" name="Freccia in giù 9">
          <a:extLst>
            <a:ext uri="{FF2B5EF4-FFF2-40B4-BE49-F238E27FC236}">
              <a16:creationId xmlns:a16="http://schemas.microsoft.com/office/drawing/2014/main" id="{00000000-0008-0000-1200-000015000000}"/>
            </a:ext>
          </a:extLst>
        </xdr:cNvPr>
        <xdr:cNvSpPr/>
      </xdr:nvSpPr>
      <xdr:spPr>
        <a:xfrm rot="16200000">
          <a:off x="1020837" y="105602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97574</xdr:colOff>
      <xdr:row>84</xdr:row>
      <xdr:rowOff>4645</xdr:rowOff>
    </xdr:from>
    <xdr:to>
      <xdr:col>53</xdr:col>
      <xdr:colOff>43694</xdr:colOff>
      <xdr:row>85</xdr:row>
      <xdr:rowOff>8166</xdr:rowOff>
    </xdr:to>
    <xdr:sp macro="" textlink="">
      <xdr:nvSpPr>
        <xdr:cNvPr id="22" name="Freccia in giù 9">
          <a:extLst>
            <a:ext uri="{FF2B5EF4-FFF2-40B4-BE49-F238E27FC236}">
              <a16:creationId xmlns:a16="http://schemas.microsoft.com/office/drawing/2014/main" id="{00000000-0008-0000-1200-000016000000}"/>
            </a:ext>
          </a:extLst>
        </xdr:cNvPr>
        <xdr:cNvSpPr/>
      </xdr:nvSpPr>
      <xdr:spPr>
        <a:xfrm rot="5400000">
          <a:off x="6260124" y="10310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107674</xdr:colOff>
      <xdr:row>80</xdr:row>
      <xdr:rowOff>57978</xdr:rowOff>
    </xdr:from>
    <xdr:to>
      <xdr:col>53</xdr:col>
      <xdr:colOff>7038</xdr:colOff>
      <xdr:row>82</xdr:row>
      <xdr:rowOff>90910</xdr:rowOff>
    </xdr:to>
    <xdr:sp macro="" textlink="">
      <xdr:nvSpPr>
        <xdr:cNvPr id="23" name="Freccia curva 7">
          <a:extLst>
            <a:ext uri="{FF2B5EF4-FFF2-40B4-BE49-F238E27FC236}">
              <a16:creationId xmlns:a16="http://schemas.microsoft.com/office/drawing/2014/main" id="{00000000-0008-0000-1200-000017000000}"/>
            </a:ext>
          </a:extLst>
        </xdr:cNvPr>
        <xdr:cNvSpPr/>
      </xdr:nvSpPr>
      <xdr:spPr>
        <a:xfrm rot="16200000">
          <a:off x="6170228" y="99688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56</xdr:col>
      <xdr:colOff>99274</xdr:colOff>
      <xdr:row>82</xdr:row>
      <xdr:rowOff>113597</xdr:rowOff>
    </xdr:from>
    <xdr:ext cx="963800" cy="311715"/>
    <xdr:sp macro="" textlink="">
      <xdr:nvSpPr>
        <xdr:cNvPr id="24" name="Rectangle 23">
          <a:extLst>
            <a:ext uri="{FF2B5EF4-FFF2-40B4-BE49-F238E27FC236}">
              <a16:creationId xmlns:a16="http://schemas.microsoft.com/office/drawing/2014/main" id="{00000000-0008-0000-1200-000018000000}"/>
            </a:ext>
          </a:extLst>
        </xdr:cNvPr>
        <xdr:cNvSpPr/>
      </xdr:nvSpPr>
      <xdr:spPr>
        <a:xfrm>
          <a:off x="6909649" y="102672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20</xdr:col>
      <xdr:colOff>74544</xdr:colOff>
      <xdr:row>77</xdr:row>
      <xdr:rowOff>57979</xdr:rowOff>
    </xdr:from>
    <xdr:to>
      <xdr:col>23</xdr:col>
      <xdr:colOff>36458</xdr:colOff>
      <xdr:row>79</xdr:row>
      <xdr:rowOff>67239</xdr:rowOff>
    </xdr:to>
    <xdr:sp macro="" textlink="">
      <xdr:nvSpPr>
        <xdr:cNvPr id="25" name="Freccia a inversione 13">
          <a:extLst>
            <a:ext uri="{FF2B5EF4-FFF2-40B4-BE49-F238E27FC236}">
              <a16:creationId xmlns:a16="http://schemas.microsoft.com/office/drawing/2014/main" id="{00000000-0008-0000-1200-000019000000}"/>
            </a:ext>
          </a:extLst>
        </xdr:cNvPr>
        <xdr:cNvSpPr/>
      </xdr:nvSpPr>
      <xdr:spPr>
        <a:xfrm rot="5400000" flipV="1">
          <a:off x="2465459" y="9554264"/>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37</xdr:col>
      <xdr:colOff>41295</xdr:colOff>
      <xdr:row>82</xdr:row>
      <xdr:rowOff>113597</xdr:rowOff>
    </xdr:from>
    <xdr:ext cx="963800" cy="311715"/>
    <xdr:sp macro="" textlink="">
      <xdr:nvSpPr>
        <xdr:cNvPr id="26" name="Rectangle 25">
          <a:extLst>
            <a:ext uri="{FF2B5EF4-FFF2-40B4-BE49-F238E27FC236}">
              <a16:creationId xmlns:a16="http://schemas.microsoft.com/office/drawing/2014/main" id="{00000000-0008-0000-1200-00001A000000}"/>
            </a:ext>
          </a:extLst>
        </xdr:cNvPr>
        <xdr:cNvSpPr/>
      </xdr:nvSpPr>
      <xdr:spPr>
        <a:xfrm>
          <a:off x="4498995" y="102672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58</xdr:col>
      <xdr:colOff>66261</xdr:colOff>
      <xdr:row>92</xdr:row>
      <xdr:rowOff>49696</xdr:rowOff>
    </xdr:from>
    <xdr:to>
      <xdr:col>61</xdr:col>
      <xdr:colOff>24942</xdr:colOff>
      <xdr:row>94</xdr:row>
      <xdr:rowOff>60976</xdr:rowOff>
    </xdr:to>
    <xdr:sp macro="" textlink="">
      <xdr:nvSpPr>
        <xdr:cNvPr id="27" name="Freccia a inversione 13">
          <a:extLst>
            <a:ext uri="{FF2B5EF4-FFF2-40B4-BE49-F238E27FC236}">
              <a16:creationId xmlns:a16="http://schemas.microsoft.com/office/drawing/2014/main" id="{00000000-0008-0000-1200-00001B000000}"/>
            </a:ext>
          </a:extLst>
        </xdr:cNvPr>
        <xdr:cNvSpPr/>
      </xdr:nvSpPr>
      <xdr:spPr>
        <a:xfrm rot="16200000" flipV="1">
          <a:off x="7159899" y="11405983"/>
          <a:ext cx="258930" cy="330156"/>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xdr:col>
      <xdr:colOff>20175</xdr:colOff>
      <xdr:row>17</xdr:row>
      <xdr:rowOff>118442</xdr:rowOff>
    </xdr:from>
    <xdr:ext cx="1106259" cy="353668"/>
    <xdr:sp macro="" textlink="">
      <xdr:nvSpPr>
        <xdr:cNvPr id="28" name="Rectangle 27">
          <a:extLst>
            <a:ext uri="{FF2B5EF4-FFF2-40B4-BE49-F238E27FC236}">
              <a16:creationId xmlns:a16="http://schemas.microsoft.com/office/drawing/2014/main" id="{00000000-0008-0000-1200-00001C000000}"/>
            </a:ext>
          </a:extLst>
        </xdr:cNvPr>
        <xdr:cNvSpPr/>
      </xdr:nvSpPr>
      <xdr:spPr>
        <a:xfrm>
          <a:off x="515475" y="2223467"/>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36</xdr:col>
      <xdr:colOff>0</xdr:colOff>
      <xdr:row>17</xdr:row>
      <xdr:rowOff>8283</xdr:rowOff>
    </xdr:from>
    <xdr:ext cx="1106259" cy="353668"/>
    <xdr:sp macro="" textlink="">
      <xdr:nvSpPr>
        <xdr:cNvPr id="29" name="Rectangle 28">
          <a:extLst>
            <a:ext uri="{FF2B5EF4-FFF2-40B4-BE49-F238E27FC236}">
              <a16:creationId xmlns:a16="http://schemas.microsoft.com/office/drawing/2014/main" id="{00000000-0008-0000-1200-00001D000000}"/>
            </a:ext>
          </a:extLst>
        </xdr:cNvPr>
        <xdr:cNvSpPr/>
      </xdr:nvSpPr>
      <xdr:spPr>
        <a:xfrm>
          <a:off x="4333875" y="2113308"/>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67</xdr:col>
      <xdr:colOff>0</xdr:colOff>
      <xdr:row>18</xdr:row>
      <xdr:rowOff>0</xdr:rowOff>
    </xdr:from>
    <xdr:ext cx="1106259" cy="353668"/>
    <xdr:sp macro="" textlink="">
      <xdr:nvSpPr>
        <xdr:cNvPr id="30" name="Rectangle 29">
          <a:extLst>
            <a:ext uri="{FF2B5EF4-FFF2-40B4-BE49-F238E27FC236}">
              <a16:creationId xmlns:a16="http://schemas.microsoft.com/office/drawing/2014/main" id="{00000000-0008-0000-1200-00001E000000}"/>
            </a:ext>
          </a:extLst>
        </xdr:cNvPr>
        <xdr:cNvSpPr/>
      </xdr:nvSpPr>
      <xdr:spPr>
        <a:xfrm>
          <a:off x="8172450" y="2228850"/>
          <a:ext cx="1106259" cy="353668"/>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35</xdr:col>
      <xdr:colOff>115960</xdr:colOff>
      <xdr:row>25</xdr:row>
      <xdr:rowOff>107674</xdr:rowOff>
    </xdr:from>
    <xdr:to>
      <xdr:col>40</xdr:col>
      <xdr:colOff>45518</xdr:colOff>
      <xdr:row>40</xdr:row>
      <xdr:rowOff>98445</xdr:rowOff>
    </xdr:to>
    <xdr:cxnSp macro="">
      <xdr:nvCxnSpPr>
        <xdr:cNvPr id="31" name="Straight Connector 30">
          <a:extLst>
            <a:ext uri="{FF2B5EF4-FFF2-40B4-BE49-F238E27FC236}">
              <a16:creationId xmlns:a16="http://schemas.microsoft.com/office/drawing/2014/main" id="{00000000-0008-0000-1200-00001F000000}"/>
            </a:ext>
          </a:extLst>
        </xdr:cNvPr>
        <xdr:cNvCxnSpPr/>
      </xdr:nvCxnSpPr>
      <xdr:spPr>
        <a:xfrm rot="16200000" flipV="1">
          <a:off x="3676279" y="3853030"/>
          <a:ext cx="1848146" cy="54868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102700</xdr:colOff>
      <xdr:row>40</xdr:row>
      <xdr:rowOff>71726</xdr:rowOff>
    </xdr:from>
    <xdr:to>
      <xdr:col>41</xdr:col>
      <xdr:colOff>29335</xdr:colOff>
      <xdr:row>42</xdr:row>
      <xdr:rowOff>5688</xdr:rowOff>
    </xdr:to>
    <xdr:sp macro="" textlink="">
      <xdr:nvSpPr>
        <xdr:cNvPr id="32" name="Oval 31">
          <a:extLst>
            <a:ext uri="{FF2B5EF4-FFF2-40B4-BE49-F238E27FC236}">
              <a16:creationId xmlns:a16="http://schemas.microsoft.com/office/drawing/2014/main" id="{00000000-0008-0000-1200-000020000000}"/>
            </a:ext>
          </a:extLst>
        </xdr:cNvPr>
        <xdr:cNvSpPr/>
      </xdr:nvSpPr>
      <xdr:spPr>
        <a:xfrm>
          <a:off x="4808050" y="5024726"/>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66</xdr:col>
      <xdr:colOff>114301</xdr:colOff>
      <xdr:row>27</xdr:row>
      <xdr:rowOff>9525</xdr:rowOff>
    </xdr:from>
    <xdr:to>
      <xdr:col>73</xdr:col>
      <xdr:colOff>60843</xdr:colOff>
      <xdr:row>38</xdr:row>
      <xdr:rowOff>66555</xdr:rowOff>
    </xdr:to>
    <xdr:cxnSp macro="">
      <xdr:nvCxnSpPr>
        <xdr:cNvPr id="34" name="Straight Connector 33">
          <a:extLst>
            <a:ext uri="{FF2B5EF4-FFF2-40B4-BE49-F238E27FC236}">
              <a16:creationId xmlns:a16="http://schemas.microsoft.com/office/drawing/2014/main" id="{00000000-0008-0000-1200-000022000000}"/>
            </a:ext>
          </a:extLst>
        </xdr:cNvPr>
        <xdr:cNvCxnSpPr/>
      </xdr:nvCxnSpPr>
      <xdr:spPr>
        <a:xfrm rot="16200000" flipV="1">
          <a:off x="7888607" y="3655694"/>
          <a:ext cx="1419105" cy="813317"/>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73</xdr:col>
      <xdr:colOff>10762</xdr:colOff>
      <xdr:row>38</xdr:row>
      <xdr:rowOff>40251</xdr:rowOff>
    </xdr:from>
    <xdr:to>
      <xdr:col>74</xdr:col>
      <xdr:colOff>61222</xdr:colOff>
      <xdr:row>39</xdr:row>
      <xdr:rowOff>98038</xdr:rowOff>
    </xdr:to>
    <xdr:sp macro="" textlink="">
      <xdr:nvSpPr>
        <xdr:cNvPr id="35" name="Oval 34">
          <a:extLst>
            <a:ext uri="{FF2B5EF4-FFF2-40B4-BE49-F238E27FC236}">
              <a16:creationId xmlns:a16="http://schemas.microsoft.com/office/drawing/2014/main" id="{00000000-0008-0000-1200-000023000000}"/>
            </a:ext>
          </a:extLst>
        </xdr:cNvPr>
        <xdr:cNvSpPr/>
      </xdr:nvSpPr>
      <xdr:spPr>
        <a:xfrm>
          <a:off x="8954737" y="4745601"/>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104776</xdr:colOff>
      <xdr:row>27</xdr:row>
      <xdr:rowOff>9525</xdr:rowOff>
    </xdr:from>
    <xdr:to>
      <xdr:col>6</xdr:col>
      <xdr:colOff>79894</xdr:colOff>
      <xdr:row>43</xdr:row>
      <xdr:rowOff>28456</xdr:rowOff>
    </xdr:to>
    <xdr:cxnSp macro="">
      <xdr:nvCxnSpPr>
        <xdr:cNvPr id="38" name="Straight Connector 37">
          <a:extLst>
            <a:ext uri="{FF2B5EF4-FFF2-40B4-BE49-F238E27FC236}">
              <a16:creationId xmlns:a16="http://schemas.microsoft.com/office/drawing/2014/main" id="{00000000-0008-0000-1200-000026000000}"/>
            </a:ext>
          </a:extLst>
        </xdr:cNvPr>
        <xdr:cNvCxnSpPr/>
      </xdr:nvCxnSpPr>
      <xdr:spPr>
        <a:xfrm rot="16200000" flipV="1">
          <a:off x="-383856" y="4241482"/>
          <a:ext cx="2000131" cy="22276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29811</xdr:colOff>
      <xdr:row>43</xdr:row>
      <xdr:rowOff>2151</xdr:rowOff>
    </xdr:from>
    <xdr:to>
      <xdr:col>7</xdr:col>
      <xdr:colOff>80271</xdr:colOff>
      <xdr:row>44</xdr:row>
      <xdr:rowOff>59938</xdr:rowOff>
    </xdr:to>
    <xdr:sp macro="" textlink="">
      <xdr:nvSpPr>
        <xdr:cNvPr id="39" name="Oval 38">
          <a:extLst>
            <a:ext uri="{FF2B5EF4-FFF2-40B4-BE49-F238E27FC236}">
              <a16:creationId xmlns:a16="http://schemas.microsoft.com/office/drawing/2014/main" id="{00000000-0008-0000-1200-000027000000}"/>
            </a:ext>
          </a:extLst>
        </xdr:cNvPr>
        <xdr:cNvSpPr/>
      </xdr:nvSpPr>
      <xdr:spPr>
        <a:xfrm>
          <a:off x="677511" y="5326626"/>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69</xdr:col>
      <xdr:colOff>85725</xdr:colOff>
      <xdr:row>106</xdr:row>
      <xdr:rowOff>9525</xdr:rowOff>
    </xdr:from>
    <xdr:to>
      <xdr:col>79</xdr:col>
      <xdr:colOff>28574</xdr:colOff>
      <xdr:row>109</xdr:row>
      <xdr:rowOff>114300</xdr:rowOff>
    </xdr:to>
    <xdr:sp macro="" textlink="">
      <xdr:nvSpPr>
        <xdr:cNvPr id="40" name="Right Arrow 39">
          <a:hlinkClick xmlns:r="http://schemas.openxmlformats.org/officeDocument/2006/relationships" r:id="rId2"/>
          <a:extLst>
            <a:ext uri="{FF2B5EF4-FFF2-40B4-BE49-F238E27FC236}">
              <a16:creationId xmlns:a16="http://schemas.microsoft.com/office/drawing/2014/main" id="{00000000-0008-0000-1200-000028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66907</xdr:colOff>
      <xdr:row>34</xdr:row>
      <xdr:rowOff>9293</xdr:rowOff>
    </xdr:from>
    <xdr:to>
      <xdr:col>56</xdr:col>
      <xdr:colOff>89319</xdr:colOff>
      <xdr:row>50</xdr:row>
      <xdr:rowOff>28343</xdr:rowOff>
    </xdr:to>
    <xdr:pic>
      <xdr:nvPicPr>
        <xdr:cNvPr id="59" name="Picture 58" descr="04_Lochrane_24ft-Model.jpg">
          <a:extLst>
            <a:ext uri="{FF2B5EF4-FFF2-40B4-BE49-F238E27FC236}">
              <a16:creationId xmlns:a16="http://schemas.microsoft.com/office/drawing/2014/main" id="{00000000-0008-0000-1300-00003B000000}"/>
            </a:ext>
          </a:extLst>
        </xdr:cNvPr>
        <xdr:cNvPicPr>
          <a:picLocks noChangeAspect="1"/>
        </xdr:cNvPicPr>
      </xdr:nvPicPr>
      <xdr:blipFill>
        <a:blip xmlns:r="http://schemas.openxmlformats.org/officeDocument/2006/relationships" r:embed="rId1" cstate="print"/>
        <a:srcRect l="18986" t="37556" r="23895" b="38506"/>
        <a:stretch>
          <a:fillRect/>
        </a:stretch>
      </xdr:blipFill>
      <xdr:spPr>
        <a:xfrm>
          <a:off x="452553" y="4274634"/>
          <a:ext cx="6062656" cy="2026270"/>
        </a:xfrm>
        <a:prstGeom prst="rect">
          <a:avLst/>
        </a:prstGeom>
      </xdr:spPr>
    </xdr:pic>
    <xdr:clientData/>
  </xdr:twoCellAnchor>
  <xdr:twoCellAnchor editAs="oneCell">
    <xdr:from>
      <xdr:col>20</xdr:col>
      <xdr:colOff>47625</xdr:colOff>
      <xdr:row>18</xdr:row>
      <xdr:rowOff>123824</xdr:rowOff>
    </xdr:from>
    <xdr:to>
      <xdr:col>39</xdr:col>
      <xdr:colOff>57150</xdr:colOff>
      <xdr:row>65</xdr:row>
      <xdr:rowOff>66674</xdr:rowOff>
    </xdr:to>
    <xdr:pic>
      <xdr:nvPicPr>
        <xdr:cNvPr id="60" name="Picture 59" descr="04_Lochrane_24ft-Model.jpg">
          <a:extLst>
            <a:ext uri="{FF2B5EF4-FFF2-40B4-BE49-F238E27FC236}">
              <a16:creationId xmlns:a16="http://schemas.microsoft.com/office/drawing/2014/main" id="{00000000-0008-0000-1300-00003C000000}"/>
            </a:ext>
          </a:extLst>
        </xdr:cNvPr>
        <xdr:cNvPicPr>
          <a:picLocks noChangeAspect="1"/>
        </xdr:cNvPicPr>
      </xdr:nvPicPr>
      <xdr:blipFill>
        <a:blip xmlns:r="http://schemas.openxmlformats.org/officeDocument/2006/relationships" r:embed="rId1" cstate="print"/>
        <a:srcRect l="36222" t="15213" r="42895" b="15821"/>
        <a:stretch>
          <a:fillRect/>
        </a:stretch>
      </xdr:blipFill>
      <xdr:spPr>
        <a:xfrm>
          <a:off x="2257425" y="2352674"/>
          <a:ext cx="2181225" cy="5762625"/>
        </a:xfrm>
        <a:prstGeom prst="rect">
          <a:avLst/>
        </a:prstGeom>
      </xdr:spPr>
    </xdr:pic>
    <xdr:clientData/>
  </xdr:twoCellAnchor>
  <xdr:twoCellAnchor>
    <xdr:from>
      <xdr:col>86</xdr:col>
      <xdr:colOff>0</xdr:colOff>
      <xdr:row>32</xdr:row>
      <xdr:rowOff>28575</xdr:rowOff>
    </xdr:from>
    <xdr:to>
      <xdr:col>99</xdr:col>
      <xdr:colOff>78441</xdr:colOff>
      <xdr:row>45</xdr:row>
      <xdr:rowOff>118782</xdr:rowOff>
    </xdr:to>
    <xdr:sp macro="" textlink="">
      <xdr:nvSpPr>
        <xdr:cNvPr id="2" name="Oval 1">
          <a:extLst>
            <a:ext uri="{FF2B5EF4-FFF2-40B4-BE49-F238E27FC236}">
              <a16:creationId xmlns:a16="http://schemas.microsoft.com/office/drawing/2014/main" id="{00000000-0008-0000-1300-000002000000}"/>
            </a:ext>
          </a:extLst>
        </xdr:cNvPr>
        <xdr:cNvSpPr/>
      </xdr:nvSpPr>
      <xdr:spPr>
        <a:xfrm>
          <a:off x="2667000" y="13192125"/>
          <a:ext cx="1564341"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91</xdr:col>
      <xdr:colOff>53688</xdr:colOff>
      <xdr:row>6</xdr:row>
      <xdr:rowOff>62470</xdr:rowOff>
    </xdr:from>
    <xdr:to>
      <xdr:col>93</xdr:col>
      <xdr:colOff>77017</xdr:colOff>
      <xdr:row>8</xdr:row>
      <xdr:rowOff>109538</xdr:rowOff>
    </xdr:to>
    <xdr:sp macro="" textlink="">
      <xdr:nvSpPr>
        <xdr:cNvPr id="5" name="Freccia curva 8">
          <a:extLst>
            <a:ext uri="{FF2B5EF4-FFF2-40B4-BE49-F238E27FC236}">
              <a16:creationId xmlns:a16="http://schemas.microsoft.com/office/drawing/2014/main" id="{00000000-0008-0000-1300-000005000000}"/>
            </a:ext>
          </a:extLst>
        </xdr:cNvPr>
        <xdr:cNvSpPr/>
      </xdr:nvSpPr>
      <xdr:spPr>
        <a:xfrm rot="10800000" flipH="1">
          <a:off x="3292188" y="10378045"/>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55058</xdr:colOff>
      <xdr:row>6</xdr:row>
      <xdr:rowOff>67264</xdr:rowOff>
    </xdr:from>
    <xdr:to>
      <xdr:col>96</xdr:col>
      <xdr:colOff>84922</xdr:colOff>
      <xdr:row>8</xdr:row>
      <xdr:rowOff>123518</xdr:rowOff>
    </xdr:to>
    <xdr:sp macro="" textlink="">
      <xdr:nvSpPr>
        <xdr:cNvPr id="6" name="Freccia a inversione 13">
          <a:extLst>
            <a:ext uri="{FF2B5EF4-FFF2-40B4-BE49-F238E27FC236}">
              <a16:creationId xmlns:a16="http://schemas.microsoft.com/office/drawing/2014/main" id="{00000000-0008-0000-1300-000006000000}"/>
            </a:ext>
          </a:extLst>
        </xdr:cNvPr>
        <xdr:cNvSpPr/>
      </xdr:nvSpPr>
      <xdr:spPr>
        <a:xfrm flipV="1">
          <a:off x="3636458" y="10382839"/>
          <a:ext cx="25846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6</xdr:row>
      <xdr:rowOff>51932</xdr:rowOff>
    </xdr:from>
    <xdr:to>
      <xdr:col>89</xdr:col>
      <xdr:colOff>114211</xdr:colOff>
      <xdr:row>8</xdr:row>
      <xdr:rowOff>95625</xdr:rowOff>
    </xdr:to>
    <xdr:sp macro="" textlink="">
      <xdr:nvSpPr>
        <xdr:cNvPr id="7" name="Freccia in giù 9">
          <a:extLst>
            <a:ext uri="{FF2B5EF4-FFF2-40B4-BE49-F238E27FC236}">
              <a16:creationId xmlns:a16="http://schemas.microsoft.com/office/drawing/2014/main" id="{00000000-0008-0000-1300-000007000000}"/>
            </a:ext>
          </a:extLst>
        </xdr:cNvPr>
        <xdr:cNvSpPr/>
      </xdr:nvSpPr>
      <xdr:spPr>
        <a:xfrm>
          <a:off x="2996997" y="10367507"/>
          <a:ext cx="127114"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32507</xdr:colOff>
      <xdr:row>6</xdr:row>
      <xdr:rowOff>111530</xdr:rowOff>
    </xdr:from>
    <xdr:to>
      <xdr:col>87</xdr:col>
      <xdr:colOff>65439</xdr:colOff>
      <xdr:row>9</xdr:row>
      <xdr:rowOff>9683</xdr:rowOff>
    </xdr:to>
    <xdr:sp macro="" textlink="">
      <xdr:nvSpPr>
        <xdr:cNvPr id="8" name="Freccia curva 7">
          <a:extLst>
            <a:ext uri="{FF2B5EF4-FFF2-40B4-BE49-F238E27FC236}">
              <a16:creationId xmlns:a16="http://schemas.microsoft.com/office/drawing/2014/main" id="{00000000-0008-0000-1300-000008000000}"/>
            </a:ext>
          </a:extLst>
        </xdr:cNvPr>
        <xdr:cNvSpPr/>
      </xdr:nvSpPr>
      <xdr:spPr>
        <a:xfrm rot="10800000">
          <a:off x="2585207" y="10427105"/>
          <a:ext cx="26153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66020</xdr:colOff>
      <xdr:row>35</xdr:row>
      <xdr:rowOff>58156</xdr:rowOff>
    </xdr:from>
    <xdr:to>
      <xdr:col>66</xdr:col>
      <xdr:colOff>24702</xdr:colOff>
      <xdr:row>37</xdr:row>
      <xdr:rowOff>69436</xdr:rowOff>
    </xdr:to>
    <xdr:sp macro="" textlink="">
      <xdr:nvSpPr>
        <xdr:cNvPr id="9" name="Freccia a inversione 13">
          <a:extLst>
            <a:ext uri="{FF2B5EF4-FFF2-40B4-BE49-F238E27FC236}">
              <a16:creationId xmlns:a16="http://schemas.microsoft.com/office/drawing/2014/main" id="{00000000-0008-0000-1300-000009000000}"/>
            </a:ext>
          </a:extLst>
        </xdr:cNvPr>
        <xdr:cNvSpPr/>
      </xdr:nvSpPr>
      <xdr:spPr>
        <a:xfrm rot="16200000" flipV="1">
          <a:off x="125446" y="13571855"/>
          <a:ext cx="258930" cy="301582"/>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51289</xdr:colOff>
      <xdr:row>38</xdr:row>
      <xdr:rowOff>58615</xdr:rowOff>
    </xdr:from>
    <xdr:to>
      <xdr:col>65</xdr:col>
      <xdr:colOff>116943</xdr:colOff>
      <xdr:row>40</xdr:row>
      <xdr:rowOff>63358</xdr:rowOff>
    </xdr:to>
    <xdr:sp macro="" textlink="">
      <xdr:nvSpPr>
        <xdr:cNvPr id="10" name="Freccia curva 8">
          <a:extLst>
            <a:ext uri="{FF2B5EF4-FFF2-40B4-BE49-F238E27FC236}">
              <a16:creationId xmlns:a16="http://schemas.microsoft.com/office/drawing/2014/main" id="{00000000-0008-0000-1300-00000A000000}"/>
            </a:ext>
          </a:extLst>
        </xdr:cNvPr>
        <xdr:cNvSpPr/>
      </xdr:nvSpPr>
      <xdr:spPr>
        <a:xfrm rot="5400000" flipH="1">
          <a:off x="110319" y="13944185"/>
          <a:ext cx="252393" cy="294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73270</xdr:colOff>
      <xdr:row>44</xdr:row>
      <xdr:rowOff>80596</xdr:rowOff>
    </xdr:from>
    <xdr:to>
      <xdr:col>65</xdr:col>
      <xdr:colOff>134510</xdr:colOff>
      <xdr:row>46</xdr:row>
      <xdr:rowOff>94943</xdr:rowOff>
    </xdr:to>
    <xdr:sp macro="" textlink="">
      <xdr:nvSpPr>
        <xdr:cNvPr id="11" name="Freccia curva 7">
          <a:extLst>
            <a:ext uri="{FF2B5EF4-FFF2-40B4-BE49-F238E27FC236}">
              <a16:creationId xmlns:a16="http://schemas.microsoft.com/office/drawing/2014/main" id="{00000000-0008-0000-1300-00000B000000}"/>
            </a:ext>
          </a:extLst>
        </xdr:cNvPr>
        <xdr:cNvSpPr/>
      </xdr:nvSpPr>
      <xdr:spPr>
        <a:xfrm rot="5400000">
          <a:off x="115766" y="14725650"/>
          <a:ext cx="261997" cy="27079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101</xdr:col>
      <xdr:colOff>48718</xdr:colOff>
      <xdr:row>50</xdr:row>
      <xdr:rowOff>65240</xdr:rowOff>
    </xdr:from>
    <xdr:ext cx="963800" cy="311715"/>
    <xdr:sp macro="" textlink="">
      <xdr:nvSpPr>
        <xdr:cNvPr id="12" name="Rectangle 11">
          <a:extLst>
            <a:ext uri="{FF2B5EF4-FFF2-40B4-BE49-F238E27FC236}">
              <a16:creationId xmlns:a16="http://schemas.microsoft.com/office/drawing/2014/main" id="{00000000-0008-0000-1300-00000C000000}"/>
            </a:ext>
          </a:extLst>
        </xdr:cNvPr>
        <xdr:cNvSpPr/>
      </xdr:nvSpPr>
      <xdr:spPr>
        <a:xfrm>
          <a:off x="4430218" y="1545764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63</xdr:col>
      <xdr:colOff>58937</xdr:colOff>
      <xdr:row>42</xdr:row>
      <xdr:rowOff>6397</xdr:rowOff>
    </xdr:from>
    <xdr:to>
      <xdr:col>66</xdr:col>
      <xdr:colOff>5058</xdr:colOff>
      <xdr:row>43</xdr:row>
      <xdr:rowOff>9918</xdr:rowOff>
    </xdr:to>
    <xdr:sp macro="" textlink="">
      <xdr:nvSpPr>
        <xdr:cNvPr id="13" name="Freccia in giù 9">
          <a:extLst>
            <a:ext uri="{FF2B5EF4-FFF2-40B4-BE49-F238E27FC236}">
              <a16:creationId xmlns:a16="http://schemas.microsoft.com/office/drawing/2014/main" id="{00000000-0008-0000-1300-00000D000000}"/>
            </a:ext>
          </a:extLst>
        </xdr:cNvPr>
        <xdr:cNvSpPr/>
      </xdr:nvSpPr>
      <xdr:spPr>
        <a:xfrm rot="16200000">
          <a:off x="177875" y="14327359"/>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4" name="Freccia curva 66">
          <a:extLst>
            <a:ext uri="{FF2B5EF4-FFF2-40B4-BE49-F238E27FC236}">
              <a16:creationId xmlns:a16="http://schemas.microsoft.com/office/drawing/2014/main" id="{00000000-0008-0000-1300-00000E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5" name="Freccia curva 66">
          <a:extLst>
            <a:ext uri="{FF2B5EF4-FFF2-40B4-BE49-F238E27FC236}">
              <a16:creationId xmlns:a16="http://schemas.microsoft.com/office/drawing/2014/main" id="{00000000-0008-0000-1300-00000F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6" name="Freccia curva 66">
          <a:extLst>
            <a:ext uri="{FF2B5EF4-FFF2-40B4-BE49-F238E27FC236}">
              <a16:creationId xmlns:a16="http://schemas.microsoft.com/office/drawing/2014/main" id="{00000000-0008-0000-1300-000010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7" name="Freccia curva 66">
          <a:extLst>
            <a:ext uri="{FF2B5EF4-FFF2-40B4-BE49-F238E27FC236}">
              <a16:creationId xmlns:a16="http://schemas.microsoft.com/office/drawing/2014/main" id="{00000000-0008-0000-1300-000011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68</xdr:row>
      <xdr:rowOff>91783</xdr:rowOff>
    </xdr:from>
    <xdr:to>
      <xdr:col>96</xdr:col>
      <xdr:colOff>109029</xdr:colOff>
      <xdr:row>71</xdr:row>
      <xdr:rowOff>10025</xdr:rowOff>
    </xdr:to>
    <xdr:sp macro="" textlink="">
      <xdr:nvSpPr>
        <xdr:cNvPr id="18" name="Freccia in giù 9">
          <a:extLst>
            <a:ext uri="{FF2B5EF4-FFF2-40B4-BE49-F238E27FC236}">
              <a16:creationId xmlns:a16="http://schemas.microsoft.com/office/drawing/2014/main" id="{00000000-0008-0000-1300-000012000000}"/>
            </a:ext>
          </a:extLst>
        </xdr:cNvPr>
        <xdr:cNvSpPr/>
      </xdr:nvSpPr>
      <xdr:spPr>
        <a:xfrm rot="10800000">
          <a:off x="3791916" y="17341558"/>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112463</xdr:colOff>
      <xdr:row>47</xdr:row>
      <xdr:rowOff>27138</xdr:rowOff>
    </xdr:from>
    <xdr:ext cx="963800" cy="311715"/>
    <xdr:sp macro="" textlink="">
      <xdr:nvSpPr>
        <xdr:cNvPr id="19" name="Rectangle 18">
          <a:extLst>
            <a:ext uri="{FF2B5EF4-FFF2-40B4-BE49-F238E27FC236}">
              <a16:creationId xmlns:a16="http://schemas.microsoft.com/office/drawing/2014/main" id="{00000000-0008-0000-1300-000013000000}"/>
            </a:ext>
          </a:extLst>
        </xdr:cNvPr>
        <xdr:cNvSpPr/>
      </xdr:nvSpPr>
      <xdr:spPr>
        <a:xfrm>
          <a:off x="1522163" y="1504806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46691</xdr:colOff>
      <xdr:row>68</xdr:row>
      <xdr:rowOff>118493</xdr:rowOff>
    </xdr:from>
    <xdr:to>
      <xdr:col>91</xdr:col>
      <xdr:colOff>74536</xdr:colOff>
      <xdr:row>71</xdr:row>
      <xdr:rowOff>52529</xdr:rowOff>
    </xdr:to>
    <xdr:sp macro="" textlink="">
      <xdr:nvSpPr>
        <xdr:cNvPr id="20" name="Freccia a inversione 13">
          <a:extLst>
            <a:ext uri="{FF2B5EF4-FFF2-40B4-BE49-F238E27FC236}">
              <a16:creationId xmlns:a16="http://schemas.microsoft.com/office/drawing/2014/main" id="{00000000-0008-0000-1300-000014000000}"/>
            </a:ext>
          </a:extLst>
        </xdr:cNvPr>
        <xdr:cNvSpPr/>
      </xdr:nvSpPr>
      <xdr:spPr>
        <a:xfrm rot="10800000" flipV="1">
          <a:off x="3056591" y="17368268"/>
          <a:ext cx="25644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69</xdr:row>
      <xdr:rowOff>3514</xdr:rowOff>
    </xdr:from>
    <xdr:to>
      <xdr:col>94</xdr:col>
      <xdr:colOff>59418</xdr:colOff>
      <xdr:row>71</xdr:row>
      <xdr:rowOff>50582</xdr:rowOff>
    </xdr:to>
    <xdr:sp macro="" textlink="">
      <xdr:nvSpPr>
        <xdr:cNvPr id="21" name="Freccia curva 8">
          <a:extLst>
            <a:ext uri="{FF2B5EF4-FFF2-40B4-BE49-F238E27FC236}">
              <a16:creationId xmlns:a16="http://schemas.microsoft.com/office/drawing/2014/main" id="{00000000-0008-0000-1300-000015000000}"/>
            </a:ext>
          </a:extLst>
        </xdr:cNvPr>
        <xdr:cNvSpPr/>
      </xdr:nvSpPr>
      <xdr:spPr>
        <a:xfrm flipH="1">
          <a:off x="3388889" y="17377114"/>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94989</xdr:colOff>
      <xdr:row>39</xdr:row>
      <xdr:rowOff>82275</xdr:rowOff>
    </xdr:from>
    <xdr:to>
      <xdr:col>122</xdr:col>
      <xdr:colOff>56903</xdr:colOff>
      <xdr:row>41</xdr:row>
      <xdr:rowOff>91535</xdr:rowOff>
    </xdr:to>
    <xdr:sp macro="" textlink="">
      <xdr:nvSpPr>
        <xdr:cNvPr id="22" name="Freccia a inversione 13">
          <a:extLst>
            <a:ext uri="{FF2B5EF4-FFF2-40B4-BE49-F238E27FC236}">
              <a16:creationId xmlns:a16="http://schemas.microsoft.com/office/drawing/2014/main" id="{00000000-0008-0000-1300-000016000000}"/>
            </a:ext>
          </a:extLst>
        </xdr:cNvPr>
        <xdr:cNvSpPr/>
      </xdr:nvSpPr>
      <xdr:spPr>
        <a:xfrm rot="5400000" flipV="1">
          <a:off x="6557841" y="14088648"/>
          <a:ext cx="256910" cy="30481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97574</xdr:colOff>
      <xdr:row>34</xdr:row>
      <xdr:rowOff>4645</xdr:rowOff>
    </xdr:from>
    <xdr:to>
      <xdr:col>122</xdr:col>
      <xdr:colOff>43694</xdr:colOff>
      <xdr:row>35</xdr:row>
      <xdr:rowOff>8166</xdr:rowOff>
    </xdr:to>
    <xdr:sp macro="" textlink="">
      <xdr:nvSpPr>
        <xdr:cNvPr id="23" name="Freccia in giù 9">
          <a:extLst>
            <a:ext uri="{FF2B5EF4-FFF2-40B4-BE49-F238E27FC236}">
              <a16:creationId xmlns:a16="http://schemas.microsoft.com/office/drawing/2014/main" id="{00000000-0008-0000-1300-000017000000}"/>
            </a:ext>
          </a:extLst>
        </xdr:cNvPr>
        <xdr:cNvSpPr/>
      </xdr:nvSpPr>
      <xdr:spPr>
        <a:xfrm rot="5400000">
          <a:off x="6617311" y="13335008"/>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69</xdr:row>
      <xdr:rowOff>18603</xdr:rowOff>
    </xdr:from>
    <xdr:to>
      <xdr:col>100</xdr:col>
      <xdr:colOff>74730</xdr:colOff>
      <xdr:row>71</xdr:row>
      <xdr:rowOff>42207</xdr:rowOff>
    </xdr:to>
    <xdr:sp macro="" textlink="">
      <xdr:nvSpPr>
        <xdr:cNvPr id="24" name="Freccia curva 7">
          <a:extLst>
            <a:ext uri="{FF2B5EF4-FFF2-40B4-BE49-F238E27FC236}">
              <a16:creationId xmlns:a16="http://schemas.microsoft.com/office/drawing/2014/main" id="{00000000-0008-0000-1300-000018000000}"/>
            </a:ext>
          </a:extLst>
        </xdr:cNvPr>
        <xdr:cNvSpPr/>
      </xdr:nvSpPr>
      <xdr:spPr>
        <a:xfrm>
          <a:off x="4080399" y="17392203"/>
          <a:ext cx="26153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107674</xdr:colOff>
      <xdr:row>30</xdr:row>
      <xdr:rowOff>57978</xdr:rowOff>
    </xdr:from>
    <xdr:to>
      <xdr:col>122</xdr:col>
      <xdr:colOff>7038</xdr:colOff>
      <xdr:row>32</xdr:row>
      <xdr:rowOff>90910</xdr:rowOff>
    </xdr:to>
    <xdr:sp macro="" textlink="">
      <xdr:nvSpPr>
        <xdr:cNvPr id="25" name="Freccia curva 7">
          <a:extLst>
            <a:ext uri="{FF2B5EF4-FFF2-40B4-BE49-F238E27FC236}">
              <a16:creationId xmlns:a16="http://schemas.microsoft.com/office/drawing/2014/main" id="{00000000-0008-0000-1300-000019000000}"/>
            </a:ext>
          </a:extLst>
        </xdr:cNvPr>
        <xdr:cNvSpPr/>
      </xdr:nvSpPr>
      <xdr:spPr>
        <a:xfrm rot="16200000">
          <a:off x="6527415" y="12993037"/>
          <a:ext cx="280582" cy="24226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18677</xdr:colOff>
      <xdr:row>27</xdr:row>
      <xdr:rowOff>22010</xdr:rowOff>
    </xdr:from>
    <xdr:ext cx="963800" cy="311715"/>
    <xdr:sp macro="" textlink="">
      <xdr:nvSpPr>
        <xdr:cNvPr id="26" name="Rectangle 25">
          <a:extLst>
            <a:ext uri="{FF2B5EF4-FFF2-40B4-BE49-F238E27FC236}">
              <a16:creationId xmlns:a16="http://schemas.microsoft.com/office/drawing/2014/main" id="{00000000-0008-0000-1300-00001A000000}"/>
            </a:ext>
          </a:extLst>
        </xdr:cNvPr>
        <xdr:cNvSpPr/>
      </xdr:nvSpPr>
      <xdr:spPr>
        <a:xfrm>
          <a:off x="4514477" y="1256643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76</xdr:col>
      <xdr:colOff>103670</xdr:colOff>
      <xdr:row>27</xdr:row>
      <xdr:rowOff>44852</xdr:rowOff>
    </xdr:from>
    <xdr:ext cx="963800" cy="311715"/>
    <xdr:sp macro="" textlink="">
      <xdr:nvSpPr>
        <xdr:cNvPr id="27" name="Rectangle 26">
          <a:extLst>
            <a:ext uri="{FF2B5EF4-FFF2-40B4-BE49-F238E27FC236}">
              <a16:creationId xmlns:a16="http://schemas.microsoft.com/office/drawing/2014/main" id="{00000000-0008-0000-1300-00001B000000}"/>
            </a:ext>
          </a:extLst>
        </xdr:cNvPr>
        <xdr:cNvSpPr/>
      </xdr:nvSpPr>
      <xdr:spPr>
        <a:xfrm>
          <a:off x="1627670" y="1258927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98</xdr:col>
      <xdr:colOff>96216</xdr:colOff>
      <xdr:row>56</xdr:row>
      <xdr:rowOff>91783</xdr:rowOff>
    </xdr:from>
    <xdr:to>
      <xdr:col>99</xdr:col>
      <xdr:colOff>109029</xdr:colOff>
      <xdr:row>59</xdr:row>
      <xdr:rowOff>10025</xdr:rowOff>
    </xdr:to>
    <xdr:sp macro="" textlink="">
      <xdr:nvSpPr>
        <xdr:cNvPr id="28" name="Freccia in giù 9">
          <a:extLst>
            <a:ext uri="{FF2B5EF4-FFF2-40B4-BE49-F238E27FC236}">
              <a16:creationId xmlns:a16="http://schemas.microsoft.com/office/drawing/2014/main" id="{00000000-0008-0000-1300-00001C000000}"/>
            </a:ext>
          </a:extLst>
        </xdr:cNvPr>
        <xdr:cNvSpPr/>
      </xdr:nvSpPr>
      <xdr:spPr>
        <a:xfrm rot="10800000">
          <a:off x="4134816" y="16227133"/>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109</xdr:col>
      <xdr:colOff>97574</xdr:colOff>
      <xdr:row>31</xdr:row>
      <xdr:rowOff>4645</xdr:rowOff>
    </xdr:from>
    <xdr:to>
      <xdr:col>112</xdr:col>
      <xdr:colOff>43694</xdr:colOff>
      <xdr:row>32</xdr:row>
      <xdr:rowOff>8166</xdr:rowOff>
    </xdr:to>
    <xdr:sp macro="" textlink="">
      <xdr:nvSpPr>
        <xdr:cNvPr id="29" name="Freccia in giù 9">
          <a:extLst>
            <a:ext uri="{FF2B5EF4-FFF2-40B4-BE49-F238E27FC236}">
              <a16:creationId xmlns:a16="http://schemas.microsoft.com/office/drawing/2014/main" id="{00000000-0008-0000-1300-00001D000000}"/>
            </a:ext>
          </a:extLst>
        </xdr:cNvPr>
        <xdr:cNvSpPr/>
      </xdr:nvSpPr>
      <xdr:spPr>
        <a:xfrm rot="5400000">
          <a:off x="5588611" y="12963533"/>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123377</xdr:colOff>
      <xdr:row>18</xdr:row>
      <xdr:rowOff>95893</xdr:rowOff>
    </xdr:from>
    <xdr:to>
      <xdr:col>87</xdr:col>
      <xdr:colOff>11633</xdr:colOff>
      <xdr:row>21</xdr:row>
      <xdr:rowOff>15028</xdr:rowOff>
    </xdr:to>
    <xdr:sp macro="" textlink="">
      <xdr:nvSpPr>
        <xdr:cNvPr id="30" name="Freccia in giù 9">
          <a:extLst>
            <a:ext uri="{FF2B5EF4-FFF2-40B4-BE49-F238E27FC236}">
              <a16:creationId xmlns:a16="http://schemas.microsoft.com/office/drawing/2014/main" id="{00000000-0008-0000-1300-00001E000000}"/>
            </a:ext>
          </a:extLst>
        </xdr:cNvPr>
        <xdr:cNvSpPr/>
      </xdr:nvSpPr>
      <xdr:spPr>
        <a:xfrm>
          <a:off x="2666552" y="11525893"/>
          <a:ext cx="126381"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58937</xdr:colOff>
      <xdr:row>45</xdr:row>
      <xdr:rowOff>6397</xdr:rowOff>
    </xdr:from>
    <xdr:to>
      <xdr:col>76</xdr:col>
      <xdr:colOff>5058</xdr:colOff>
      <xdr:row>46</xdr:row>
      <xdr:rowOff>9918</xdr:rowOff>
    </xdr:to>
    <xdr:sp macro="" textlink="">
      <xdr:nvSpPr>
        <xdr:cNvPr id="31" name="Freccia in giù 9">
          <a:extLst>
            <a:ext uri="{FF2B5EF4-FFF2-40B4-BE49-F238E27FC236}">
              <a16:creationId xmlns:a16="http://schemas.microsoft.com/office/drawing/2014/main" id="{00000000-0008-0000-1300-00001F000000}"/>
            </a:ext>
          </a:extLst>
        </xdr:cNvPr>
        <xdr:cNvSpPr/>
      </xdr:nvSpPr>
      <xdr:spPr>
        <a:xfrm rot="16200000">
          <a:off x="1206575" y="14698834"/>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37</xdr:col>
      <xdr:colOff>81451</xdr:colOff>
      <xdr:row>26</xdr:row>
      <xdr:rowOff>0</xdr:rowOff>
    </xdr:from>
    <xdr:to>
      <xdr:col>45</xdr:col>
      <xdr:colOff>95250</xdr:colOff>
      <xdr:row>37</xdr:row>
      <xdr:rowOff>85926</xdr:rowOff>
    </xdr:to>
    <xdr:cxnSp macro="">
      <xdr:nvCxnSpPr>
        <xdr:cNvPr id="32" name="Straight Connector 31">
          <a:extLst>
            <a:ext uri="{FF2B5EF4-FFF2-40B4-BE49-F238E27FC236}">
              <a16:creationId xmlns:a16="http://schemas.microsoft.com/office/drawing/2014/main" id="{00000000-0008-0000-1300-000020000000}"/>
            </a:ext>
          </a:extLst>
        </xdr:cNvPr>
        <xdr:cNvCxnSpPr>
          <a:stCxn id="46" idx="0"/>
        </xdr:cNvCxnSpPr>
      </xdr:nvCxnSpPr>
      <xdr:spPr>
        <a:xfrm flipV="1">
          <a:off x="4234351" y="3219450"/>
          <a:ext cx="928199" cy="144800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84188</xdr:colOff>
      <xdr:row>49</xdr:row>
      <xdr:rowOff>60472</xdr:rowOff>
    </xdr:from>
    <xdr:to>
      <xdr:col>44</xdr:col>
      <xdr:colOff>104778</xdr:colOff>
      <xdr:row>58</xdr:row>
      <xdr:rowOff>114303</xdr:rowOff>
    </xdr:to>
    <xdr:cxnSp macro="">
      <xdr:nvCxnSpPr>
        <xdr:cNvPr id="33" name="Straight Connector 32">
          <a:extLst>
            <a:ext uri="{FF2B5EF4-FFF2-40B4-BE49-F238E27FC236}">
              <a16:creationId xmlns:a16="http://schemas.microsoft.com/office/drawing/2014/main" id="{00000000-0008-0000-1300-000021000000}"/>
            </a:ext>
          </a:extLst>
        </xdr:cNvPr>
        <xdr:cNvCxnSpPr>
          <a:stCxn id="47" idx="5"/>
        </xdr:cNvCxnSpPr>
      </xdr:nvCxnSpPr>
      <xdr:spPr>
        <a:xfrm>
          <a:off x="3894188" y="6127897"/>
          <a:ext cx="1163590" cy="1168256"/>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3664</xdr:colOff>
      <xdr:row>29</xdr:row>
      <xdr:rowOff>91590</xdr:rowOff>
    </xdr:from>
    <xdr:to>
      <xdr:col>28</xdr:col>
      <xdr:colOff>8060</xdr:colOff>
      <xdr:row>33</xdr:row>
      <xdr:rowOff>112105</xdr:rowOff>
    </xdr:to>
    <xdr:cxnSp macro="">
      <xdr:nvCxnSpPr>
        <xdr:cNvPr id="34" name="Straight Arrow Connector 33">
          <a:extLst>
            <a:ext uri="{FF2B5EF4-FFF2-40B4-BE49-F238E27FC236}">
              <a16:creationId xmlns:a16="http://schemas.microsoft.com/office/drawing/2014/main" id="{00000000-0008-0000-1300-000022000000}"/>
            </a:ext>
          </a:extLst>
        </xdr:cNvPr>
        <xdr:cNvCxnSpPr/>
      </xdr:nvCxnSpPr>
      <xdr:spPr>
        <a:xfrm rot="5400000">
          <a:off x="2757854" y="3823925"/>
          <a:ext cx="515815" cy="232996"/>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16119</xdr:colOff>
      <xdr:row>34</xdr:row>
      <xdr:rowOff>118696</xdr:rowOff>
    </xdr:from>
    <xdr:to>
      <xdr:col>32</xdr:col>
      <xdr:colOff>97448</xdr:colOff>
      <xdr:row>35</xdr:row>
      <xdr:rowOff>94515</xdr:rowOff>
    </xdr:to>
    <xdr:cxnSp macro="">
      <xdr:nvCxnSpPr>
        <xdr:cNvPr id="35" name="Straight Arrow Connector 34">
          <a:extLst>
            <a:ext uri="{FF2B5EF4-FFF2-40B4-BE49-F238E27FC236}">
              <a16:creationId xmlns:a16="http://schemas.microsoft.com/office/drawing/2014/main" id="{00000000-0008-0000-1300-000023000000}"/>
            </a:ext>
          </a:extLst>
        </xdr:cNvPr>
        <xdr:cNvCxnSpPr/>
      </xdr:nvCxnSpPr>
      <xdr:spPr>
        <a:xfrm rot="10800000" flipV="1">
          <a:off x="3140319" y="4328746"/>
          <a:ext cx="538529" cy="9964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95250</xdr:colOff>
      <xdr:row>14</xdr:row>
      <xdr:rowOff>28575</xdr:rowOff>
    </xdr:from>
    <xdr:ext cx="963800" cy="311715"/>
    <xdr:sp macro="" textlink="">
      <xdr:nvSpPr>
        <xdr:cNvPr id="36" name="Rectangle 35">
          <a:extLst>
            <a:ext uri="{FF2B5EF4-FFF2-40B4-BE49-F238E27FC236}">
              <a16:creationId xmlns:a16="http://schemas.microsoft.com/office/drawing/2014/main" id="{00000000-0008-0000-1300-000024000000}"/>
            </a:ext>
          </a:extLst>
        </xdr:cNvPr>
        <xdr:cNvSpPr/>
      </xdr:nvSpPr>
      <xdr:spPr>
        <a:xfrm>
          <a:off x="933450" y="17621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95250</xdr:colOff>
      <xdr:row>16</xdr:row>
      <xdr:rowOff>28575</xdr:rowOff>
    </xdr:from>
    <xdr:ext cx="963800" cy="311715"/>
    <xdr:sp macro="" textlink="">
      <xdr:nvSpPr>
        <xdr:cNvPr id="37" name="Rectangle 36">
          <a:extLst>
            <a:ext uri="{FF2B5EF4-FFF2-40B4-BE49-F238E27FC236}">
              <a16:creationId xmlns:a16="http://schemas.microsoft.com/office/drawing/2014/main" id="{00000000-0008-0000-1300-000025000000}"/>
            </a:ext>
          </a:extLst>
        </xdr:cNvPr>
        <xdr:cNvSpPr/>
      </xdr:nvSpPr>
      <xdr:spPr>
        <a:xfrm>
          <a:off x="5162550" y="200977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xdr:col>
      <xdr:colOff>0</xdr:colOff>
      <xdr:row>56</xdr:row>
      <xdr:rowOff>38100</xdr:rowOff>
    </xdr:from>
    <xdr:ext cx="963800" cy="311715"/>
    <xdr:sp macro="" textlink="">
      <xdr:nvSpPr>
        <xdr:cNvPr id="38" name="Rectangle 37">
          <a:extLst>
            <a:ext uri="{FF2B5EF4-FFF2-40B4-BE49-F238E27FC236}">
              <a16:creationId xmlns:a16="http://schemas.microsoft.com/office/drawing/2014/main" id="{00000000-0008-0000-1300-000026000000}"/>
            </a:ext>
          </a:extLst>
        </xdr:cNvPr>
        <xdr:cNvSpPr/>
      </xdr:nvSpPr>
      <xdr:spPr>
        <a:xfrm>
          <a:off x="952500" y="697230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28575</xdr:colOff>
      <xdr:row>56</xdr:row>
      <xdr:rowOff>47625</xdr:rowOff>
    </xdr:from>
    <xdr:ext cx="963800" cy="311715"/>
    <xdr:sp macro="" textlink="">
      <xdr:nvSpPr>
        <xdr:cNvPr id="39" name="Rectangle 38">
          <a:extLst>
            <a:ext uri="{FF2B5EF4-FFF2-40B4-BE49-F238E27FC236}">
              <a16:creationId xmlns:a16="http://schemas.microsoft.com/office/drawing/2014/main" id="{00000000-0008-0000-1300-000027000000}"/>
            </a:ext>
          </a:extLst>
        </xdr:cNvPr>
        <xdr:cNvSpPr/>
      </xdr:nvSpPr>
      <xdr:spPr>
        <a:xfrm>
          <a:off x="5095875" y="69818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39</xdr:col>
      <xdr:colOff>19052</xdr:colOff>
      <xdr:row>38</xdr:row>
      <xdr:rowOff>46893</xdr:rowOff>
    </xdr:from>
    <xdr:to>
      <xdr:col>43</xdr:col>
      <xdr:colOff>38101</xdr:colOff>
      <xdr:row>40</xdr:row>
      <xdr:rowOff>9526</xdr:rowOff>
    </xdr:to>
    <xdr:cxnSp macro="">
      <xdr:nvCxnSpPr>
        <xdr:cNvPr id="40" name="Straight Arrow Connector 39">
          <a:extLst>
            <a:ext uri="{FF2B5EF4-FFF2-40B4-BE49-F238E27FC236}">
              <a16:creationId xmlns:a16="http://schemas.microsoft.com/office/drawing/2014/main" id="{00000000-0008-0000-1300-000028000000}"/>
            </a:ext>
          </a:extLst>
        </xdr:cNvPr>
        <xdr:cNvCxnSpPr/>
      </xdr:nvCxnSpPr>
      <xdr:spPr>
        <a:xfrm rot="10800000">
          <a:off x="4400552" y="4752243"/>
          <a:ext cx="476249" cy="210283"/>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9527</xdr:colOff>
      <xdr:row>40</xdr:row>
      <xdr:rowOff>11721</xdr:rowOff>
    </xdr:from>
    <xdr:to>
      <xdr:col>38</xdr:col>
      <xdr:colOff>38101</xdr:colOff>
      <xdr:row>45</xdr:row>
      <xdr:rowOff>9525</xdr:rowOff>
    </xdr:to>
    <xdr:cxnSp macro="">
      <xdr:nvCxnSpPr>
        <xdr:cNvPr id="41" name="Straight Arrow Connector 40">
          <a:extLst>
            <a:ext uri="{FF2B5EF4-FFF2-40B4-BE49-F238E27FC236}">
              <a16:creationId xmlns:a16="http://schemas.microsoft.com/office/drawing/2014/main" id="{00000000-0008-0000-1300-000029000000}"/>
            </a:ext>
          </a:extLst>
        </xdr:cNvPr>
        <xdr:cNvCxnSpPr/>
      </xdr:nvCxnSpPr>
      <xdr:spPr>
        <a:xfrm rot="16200000" flipV="1">
          <a:off x="3982549" y="5258899"/>
          <a:ext cx="616929" cy="2857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111371</xdr:colOff>
      <xdr:row>50</xdr:row>
      <xdr:rowOff>78399</xdr:rowOff>
    </xdr:from>
    <xdr:to>
      <xdr:col>34</xdr:col>
      <xdr:colOff>63747</xdr:colOff>
      <xdr:row>54</xdr:row>
      <xdr:rowOff>107707</xdr:rowOff>
    </xdr:to>
    <xdr:cxnSp macro="">
      <xdr:nvCxnSpPr>
        <xdr:cNvPr id="42" name="Straight Arrow Connector 41">
          <a:extLst>
            <a:ext uri="{FF2B5EF4-FFF2-40B4-BE49-F238E27FC236}">
              <a16:creationId xmlns:a16="http://schemas.microsoft.com/office/drawing/2014/main" id="{00000000-0008-0000-1300-00002A000000}"/>
            </a:ext>
          </a:extLst>
        </xdr:cNvPr>
        <xdr:cNvCxnSpPr/>
      </xdr:nvCxnSpPr>
      <xdr:spPr>
        <a:xfrm rot="5400000" flipH="1" flipV="1">
          <a:off x="3520955" y="6441465"/>
          <a:ext cx="524608" cy="180976"/>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1465</xdr:colOff>
      <xdr:row>49</xdr:row>
      <xdr:rowOff>50552</xdr:rowOff>
    </xdr:from>
    <xdr:to>
      <xdr:col>32</xdr:col>
      <xdr:colOff>67407</xdr:colOff>
      <xdr:row>50</xdr:row>
      <xdr:rowOff>28575</xdr:rowOff>
    </xdr:to>
    <xdr:cxnSp macro="">
      <xdr:nvCxnSpPr>
        <xdr:cNvPr id="43" name="Straight Arrow Connector 42">
          <a:extLst>
            <a:ext uri="{FF2B5EF4-FFF2-40B4-BE49-F238E27FC236}">
              <a16:creationId xmlns:a16="http://schemas.microsoft.com/office/drawing/2014/main" id="{00000000-0008-0000-1300-00002B000000}"/>
            </a:ext>
          </a:extLst>
        </xdr:cNvPr>
        <xdr:cNvCxnSpPr/>
      </xdr:nvCxnSpPr>
      <xdr:spPr>
        <a:xfrm flipV="1">
          <a:off x="3125665" y="6117977"/>
          <a:ext cx="523142" cy="101848"/>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84259</xdr:colOff>
      <xdr:row>44</xdr:row>
      <xdr:rowOff>88656</xdr:rowOff>
    </xdr:from>
    <xdr:to>
      <xdr:col>21</xdr:col>
      <xdr:colOff>103310</xdr:colOff>
      <xdr:row>46</xdr:row>
      <xdr:rowOff>58615</xdr:rowOff>
    </xdr:to>
    <xdr:cxnSp macro="">
      <xdr:nvCxnSpPr>
        <xdr:cNvPr id="44" name="Straight Arrow Connector 43">
          <a:extLst>
            <a:ext uri="{FF2B5EF4-FFF2-40B4-BE49-F238E27FC236}">
              <a16:creationId xmlns:a16="http://schemas.microsoft.com/office/drawing/2014/main" id="{00000000-0008-0000-1300-00002C000000}"/>
            </a:ext>
          </a:extLst>
        </xdr:cNvPr>
        <xdr:cNvCxnSpPr/>
      </xdr:nvCxnSpPr>
      <xdr:spPr>
        <a:xfrm>
          <a:off x="1951159" y="5536956"/>
          <a:ext cx="476251" cy="217609"/>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4397</xdr:colOff>
      <xdr:row>40</xdr:row>
      <xdr:rowOff>35900</xdr:rowOff>
    </xdr:from>
    <xdr:to>
      <xdr:col>23</xdr:col>
      <xdr:colOff>41763</xdr:colOff>
      <xdr:row>44</xdr:row>
      <xdr:rowOff>95246</xdr:rowOff>
    </xdr:to>
    <xdr:cxnSp macro="">
      <xdr:nvCxnSpPr>
        <xdr:cNvPr id="45" name="Straight Arrow Connector 44">
          <a:extLst>
            <a:ext uri="{FF2B5EF4-FFF2-40B4-BE49-F238E27FC236}">
              <a16:creationId xmlns:a16="http://schemas.microsoft.com/office/drawing/2014/main" id="{00000000-0008-0000-1300-00002D000000}"/>
            </a:ext>
          </a:extLst>
        </xdr:cNvPr>
        <xdr:cNvCxnSpPr/>
      </xdr:nvCxnSpPr>
      <xdr:spPr>
        <a:xfrm rot="16200000" flipH="1">
          <a:off x="2298457" y="5247540"/>
          <a:ext cx="554646" cy="3736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3419</xdr:colOff>
      <xdr:row>37</xdr:row>
      <xdr:rowOff>85926</xdr:rowOff>
    </xdr:from>
    <xdr:to>
      <xdr:col>38</xdr:col>
      <xdr:colOff>45182</xdr:colOff>
      <xdr:row>39</xdr:row>
      <xdr:rowOff>20716</xdr:rowOff>
    </xdr:to>
    <xdr:sp macro="" textlink="">
      <xdr:nvSpPr>
        <xdr:cNvPr id="46" name="Oval 45">
          <a:extLst>
            <a:ext uri="{FF2B5EF4-FFF2-40B4-BE49-F238E27FC236}">
              <a16:creationId xmlns:a16="http://schemas.microsoft.com/office/drawing/2014/main" id="{00000000-0008-0000-1300-00002E000000}"/>
            </a:ext>
          </a:extLst>
        </xdr:cNvPr>
        <xdr:cNvSpPr/>
      </xdr:nvSpPr>
      <xdr:spPr>
        <a:xfrm>
          <a:off x="4156319" y="4667451"/>
          <a:ext cx="15606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33</xdr:col>
      <xdr:colOff>57150</xdr:colOff>
      <xdr:row>48</xdr:row>
      <xdr:rowOff>28575</xdr:rowOff>
    </xdr:from>
    <xdr:to>
      <xdr:col>34</xdr:col>
      <xdr:colOff>108438</xdr:colOff>
      <xdr:row>49</xdr:row>
      <xdr:rowOff>87190</xdr:rowOff>
    </xdr:to>
    <xdr:sp macro="" textlink="">
      <xdr:nvSpPr>
        <xdr:cNvPr id="47" name="Oval 46">
          <a:extLst>
            <a:ext uri="{FF2B5EF4-FFF2-40B4-BE49-F238E27FC236}">
              <a16:creationId xmlns:a16="http://schemas.microsoft.com/office/drawing/2014/main" id="{00000000-0008-0000-1300-00002F000000}"/>
            </a:ext>
          </a:extLst>
        </xdr:cNvPr>
        <xdr:cNvSpPr/>
      </xdr:nvSpPr>
      <xdr:spPr>
        <a:xfrm>
          <a:off x="3752850" y="5972175"/>
          <a:ext cx="165588"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22</xdr:col>
      <xdr:colOff>85725</xdr:colOff>
      <xdr:row>45</xdr:row>
      <xdr:rowOff>104775</xdr:rowOff>
    </xdr:from>
    <xdr:to>
      <xdr:col>24</xdr:col>
      <xdr:colOff>22713</xdr:colOff>
      <xdr:row>47</xdr:row>
      <xdr:rowOff>39565</xdr:rowOff>
    </xdr:to>
    <xdr:sp macro="" textlink="">
      <xdr:nvSpPr>
        <xdr:cNvPr id="48" name="Oval 47">
          <a:extLst>
            <a:ext uri="{FF2B5EF4-FFF2-40B4-BE49-F238E27FC236}">
              <a16:creationId xmlns:a16="http://schemas.microsoft.com/office/drawing/2014/main" id="{00000000-0008-0000-1300-000030000000}"/>
            </a:ext>
          </a:extLst>
        </xdr:cNvPr>
        <xdr:cNvSpPr/>
      </xdr:nvSpPr>
      <xdr:spPr>
        <a:xfrm>
          <a:off x="2524125" y="5676900"/>
          <a:ext cx="165588"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25</xdr:col>
      <xdr:colOff>19050</xdr:colOff>
      <xdr:row>34</xdr:row>
      <xdr:rowOff>85725</xdr:rowOff>
    </xdr:from>
    <xdr:to>
      <xdr:col>26</xdr:col>
      <xdr:colOff>60813</xdr:colOff>
      <xdr:row>36</xdr:row>
      <xdr:rowOff>20515</xdr:rowOff>
    </xdr:to>
    <xdr:sp macro="" textlink="">
      <xdr:nvSpPr>
        <xdr:cNvPr id="49" name="Oval 48">
          <a:extLst>
            <a:ext uri="{FF2B5EF4-FFF2-40B4-BE49-F238E27FC236}">
              <a16:creationId xmlns:a16="http://schemas.microsoft.com/office/drawing/2014/main" id="{00000000-0008-0000-1300-000031000000}"/>
            </a:ext>
          </a:extLst>
        </xdr:cNvPr>
        <xdr:cNvSpPr/>
      </xdr:nvSpPr>
      <xdr:spPr>
        <a:xfrm>
          <a:off x="2800350" y="4295775"/>
          <a:ext cx="15606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9525</xdr:colOff>
      <xdr:row>24</xdr:row>
      <xdr:rowOff>19050</xdr:rowOff>
    </xdr:from>
    <xdr:to>
      <xdr:col>25</xdr:col>
      <xdr:colOff>23964</xdr:colOff>
      <xdr:row>34</xdr:row>
      <xdr:rowOff>78826</xdr:rowOff>
    </xdr:to>
    <xdr:cxnSp macro="">
      <xdr:nvCxnSpPr>
        <xdr:cNvPr id="50" name="Straight Connector 49">
          <a:extLst>
            <a:ext uri="{FF2B5EF4-FFF2-40B4-BE49-F238E27FC236}">
              <a16:creationId xmlns:a16="http://schemas.microsoft.com/office/drawing/2014/main" id="{00000000-0008-0000-1300-000032000000}"/>
            </a:ext>
          </a:extLst>
        </xdr:cNvPr>
        <xdr:cNvCxnSpPr/>
      </xdr:nvCxnSpPr>
      <xdr:spPr>
        <a:xfrm flipH="1" flipV="1">
          <a:off x="1876425" y="2990850"/>
          <a:ext cx="928839" cy="1298026"/>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28575</xdr:colOff>
      <xdr:row>47</xdr:row>
      <xdr:rowOff>39565</xdr:rowOff>
    </xdr:from>
    <xdr:to>
      <xdr:col>23</xdr:col>
      <xdr:colOff>54219</xdr:colOff>
      <xdr:row>58</xdr:row>
      <xdr:rowOff>95250</xdr:rowOff>
    </xdr:to>
    <xdr:cxnSp macro="">
      <xdr:nvCxnSpPr>
        <xdr:cNvPr id="51" name="Straight Connector 50">
          <a:extLst>
            <a:ext uri="{FF2B5EF4-FFF2-40B4-BE49-F238E27FC236}">
              <a16:creationId xmlns:a16="http://schemas.microsoft.com/office/drawing/2014/main" id="{00000000-0008-0000-1300-000033000000}"/>
            </a:ext>
          </a:extLst>
        </xdr:cNvPr>
        <xdr:cNvCxnSpPr>
          <a:endCxn id="48" idx="4"/>
        </xdr:cNvCxnSpPr>
      </xdr:nvCxnSpPr>
      <xdr:spPr>
        <a:xfrm flipV="1">
          <a:off x="1895475" y="5859340"/>
          <a:ext cx="711444" cy="141776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0</xdr:colOff>
      <xdr:row>37</xdr:row>
      <xdr:rowOff>38100</xdr:rowOff>
    </xdr:from>
    <xdr:to>
      <xdr:col>97</xdr:col>
      <xdr:colOff>66674</xdr:colOff>
      <xdr:row>41</xdr:row>
      <xdr:rowOff>19050</xdr:rowOff>
    </xdr:to>
    <xdr:sp macro="" textlink="">
      <xdr:nvSpPr>
        <xdr:cNvPr id="52" name="Right Arrow 51">
          <a:hlinkClick xmlns:r="http://schemas.openxmlformats.org/officeDocument/2006/relationships" r:id="rId2"/>
          <a:extLst>
            <a:ext uri="{FF2B5EF4-FFF2-40B4-BE49-F238E27FC236}">
              <a16:creationId xmlns:a16="http://schemas.microsoft.com/office/drawing/2014/main" id="{00000000-0008-0000-1300-000034000000}"/>
            </a:ext>
          </a:extLst>
        </xdr:cNvPr>
        <xdr:cNvSpPr/>
      </xdr:nvSpPr>
      <xdr:spPr>
        <a:xfrm>
          <a:off x="2895600" y="13820775"/>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twoCellAnchor>
    <xdr:from>
      <xdr:col>93</xdr:col>
      <xdr:colOff>104775</xdr:colOff>
      <xdr:row>27</xdr:row>
      <xdr:rowOff>66675</xdr:rowOff>
    </xdr:from>
    <xdr:to>
      <xdr:col>96</xdr:col>
      <xdr:colOff>54151</xdr:colOff>
      <xdr:row>28</xdr:row>
      <xdr:rowOff>73743</xdr:rowOff>
    </xdr:to>
    <xdr:sp macro="" textlink="">
      <xdr:nvSpPr>
        <xdr:cNvPr id="53" name="Freccia in giù 9">
          <a:extLst>
            <a:ext uri="{FF2B5EF4-FFF2-40B4-BE49-F238E27FC236}">
              <a16:creationId xmlns:a16="http://schemas.microsoft.com/office/drawing/2014/main" id="{00000000-0008-0000-1300-000035000000}"/>
            </a:ext>
          </a:extLst>
        </xdr:cNvPr>
        <xdr:cNvSpPr/>
      </xdr:nvSpPr>
      <xdr:spPr>
        <a:xfrm rot="4265451">
          <a:off x="3652566" y="12530409"/>
          <a:ext cx="130893" cy="2922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80757</xdr:colOff>
      <xdr:row>34</xdr:row>
      <xdr:rowOff>85726</xdr:rowOff>
    </xdr:from>
    <xdr:to>
      <xdr:col>102</xdr:col>
      <xdr:colOff>77512</xdr:colOff>
      <xdr:row>37</xdr:row>
      <xdr:rowOff>51577</xdr:rowOff>
    </xdr:to>
    <xdr:sp macro="" textlink="">
      <xdr:nvSpPr>
        <xdr:cNvPr id="54" name="Freccia in giù 9">
          <a:extLst>
            <a:ext uri="{FF2B5EF4-FFF2-40B4-BE49-F238E27FC236}">
              <a16:creationId xmlns:a16="http://schemas.microsoft.com/office/drawing/2014/main" id="{00000000-0008-0000-1300-000036000000}"/>
            </a:ext>
          </a:extLst>
        </xdr:cNvPr>
        <xdr:cNvSpPr/>
      </xdr:nvSpPr>
      <xdr:spPr>
        <a:xfrm rot="9723139">
          <a:off x="4462257" y="13496926"/>
          <a:ext cx="111055"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67503</xdr:colOff>
      <xdr:row>39</xdr:row>
      <xdr:rowOff>89867</xdr:rowOff>
    </xdr:from>
    <xdr:to>
      <xdr:col>84</xdr:col>
      <xdr:colOff>59711</xdr:colOff>
      <xdr:row>42</xdr:row>
      <xdr:rowOff>38341</xdr:rowOff>
    </xdr:to>
    <xdr:sp macro="" textlink="">
      <xdr:nvSpPr>
        <xdr:cNvPr id="55" name="Freccia in giù 9">
          <a:extLst>
            <a:ext uri="{FF2B5EF4-FFF2-40B4-BE49-F238E27FC236}">
              <a16:creationId xmlns:a16="http://schemas.microsoft.com/office/drawing/2014/main" id="{00000000-0008-0000-1300-000037000000}"/>
            </a:ext>
          </a:extLst>
        </xdr:cNvPr>
        <xdr:cNvSpPr/>
      </xdr:nvSpPr>
      <xdr:spPr>
        <a:xfrm rot="20584512">
          <a:off x="2391603" y="14120192"/>
          <a:ext cx="106508"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85312</xdr:colOff>
      <xdr:row>49</xdr:row>
      <xdr:rowOff>54251</xdr:rowOff>
    </xdr:from>
    <xdr:to>
      <xdr:col>96</xdr:col>
      <xdr:colOff>52163</xdr:colOff>
      <xdr:row>50</xdr:row>
      <xdr:rowOff>48957</xdr:rowOff>
    </xdr:to>
    <xdr:sp macro="" textlink="">
      <xdr:nvSpPr>
        <xdr:cNvPr id="56" name="Freccia in giù 9">
          <a:extLst>
            <a:ext uri="{FF2B5EF4-FFF2-40B4-BE49-F238E27FC236}">
              <a16:creationId xmlns:a16="http://schemas.microsoft.com/office/drawing/2014/main" id="{00000000-0008-0000-1300-000038000000}"/>
            </a:ext>
          </a:extLst>
        </xdr:cNvPr>
        <xdr:cNvSpPr/>
      </xdr:nvSpPr>
      <xdr:spPr>
        <a:xfrm rot="15201463">
          <a:off x="3648022" y="15227216"/>
          <a:ext cx="118531" cy="3097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28575</xdr:colOff>
      <xdr:row>4</xdr:row>
      <xdr:rowOff>57149</xdr:rowOff>
    </xdr:from>
    <xdr:ext cx="6353175" cy="8372475"/>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295275" y="552449"/>
          <a:ext cx="6353175" cy="837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endParaRPr lang="en-US" sz="1100" b="0" i="0" u="none" strike="noStrike">
            <a:solidFill>
              <a:schemeClr val="tx1"/>
            </a:solidFill>
            <a:effectLst/>
            <a:latin typeface="+mn-lt"/>
            <a:ea typeface="+mn-ea"/>
            <a:cs typeface="+mn-cs"/>
          </a:endParaRPr>
        </a:p>
        <a:p>
          <a:pPr algn="just"/>
          <a:r>
            <a:rPr lang="en-US" sz="1100" b="0" i="0" u="none" strike="noStrike">
              <a:solidFill>
                <a:schemeClr val="tx1"/>
              </a:solidFill>
              <a:effectLst/>
              <a:latin typeface="+mn-lt"/>
              <a:ea typeface="+mn-ea"/>
              <a:cs typeface="+mn-cs"/>
            </a:rPr>
            <a:t>CLV</a:t>
          </a:r>
          <a:r>
            <a:rPr lang="en-US" sz="900"/>
            <a:t> 		</a:t>
          </a:r>
          <a:r>
            <a:rPr lang="en-US" sz="1100" b="0" i="0" u="none" strike="noStrike">
              <a:solidFill>
                <a:schemeClr val="tx1"/>
              </a:solidFill>
              <a:effectLst/>
              <a:latin typeface="+mn-lt"/>
              <a:ea typeface="+mn-ea"/>
              <a:cs typeface="+mn-cs"/>
            </a:rPr>
            <a:t>Critical Lane Volume</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Ctr		Center</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DCD 		Double Crossover Diamond</a:t>
          </a:r>
          <a:r>
            <a:rPr lang="en-US" sz="900"/>
            <a:t> </a:t>
          </a:r>
        </a:p>
        <a:p>
          <a:pPr algn="just"/>
          <a:r>
            <a:rPr lang="en-US" sz="1100" b="0" i="0" u="none" strike="noStrike">
              <a:solidFill>
                <a:schemeClr val="tx1"/>
              </a:solidFill>
              <a:effectLst/>
              <a:latin typeface="+mn-lt"/>
              <a:ea typeface="+mn-ea"/>
              <a:cs typeface="+mn-cs"/>
            </a:rPr>
            <a:t>DLT</a:t>
          </a:r>
          <a:r>
            <a:rPr lang="en-US" sz="900"/>
            <a:t> 		</a:t>
          </a:r>
          <a:r>
            <a:rPr lang="en-US" sz="1100" b="0" i="0" u="none" strike="noStrike">
              <a:solidFill>
                <a:schemeClr val="tx1"/>
              </a:solidFill>
              <a:effectLst/>
              <a:latin typeface="+mn-lt"/>
              <a:ea typeface="+mn-ea"/>
              <a:cs typeface="+mn-cs"/>
            </a:rPr>
            <a:t>Displaced Left Turn</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DLTI</a:t>
          </a:r>
          <a:r>
            <a:rPr lang="en-US" sz="900"/>
            <a:t> 		</a:t>
          </a:r>
          <a:r>
            <a:rPr lang="en-US" sz="1100" b="0" i="0" u="none" strike="noStrike">
              <a:solidFill>
                <a:schemeClr val="tx1"/>
              </a:solidFill>
              <a:effectLst/>
              <a:latin typeface="+mn-lt"/>
              <a:ea typeface="+mn-ea"/>
              <a:cs typeface="+mn-cs"/>
            </a:rPr>
            <a:t>Displaced Left Turn Intersection</a:t>
          </a:r>
          <a:r>
            <a:rPr lang="en-US" sz="900"/>
            <a:t> </a:t>
          </a:r>
        </a:p>
        <a:p>
          <a:pPr algn="just"/>
          <a:r>
            <a:rPr lang="en-US" sz="1100" b="0" i="0" u="none" strike="noStrike">
              <a:solidFill>
                <a:schemeClr val="tx1"/>
              </a:solidFill>
              <a:effectLst/>
              <a:latin typeface="+mn-lt"/>
              <a:ea typeface="+mn-ea"/>
              <a:cs typeface="+mn-cs"/>
            </a:rPr>
            <a:t>EB </a:t>
          </a:r>
          <a:r>
            <a:rPr lang="en-US" sz="900"/>
            <a:t> 		</a:t>
          </a:r>
          <a:r>
            <a:rPr lang="en-US" sz="1100" b="0" i="0" u="none" strike="noStrike">
              <a:solidFill>
                <a:schemeClr val="tx1"/>
              </a:solidFill>
              <a:effectLst/>
              <a:latin typeface="+mn-lt"/>
              <a:ea typeface="+mn-ea"/>
              <a:cs typeface="+mn-cs"/>
            </a:rPr>
            <a:t>Eastbound</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EQ</a:t>
          </a:r>
          <a:r>
            <a:rPr lang="en-US" sz="900"/>
            <a:t> 		</a:t>
          </a:r>
          <a:r>
            <a:rPr lang="en-US" sz="1100" b="0" i="0" u="none" strike="noStrike">
              <a:solidFill>
                <a:schemeClr val="tx1"/>
              </a:solidFill>
              <a:effectLst/>
              <a:latin typeface="+mn-lt"/>
              <a:ea typeface="+mn-ea"/>
              <a:cs typeface="+mn-cs"/>
            </a:rPr>
            <a:t>Equivalent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E-W</a:t>
          </a:r>
          <a:r>
            <a:rPr lang="en-US" sz="900"/>
            <a:t> 		</a:t>
          </a:r>
          <a:r>
            <a:rPr lang="en-US" sz="1100" b="0" i="0" u="none" strike="noStrike">
              <a:solidFill>
                <a:schemeClr val="tx1"/>
              </a:solidFill>
              <a:effectLst/>
              <a:latin typeface="+mn-lt"/>
              <a:ea typeface="+mn-ea"/>
              <a:cs typeface="+mn-cs"/>
            </a:rPr>
            <a:t>East-West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ICD</a:t>
          </a:r>
          <a:r>
            <a:rPr lang="en-US" sz="900"/>
            <a:t> 		</a:t>
          </a:r>
          <a:r>
            <a:rPr lang="en-US" sz="1100" b="0" i="0" u="none" strike="noStrike">
              <a:solidFill>
                <a:schemeClr val="tx1"/>
              </a:solidFill>
              <a:effectLst/>
              <a:latin typeface="+mn-lt"/>
              <a:ea typeface="+mn-ea"/>
              <a:cs typeface="+mn-cs"/>
            </a:rPr>
            <a:t>Inscribed Circle Diameter</a:t>
          </a:r>
          <a:r>
            <a:rPr lang="en-US" sz="900"/>
            <a:t> </a:t>
          </a:r>
        </a:p>
        <a:p>
          <a:pPr algn="just"/>
          <a:r>
            <a:rPr lang="en-US" sz="1100" b="0" i="0" u="none" strike="noStrike">
              <a:solidFill>
                <a:schemeClr val="tx1"/>
              </a:solidFill>
              <a:effectLst/>
              <a:latin typeface="+mn-lt"/>
              <a:ea typeface="+mn-ea"/>
              <a:cs typeface="+mn-cs"/>
            </a:rPr>
            <a:t>MUT</a:t>
          </a:r>
          <a:r>
            <a:rPr lang="en-US" sz="900"/>
            <a:t> 		</a:t>
          </a:r>
          <a:r>
            <a:rPr lang="en-US" sz="1100" b="0" i="0" u="none" strike="noStrike">
              <a:solidFill>
                <a:schemeClr val="tx1"/>
              </a:solidFill>
              <a:effectLst/>
              <a:latin typeface="+mn-lt"/>
              <a:ea typeface="+mn-ea"/>
              <a:cs typeface="+mn-cs"/>
            </a:rPr>
            <a:t>Median U-Turn</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PCEPH</a:t>
          </a:r>
          <a:r>
            <a:rPr lang="en-US" sz="900"/>
            <a:t> 		</a:t>
          </a:r>
          <a:r>
            <a:rPr lang="en-US" sz="1100" b="0" i="0" u="none" strike="noStrike">
              <a:solidFill>
                <a:schemeClr val="tx1"/>
              </a:solidFill>
              <a:effectLst/>
              <a:latin typeface="+mn-lt"/>
              <a:ea typeface="+mn-ea"/>
              <a:cs typeface="+mn-cs"/>
            </a:rPr>
            <a:t>Per Car Equivalent Per Hour</a:t>
          </a:r>
          <a:r>
            <a:rPr lang="en-US" sz="900"/>
            <a:t> </a:t>
          </a:r>
        </a:p>
        <a:p>
          <a:pPr algn="just"/>
          <a:r>
            <a:rPr lang="en-US" sz="1100" b="0" i="0" u="none" strike="noStrike">
              <a:solidFill>
                <a:schemeClr val="tx1"/>
              </a:solidFill>
              <a:effectLst/>
              <a:latin typeface="+mn-lt"/>
              <a:ea typeface="+mn-ea"/>
              <a:cs typeface="+mn-cs"/>
            </a:rPr>
            <a:t>PCE</a:t>
          </a:r>
          <a:r>
            <a:rPr lang="en-US" sz="900"/>
            <a:t> 		</a:t>
          </a:r>
          <a:r>
            <a:rPr lang="en-US" sz="1100" b="0" i="0" u="none" strike="noStrike">
              <a:solidFill>
                <a:schemeClr val="tx1"/>
              </a:solidFill>
              <a:effectLst/>
              <a:latin typeface="+mn-lt"/>
              <a:ea typeface="+mn-ea"/>
              <a:cs typeface="+mn-cs"/>
            </a:rPr>
            <a:t>Per Car Equivalent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PCL</a:t>
          </a:r>
          <a:r>
            <a:rPr lang="en-US" sz="900"/>
            <a:t> 		</a:t>
          </a:r>
          <a:r>
            <a:rPr lang="en-US" sz="1100" b="0" i="0" u="none" strike="noStrike">
              <a:solidFill>
                <a:schemeClr val="tx1"/>
              </a:solidFill>
              <a:effectLst/>
              <a:latin typeface="+mn-lt"/>
              <a:ea typeface="+mn-ea"/>
              <a:cs typeface="+mn-cs"/>
            </a:rPr>
            <a:t>Partial Cloverleaf</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PMUT</a:t>
          </a:r>
          <a:r>
            <a:rPr lang="en-US" sz="900"/>
            <a:t> 		</a:t>
          </a:r>
          <a:r>
            <a:rPr lang="en-US" sz="1100" b="0" i="0" u="none" strike="noStrike">
              <a:solidFill>
                <a:schemeClr val="tx1"/>
              </a:solidFill>
              <a:effectLst/>
              <a:latin typeface="+mn-lt"/>
              <a:ea typeface="+mn-ea"/>
              <a:cs typeface="+mn-cs"/>
            </a:rPr>
            <a:t>Partial Median U-Turn</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RCUT</a:t>
          </a:r>
          <a:r>
            <a:rPr lang="en-US" sz="900"/>
            <a:t> 		</a:t>
          </a:r>
          <a:r>
            <a:rPr lang="en-US" sz="1100" b="0" i="0" u="none" strike="noStrike">
              <a:solidFill>
                <a:schemeClr val="tx1"/>
              </a:solidFill>
              <a:effectLst/>
              <a:latin typeface="+mn-lt"/>
              <a:ea typeface="+mn-ea"/>
              <a:cs typeface="+mn-cs"/>
            </a:rPr>
            <a:t>Restricted Crossing U-Turn</a:t>
          </a:r>
          <a:r>
            <a:rPr lang="en-US" sz="900"/>
            <a:t> </a:t>
          </a:r>
        </a:p>
        <a:p>
          <a:pPr algn="just"/>
          <a:r>
            <a:rPr lang="en-US" sz="1100" b="0" i="0" u="none" strike="noStrike">
              <a:solidFill>
                <a:schemeClr val="tx1"/>
              </a:solidFill>
              <a:effectLst/>
              <a:latin typeface="+mn-lt"/>
              <a:ea typeface="+mn-ea"/>
              <a:cs typeface="+mn-cs"/>
            </a:rPr>
            <a:t>LT</a:t>
          </a:r>
          <a:r>
            <a:rPr lang="en-US" sz="900"/>
            <a:t> 		</a:t>
          </a:r>
          <a:r>
            <a:rPr lang="en-US" sz="1100" b="0" i="0" u="none" strike="noStrike">
              <a:solidFill>
                <a:schemeClr val="tx1"/>
              </a:solidFill>
              <a:effectLst/>
              <a:latin typeface="+mn-lt"/>
              <a:ea typeface="+mn-ea"/>
              <a:cs typeface="+mn-cs"/>
            </a:rPr>
            <a:t>Left Turn</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Lt Eq</a:t>
          </a:r>
          <a:r>
            <a:rPr lang="en-US" sz="900"/>
            <a:t> 		</a:t>
          </a:r>
          <a:r>
            <a:rPr lang="en-US" sz="1100"/>
            <a:t>L</a:t>
          </a:r>
          <a:r>
            <a:rPr lang="en-US" sz="1100" b="0" i="0" u="none" strike="noStrike">
              <a:solidFill>
                <a:schemeClr val="tx1"/>
              </a:solidFill>
              <a:effectLst/>
              <a:latin typeface="+mn-lt"/>
              <a:ea typeface="+mn-ea"/>
              <a:cs typeface="+mn-cs"/>
            </a:rPr>
            <a:t>eft Turn Equivalent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Lt Mrg</a:t>
          </a:r>
          <a:r>
            <a:rPr lang="en-US" sz="900"/>
            <a:t> 		</a:t>
          </a:r>
          <a:r>
            <a:rPr lang="en-US" sz="1100" b="0" i="0" u="none" strike="noStrike">
              <a:solidFill>
                <a:schemeClr val="tx1"/>
              </a:solidFill>
              <a:effectLst/>
              <a:latin typeface="+mn-lt"/>
              <a:ea typeface="+mn-ea"/>
              <a:cs typeface="+mn-cs"/>
            </a:rPr>
            <a:t>Left Merge</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NB</a:t>
          </a:r>
          <a:r>
            <a:rPr lang="en-US" sz="900"/>
            <a:t> 		</a:t>
          </a:r>
          <a:r>
            <a:rPr lang="en-US" sz="1100" b="0" i="0" u="none" strike="noStrike">
              <a:solidFill>
                <a:schemeClr val="tx1"/>
              </a:solidFill>
              <a:effectLst/>
              <a:latin typeface="+mn-lt"/>
              <a:ea typeface="+mn-ea"/>
              <a:cs typeface="+mn-cs"/>
            </a:rPr>
            <a:t>Northbound</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N-E		North-East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N-S</a:t>
          </a:r>
          <a:r>
            <a:rPr lang="en-US" sz="900"/>
            <a:t> 		</a:t>
          </a:r>
          <a:r>
            <a:rPr lang="en-US" sz="1100" b="0" i="0" u="none" strike="noStrike">
              <a:solidFill>
                <a:schemeClr val="tx1"/>
              </a:solidFill>
              <a:effectLst/>
              <a:latin typeface="+mn-lt"/>
              <a:ea typeface="+mn-ea"/>
              <a:cs typeface="+mn-cs"/>
            </a:rPr>
            <a:t>North-South</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N-W</a:t>
          </a:r>
          <a:r>
            <a:rPr lang="en-US" sz="900"/>
            <a:t> 		</a:t>
          </a:r>
          <a:r>
            <a:rPr lang="en-US" sz="1100" b="0" i="0" u="none" strike="noStrike">
              <a:solidFill>
                <a:schemeClr val="tx1"/>
              </a:solidFill>
              <a:effectLst/>
              <a:latin typeface="+mn-lt"/>
              <a:ea typeface="+mn-ea"/>
              <a:cs typeface="+mn-cs"/>
            </a:rPr>
            <a:t>North-West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PCE</a:t>
          </a:r>
          <a:r>
            <a:rPr lang="en-US" sz="900"/>
            <a:t> 		</a:t>
          </a:r>
          <a:r>
            <a:rPr lang="en-US" sz="1100" b="0" i="0" u="none" strike="noStrike">
              <a:solidFill>
                <a:schemeClr val="tx1"/>
              </a:solidFill>
              <a:effectLst/>
              <a:latin typeface="+mn-lt"/>
              <a:ea typeface="+mn-ea"/>
              <a:cs typeface="+mn-cs"/>
            </a:rPr>
            <a:t>Per Car Equivalent</a:t>
          </a:r>
          <a:r>
            <a:rPr lang="en-US" sz="900"/>
            <a:t> </a:t>
          </a:r>
          <a:r>
            <a:rPr lang="en-US" sz="1100" b="0" i="0" u="none" strike="noStrike">
              <a:solidFill>
                <a:schemeClr val="tx1"/>
              </a:solidFill>
              <a:effectLst/>
              <a:latin typeface="+mn-lt"/>
              <a:ea typeface="+mn-ea"/>
              <a:cs typeface="+mn-cs"/>
            </a:rPr>
            <a:t> </a:t>
          </a:r>
        </a:p>
        <a:p>
          <a:pPr algn="just"/>
          <a:r>
            <a:rPr lang="en-US" sz="1100" b="0" i="0" u="none" strike="noStrike">
              <a:solidFill>
                <a:schemeClr val="tx1"/>
              </a:solidFill>
              <a:effectLst/>
              <a:latin typeface="+mn-lt"/>
              <a:ea typeface="+mn-ea"/>
              <a:cs typeface="+mn-cs"/>
            </a:rPr>
            <a:t>PCEPH</a:t>
          </a:r>
          <a:r>
            <a:rPr lang="en-US" sz="900"/>
            <a:t> 		</a:t>
          </a:r>
          <a:r>
            <a:rPr lang="en-US" sz="1100" b="0" i="0" u="none" strike="noStrike">
              <a:solidFill>
                <a:schemeClr val="tx1"/>
              </a:solidFill>
              <a:effectLst/>
              <a:latin typeface="+mn-lt"/>
              <a:ea typeface="+mn-ea"/>
              <a:cs typeface="+mn-cs"/>
            </a:rPr>
            <a:t>Per Car Equivalent Per Hour</a:t>
          </a:r>
          <a:r>
            <a:rPr lang="en-US" sz="900"/>
            <a:t> </a:t>
          </a:r>
        </a:p>
        <a:p>
          <a:pPr algn="just"/>
          <a:r>
            <a:rPr lang="en-US" sz="1100" b="0" i="0" u="none" strike="noStrike">
              <a:solidFill>
                <a:schemeClr val="tx1"/>
              </a:solidFill>
              <a:effectLst/>
              <a:latin typeface="+mn-lt"/>
              <a:ea typeface="+mn-ea"/>
              <a:cs typeface="+mn-cs"/>
            </a:rPr>
            <a:t>PEPCH</a:t>
          </a:r>
          <a:r>
            <a:rPr lang="en-US" sz="900"/>
            <a:t> 		</a:t>
          </a:r>
          <a:r>
            <a:rPr lang="en-US" sz="1100" b="0" i="0" u="none" strike="noStrike">
              <a:solidFill>
                <a:schemeClr val="tx1"/>
              </a:solidFill>
              <a:effectLst/>
              <a:latin typeface="+mn-lt"/>
              <a:ea typeface="+mn-ea"/>
              <a:cs typeface="+mn-cs"/>
            </a:rPr>
            <a:t>Per Car Equivalent Per Hour</a:t>
          </a:r>
          <a:r>
            <a:rPr lang="en-US" sz="900"/>
            <a:t> </a:t>
          </a:r>
        </a:p>
        <a:p>
          <a:pPr algn="just"/>
          <a:r>
            <a:rPr lang="en-US" sz="1100" b="0" i="0" u="none" strike="noStrike">
              <a:solidFill>
                <a:schemeClr val="tx1"/>
              </a:solidFill>
              <a:effectLst/>
              <a:latin typeface="+mn-lt"/>
              <a:ea typeface="+mn-ea"/>
              <a:cs typeface="+mn-cs"/>
            </a:rPr>
            <a:t>Qr</a:t>
          </a:r>
          <a:r>
            <a:rPr lang="en-US" sz="900"/>
            <a:t> 		</a:t>
          </a:r>
          <a:r>
            <a:rPr lang="en-US" sz="1100" b="0" i="0" u="none" strike="noStrike">
              <a:solidFill>
                <a:schemeClr val="tx1"/>
              </a:solidFill>
              <a:effectLst/>
              <a:latin typeface="+mn-lt"/>
              <a:ea typeface="+mn-ea"/>
              <a:cs typeface="+mn-cs"/>
            </a:rPr>
            <a:t>Quadrant Road</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Rt Ln</a:t>
          </a:r>
          <a:r>
            <a:rPr lang="en-US" sz="900"/>
            <a:t> 		</a:t>
          </a:r>
          <a:r>
            <a:rPr lang="en-US" sz="1100" b="0" i="0" u="none" strike="noStrike">
              <a:solidFill>
                <a:schemeClr val="tx1"/>
              </a:solidFill>
              <a:effectLst/>
              <a:latin typeface="+mn-lt"/>
              <a:ea typeface="+mn-ea"/>
              <a:cs typeface="+mn-cs"/>
            </a:rPr>
            <a:t>Right Lane</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Rt Lt</a:t>
          </a:r>
          <a:r>
            <a:rPr lang="en-US" sz="900"/>
            <a:t> </a:t>
          </a:r>
          <a:r>
            <a:rPr lang="en-US" sz="1100" b="0" i="0" u="none" strike="noStrike">
              <a:solidFill>
                <a:schemeClr val="tx1"/>
              </a:solidFill>
              <a:effectLst/>
              <a:latin typeface="+mn-lt"/>
              <a:ea typeface="+mn-ea"/>
              <a:cs typeface="+mn-cs"/>
            </a:rPr>
            <a:t> </a:t>
          </a:r>
          <a:r>
            <a:rPr lang="en-US" sz="900"/>
            <a:t> 		</a:t>
          </a:r>
          <a:r>
            <a:rPr lang="en-US" sz="1100"/>
            <a:t>Right Left</a:t>
          </a:r>
        </a:p>
        <a:p>
          <a:pPr algn="just"/>
          <a:r>
            <a:rPr lang="en-US" sz="1100" b="0" i="0" u="none" strike="noStrike">
              <a:solidFill>
                <a:schemeClr val="tx1"/>
              </a:solidFill>
              <a:effectLst/>
              <a:latin typeface="+mn-lt"/>
              <a:ea typeface="+mn-ea"/>
              <a:cs typeface="+mn-cs"/>
            </a:rPr>
            <a:t>Rt Mrg</a:t>
          </a:r>
          <a:r>
            <a:rPr lang="en-US" sz="900"/>
            <a:t> 		</a:t>
          </a:r>
          <a:r>
            <a:rPr lang="en-US" sz="1100" b="0" i="0" u="none" strike="noStrike">
              <a:solidFill>
                <a:schemeClr val="tx1"/>
              </a:solidFill>
              <a:effectLst/>
              <a:latin typeface="+mn-lt"/>
              <a:ea typeface="+mn-ea"/>
              <a:cs typeface="+mn-cs"/>
            </a:rPr>
            <a:t>Right merge</a:t>
          </a:r>
          <a:r>
            <a:rPr lang="en-US" sz="900"/>
            <a:t> </a:t>
          </a:r>
          <a:r>
            <a:rPr lang="en-US" sz="1100" b="0" i="0" u="none" strike="noStrike">
              <a:solidFill>
                <a:schemeClr val="tx1"/>
              </a:solidFill>
              <a:effectLst/>
              <a:latin typeface="+mn-lt"/>
              <a:ea typeface="+mn-ea"/>
              <a:cs typeface="+mn-cs"/>
            </a:rPr>
            <a:t> </a:t>
          </a:r>
        </a:p>
        <a:p>
          <a:pPr algn="just"/>
          <a:r>
            <a:rPr lang="en-US" sz="1100" b="0" i="0" u="none" strike="noStrike">
              <a:solidFill>
                <a:schemeClr val="tx1"/>
              </a:solidFill>
              <a:effectLst/>
              <a:latin typeface="+mn-lt"/>
              <a:ea typeface="+mn-ea"/>
              <a:cs typeface="+mn-cs"/>
            </a:rPr>
            <a:t>SB</a:t>
          </a:r>
          <a:r>
            <a:rPr lang="en-US" sz="900"/>
            <a:t> 		</a:t>
          </a:r>
          <a:r>
            <a:rPr lang="en-US" sz="1100" b="0" i="0" u="none" strike="noStrike">
              <a:solidFill>
                <a:schemeClr val="tx1"/>
              </a:solidFill>
              <a:effectLst/>
              <a:latin typeface="+mn-lt"/>
              <a:ea typeface="+mn-ea"/>
              <a:cs typeface="+mn-cs"/>
            </a:rPr>
            <a:t>Southbound</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S-E</a:t>
          </a:r>
          <a:r>
            <a:rPr lang="en-US" sz="900"/>
            <a:t> 		</a:t>
          </a:r>
          <a:r>
            <a:rPr lang="en-US" sz="1100" b="0" i="0" u="none" strike="noStrike">
              <a:solidFill>
                <a:schemeClr val="tx1"/>
              </a:solidFill>
              <a:effectLst/>
              <a:latin typeface="+mn-lt"/>
              <a:ea typeface="+mn-ea"/>
              <a:cs typeface="+mn-cs"/>
            </a:rPr>
            <a:t>South-East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S-W</a:t>
          </a:r>
          <a:r>
            <a:rPr lang="en-US" sz="900"/>
            <a:t> 		</a:t>
          </a:r>
          <a:r>
            <a:rPr lang="en-US" sz="1100" b="0" i="0" u="none" strike="noStrike">
              <a:solidFill>
                <a:schemeClr val="tx1"/>
              </a:solidFill>
              <a:effectLst/>
              <a:latin typeface="+mn-lt"/>
              <a:ea typeface="+mn-ea"/>
              <a:cs typeface="+mn-cs"/>
            </a:rPr>
            <a:t>South-West</a:t>
          </a:r>
          <a:r>
            <a:rPr lang="en-US" sz="900"/>
            <a:t> </a:t>
          </a:r>
          <a:r>
            <a:rPr lang="en-US" sz="1100" b="0" i="0" u="none" strike="noStrike">
              <a:solidFill>
                <a:schemeClr val="tx1"/>
              </a:solidFill>
              <a:effectLst/>
              <a:latin typeface="+mn-lt"/>
              <a:ea typeface="+mn-ea"/>
              <a:cs typeface="+mn-cs"/>
            </a:rPr>
            <a:t> </a:t>
          </a:r>
          <a:r>
            <a:rPr lang="en-US" sz="900"/>
            <a:t> </a:t>
          </a:r>
        </a:p>
        <a:p>
          <a:pPr algn="just"/>
          <a:r>
            <a:rPr lang="en-US" sz="1100" b="0" i="0" u="none" strike="noStrike">
              <a:solidFill>
                <a:schemeClr val="tx1"/>
              </a:solidFill>
              <a:effectLst/>
              <a:latin typeface="+mn-lt"/>
              <a:ea typeface="+mn-ea"/>
              <a:cs typeface="+mn-cs"/>
            </a:rPr>
            <a:t>SPI </a:t>
          </a:r>
          <a:r>
            <a:rPr lang="en-US" sz="900"/>
            <a:t> 		</a:t>
          </a:r>
          <a:r>
            <a:rPr lang="en-US" sz="1100" b="0" i="0" u="none" strike="noStrike">
              <a:solidFill>
                <a:schemeClr val="tx1"/>
              </a:solidFill>
              <a:effectLst/>
              <a:latin typeface="+mn-lt"/>
              <a:ea typeface="+mn-ea"/>
              <a:cs typeface="+mn-cs"/>
            </a:rPr>
            <a:t>Single point interchange</a:t>
          </a:r>
          <a:r>
            <a:rPr lang="en-US" sz="900"/>
            <a:t> </a:t>
          </a:r>
        </a:p>
        <a:p>
          <a:r>
            <a:rPr lang="en-US" sz="1100" b="0" i="0" u="none" strike="noStrike">
              <a:solidFill>
                <a:schemeClr val="tx1"/>
              </a:solidFill>
              <a:effectLst/>
              <a:latin typeface="+mn-lt"/>
              <a:ea typeface="+mn-ea"/>
              <a:cs typeface="+mn-cs"/>
            </a:rPr>
            <a:t>TVE</a:t>
          </a:r>
          <a:r>
            <a:rPr lang="en-US" sz="900"/>
            <a:t> </a:t>
          </a:r>
          <a:r>
            <a:rPr lang="en-US" sz="1100" b="0" i="0" u="none" strike="noStrike">
              <a:solidFill>
                <a:schemeClr val="tx1"/>
              </a:solidFill>
              <a:effectLst/>
              <a:latin typeface="+mn-lt"/>
              <a:ea typeface="+mn-ea"/>
              <a:cs typeface="+mn-cs"/>
            </a:rPr>
            <a:t> </a:t>
          </a:r>
          <a:r>
            <a:rPr lang="en-US" sz="900"/>
            <a:t> 		</a:t>
          </a:r>
          <a:r>
            <a:rPr lang="en-US" sz="1100"/>
            <a:t>Through Vehicle </a:t>
          </a:r>
          <a:r>
            <a:rPr lang="en-US" sz="1100" b="0" i="0">
              <a:solidFill>
                <a:schemeClr val="tx1"/>
              </a:solidFill>
              <a:effectLst/>
              <a:latin typeface="+mn-lt"/>
              <a:ea typeface="+mn-ea"/>
              <a:cs typeface="+mn-cs"/>
            </a:rPr>
            <a:t>Equivalent</a:t>
          </a:r>
          <a:r>
            <a:rPr lang="en-US" sz="1100">
              <a:solidFill>
                <a:schemeClr val="tx1"/>
              </a:solidFill>
              <a:effectLst/>
              <a:latin typeface="+mn-lt"/>
              <a:ea typeface="+mn-ea"/>
              <a:cs typeface="+mn-cs"/>
            </a:rPr>
            <a:t> </a:t>
          </a:r>
          <a:r>
            <a:rPr lang="en-US" sz="1100" b="0" i="0">
              <a:solidFill>
                <a:schemeClr val="tx1"/>
              </a:solidFill>
              <a:effectLst/>
              <a:latin typeface="+mn-lt"/>
              <a:ea typeface="+mn-ea"/>
              <a:cs typeface="+mn-cs"/>
            </a:rPr>
            <a:t> </a:t>
          </a:r>
          <a:endParaRPr lang="en-US" sz="1100">
            <a:effectLst/>
          </a:endParaRPr>
        </a:p>
        <a:p>
          <a:pPr algn="just"/>
          <a:r>
            <a:rPr lang="en-US" sz="1100" b="0" i="0" u="none" strike="noStrike">
              <a:solidFill>
                <a:schemeClr val="tx1"/>
              </a:solidFill>
              <a:effectLst/>
              <a:latin typeface="+mn-lt"/>
              <a:ea typeface="+mn-ea"/>
              <a:cs typeface="+mn-cs"/>
            </a:rPr>
            <a:t>V/C</a:t>
          </a:r>
          <a:r>
            <a:rPr lang="en-US" sz="1100"/>
            <a:t> 		</a:t>
          </a:r>
          <a:r>
            <a:rPr lang="en-US" sz="1100" b="0" i="0" u="none" strike="noStrike">
              <a:solidFill>
                <a:schemeClr val="tx1"/>
              </a:solidFill>
              <a:effectLst/>
              <a:latin typeface="+mn-lt"/>
              <a:ea typeface="+mn-ea"/>
              <a:cs typeface="+mn-cs"/>
            </a:rPr>
            <a:t>Volume/Capacity</a:t>
          </a:r>
          <a:r>
            <a:rPr lang="en-US" sz="1100"/>
            <a:t> </a:t>
          </a:r>
          <a:r>
            <a:rPr lang="en-US" sz="1100" b="0" i="0" u="none" strike="noStrike">
              <a:solidFill>
                <a:schemeClr val="tx1"/>
              </a:solidFill>
              <a:effectLst/>
              <a:latin typeface="+mn-lt"/>
              <a:ea typeface="+mn-ea"/>
              <a:cs typeface="+mn-cs"/>
            </a:rPr>
            <a:t> </a:t>
          </a:r>
          <a:r>
            <a:rPr lang="en-US" sz="1100"/>
            <a:t> </a:t>
          </a:r>
        </a:p>
        <a:p>
          <a:pPr algn="just"/>
          <a:r>
            <a:rPr lang="en-US" sz="1100" b="0" i="0" u="none" strike="noStrike">
              <a:solidFill>
                <a:schemeClr val="tx1"/>
              </a:solidFill>
              <a:effectLst/>
              <a:latin typeface="+mn-lt"/>
              <a:ea typeface="+mn-ea"/>
              <a:cs typeface="+mn-cs"/>
            </a:rPr>
            <a:t>Veh/hr</a:t>
          </a:r>
          <a:r>
            <a:rPr lang="en-US" sz="1100"/>
            <a:t> 		</a:t>
          </a:r>
          <a:r>
            <a:rPr lang="en-US" sz="1100" b="0" i="0" u="none" strike="noStrike">
              <a:solidFill>
                <a:schemeClr val="tx1"/>
              </a:solidFill>
              <a:effectLst/>
              <a:latin typeface="+mn-lt"/>
              <a:ea typeface="+mn-ea"/>
              <a:cs typeface="+mn-cs"/>
            </a:rPr>
            <a:t>Vehicles per hour</a:t>
          </a:r>
          <a:r>
            <a:rPr lang="en-US" sz="1100"/>
            <a:t> </a:t>
          </a:r>
          <a:r>
            <a:rPr lang="en-US" sz="1100" b="0" i="0" u="none" strike="noStrike">
              <a:solidFill>
                <a:schemeClr val="tx1"/>
              </a:solidFill>
              <a:effectLst/>
              <a:latin typeface="+mn-lt"/>
              <a:ea typeface="+mn-ea"/>
              <a:cs typeface="+mn-cs"/>
            </a:rPr>
            <a:t> </a:t>
          </a:r>
          <a:r>
            <a:rPr lang="en-US" sz="1100"/>
            <a:t> </a:t>
          </a:r>
        </a:p>
        <a:p>
          <a:pPr algn="just"/>
          <a:r>
            <a:rPr lang="en-US" sz="1100" b="0" i="0" u="none" strike="noStrike">
              <a:solidFill>
                <a:schemeClr val="tx1"/>
              </a:solidFill>
              <a:effectLst/>
              <a:latin typeface="+mn-lt"/>
              <a:ea typeface="+mn-ea"/>
              <a:cs typeface="+mn-cs"/>
            </a:rPr>
            <a:t>WB</a:t>
          </a:r>
          <a:r>
            <a:rPr lang="en-US" sz="900"/>
            <a:t> </a:t>
          </a:r>
          <a:r>
            <a:rPr lang="en-US" sz="1100" b="0" i="0" u="none" strike="noStrike">
              <a:solidFill>
                <a:schemeClr val="tx1"/>
              </a:solidFill>
              <a:effectLst/>
              <a:latin typeface="+mn-lt"/>
              <a:ea typeface="+mn-ea"/>
              <a:cs typeface="+mn-cs"/>
            </a:rPr>
            <a:t> </a:t>
          </a:r>
          <a:r>
            <a:rPr lang="en-US" sz="900"/>
            <a:t> 		</a:t>
          </a:r>
          <a:r>
            <a:rPr lang="en-US" sz="1100" b="0" i="0" u="none" strike="noStrike">
              <a:solidFill>
                <a:schemeClr val="tx1"/>
              </a:solidFill>
              <a:effectLst/>
              <a:latin typeface="+mn-lt"/>
              <a:ea typeface="+mn-ea"/>
              <a:cs typeface="+mn-cs"/>
            </a:rPr>
            <a:t>Westbound</a:t>
          </a:r>
          <a:r>
            <a:rPr lang="en-US" sz="900"/>
            <a:t> </a:t>
          </a:r>
          <a:r>
            <a:rPr lang="en-US" sz="1100" b="0" i="0" u="none" strike="noStrike">
              <a:solidFill>
                <a:schemeClr val="tx1"/>
              </a:solidFill>
              <a:effectLst/>
              <a:latin typeface="+mn-lt"/>
              <a:ea typeface="+mn-ea"/>
              <a:cs typeface="+mn-cs"/>
            </a:rPr>
            <a:t> </a:t>
          </a:r>
          <a:r>
            <a:rPr lang="en-US" sz="900"/>
            <a:t> </a:t>
          </a:r>
          <a:endParaRPr lang="en-US" sz="900">
            <a:solidFill>
              <a:schemeClr val="tx1"/>
            </a:solidFill>
            <a:latin typeface="+mn-lt"/>
            <a:ea typeface="+mn-ea"/>
            <a:cs typeface="+mn-cs"/>
          </a:endParaRPr>
        </a:p>
        <a:p>
          <a:endParaRPr lang="en-US" sz="900">
            <a:solidFill>
              <a:schemeClr val="tx1"/>
            </a:solidFill>
            <a:latin typeface="+mn-lt"/>
            <a:ea typeface="+mn-ea"/>
            <a:cs typeface="+mn-cs"/>
          </a:endParaRPr>
        </a:p>
        <a:p>
          <a:pPr algn="just"/>
          <a:endParaRPr lang="en-US" sz="900">
            <a:solidFill>
              <a:schemeClr val="tx1"/>
            </a:solidFill>
            <a:latin typeface="+mn-lt"/>
            <a:ea typeface="+mn-ea"/>
            <a:cs typeface="+mn-cs"/>
          </a:endParaRPr>
        </a:p>
        <a:p>
          <a:br>
            <a:rPr lang="en-US"/>
          </a:br>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4</xdr:col>
      <xdr:colOff>47624</xdr:colOff>
      <xdr:row>32</xdr:row>
      <xdr:rowOff>66675</xdr:rowOff>
    </xdr:from>
    <xdr:to>
      <xdr:col>57</xdr:col>
      <xdr:colOff>99177</xdr:colOff>
      <xdr:row>50</xdr:row>
      <xdr:rowOff>57150</xdr:rowOff>
    </xdr:to>
    <xdr:pic>
      <xdr:nvPicPr>
        <xdr:cNvPr id="57" name="Picture 56" descr="04_Lochrane_36ft-Model.jpg">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1" cstate="print"/>
        <a:srcRect l="16230" t="35346" r="17540" b="34581"/>
        <a:stretch>
          <a:fillRect/>
        </a:stretch>
      </xdr:blipFill>
      <xdr:spPr>
        <a:xfrm>
          <a:off x="428624" y="4029075"/>
          <a:ext cx="6109453" cy="2219325"/>
        </a:xfrm>
        <a:prstGeom prst="rect">
          <a:avLst/>
        </a:prstGeom>
      </xdr:spPr>
    </xdr:pic>
    <xdr:clientData/>
  </xdr:twoCellAnchor>
  <xdr:twoCellAnchor editAs="oneCell">
    <xdr:from>
      <xdr:col>19</xdr:col>
      <xdr:colOff>0</xdr:colOff>
      <xdr:row>16</xdr:row>
      <xdr:rowOff>104774</xdr:rowOff>
    </xdr:from>
    <xdr:to>
      <xdr:col>42</xdr:col>
      <xdr:colOff>9525</xdr:colOff>
      <xdr:row>66</xdr:row>
      <xdr:rowOff>38099</xdr:rowOff>
    </xdr:to>
    <xdr:pic>
      <xdr:nvPicPr>
        <xdr:cNvPr id="58" name="Picture 57" descr="04_Lochrane_36ft-Model.jpg">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1" cstate="print"/>
        <a:srcRect l="34403" t="9016" r="36995" b="7992"/>
        <a:stretch>
          <a:fillRect/>
        </a:stretch>
      </xdr:blipFill>
      <xdr:spPr>
        <a:xfrm>
          <a:off x="2095500" y="2085974"/>
          <a:ext cx="2638425" cy="6124575"/>
        </a:xfrm>
        <a:prstGeom prst="rect">
          <a:avLst/>
        </a:prstGeom>
      </xdr:spPr>
    </xdr:pic>
    <xdr:clientData/>
  </xdr:twoCellAnchor>
  <xdr:twoCellAnchor>
    <xdr:from>
      <xdr:col>86</xdr:col>
      <xdr:colOff>0</xdr:colOff>
      <xdr:row>32</xdr:row>
      <xdr:rowOff>28575</xdr:rowOff>
    </xdr:from>
    <xdr:to>
      <xdr:col>99</xdr:col>
      <xdr:colOff>78441</xdr:colOff>
      <xdr:row>45</xdr:row>
      <xdr:rowOff>118782</xdr:rowOff>
    </xdr:to>
    <xdr:sp macro="" textlink="">
      <xdr:nvSpPr>
        <xdr:cNvPr id="2" name="Oval 1">
          <a:extLst>
            <a:ext uri="{FF2B5EF4-FFF2-40B4-BE49-F238E27FC236}">
              <a16:creationId xmlns:a16="http://schemas.microsoft.com/office/drawing/2014/main" id="{00000000-0008-0000-1400-000002000000}"/>
            </a:ext>
          </a:extLst>
        </xdr:cNvPr>
        <xdr:cNvSpPr/>
      </xdr:nvSpPr>
      <xdr:spPr>
        <a:xfrm>
          <a:off x="2667000" y="13192125"/>
          <a:ext cx="1564341"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91</xdr:col>
      <xdr:colOff>53688</xdr:colOff>
      <xdr:row>6</xdr:row>
      <xdr:rowOff>62470</xdr:rowOff>
    </xdr:from>
    <xdr:to>
      <xdr:col>93</xdr:col>
      <xdr:colOff>77017</xdr:colOff>
      <xdr:row>8</xdr:row>
      <xdr:rowOff>109538</xdr:rowOff>
    </xdr:to>
    <xdr:sp macro="" textlink="">
      <xdr:nvSpPr>
        <xdr:cNvPr id="5" name="Freccia curva 8">
          <a:extLst>
            <a:ext uri="{FF2B5EF4-FFF2-40B4-BE49-F238E27FC236}">
              <a16:creationId xmlns:a16="http://schemas.microsoft.com/office/drawing/2014/main" id="{00000000-0008-0000-1400-000005000000}"/>
            </a:ext>
          </a:extLst>
        </xdr:cNvPr>
        <xdr:cNvSpPr/>
      </xdr:nvSpPr>
      <xdr:spPr>
        <a:xfrm rot="10800000" flipH="1">
          <a:off x="3292188" y="10006570"/>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55058</xdr:colOff>
      <xdr:row>6</xdr:row>
      <xdr:rowOff>67264</xdr:rowOff>
    </xdr:from>
    <xdr:to>
      <xdr:col>96</xdr:col>
      <xdr:colOff>84922</xdr:colOff>
      <xdr:row>8</xdr:row>
      <xdr:rowOff>123518</xdr:rowOff>
    </xdr:to>
    <xdr:sp macro="" textlink="">
      <xdr:nvSpPr>
        <xdr:cNvPr id="6" name="Freccia a inversione 13">
          <a:extLst>
            <a:ext uri="{FF2B5EF4-FFF2-40B4-BE49-F238E27FC236}">
              <a16:creationId xmlns:a16="http://schemas.microsoft.com/office/drawing/2014/main" id="{00000000-0008-0000-1400-000006000000}"/>
            </a:ext>
          </a:extLst>
        </xdr:cNvPr>
        <xdr:cNvSpPr/>
      </xdr:nvSpPr>
      <xdr:spPr>
        <a:xfrm flipV="1">
          <a:off x="3636458" y="10011364"/>
          <a:ext cx="25846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6</xdr:row>
      <xdr:rowOff>51932</xdr:rowOff>
    </xdr:from>
    <xdr:to>
      <xdr:col>89</xdr:col>
      <xdr:colOff>114211</xdr:colOff>
      <xdr:row>8</xdr:row>
      <xdr:rowOff>95625</xdr:rowOff>
    </xdr:to>
    <xdr:sp macro="" textlink="">
      <xdr:nvSpPr>
        <xdr:cNvPr id="7" name="Freccia in giù 9">
          <a:extLst>
            <a:ext uri="{FF2B5EF4-FFF2-40B4-BE49-F238E27FC236}">
              <a16:creationId xmlns:a16="http://schemas.microsoft.com/office/drawing/2014/main" id="{00000000-0008-0000-1400-000007000000}"/>
            </a:ext>
          </a:extLst>
        </xdr:cNvPr>
        <xdr:cNvSpPr/>
      </xdr:nvSpPr>
      <xdr:spPr>
        <a:xfrm>
          <a:off x="2996997" y="9996032"/>
          <a:ext cx="127114"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32507</xdr:colOff>
      <xdr:row>6</xdr:row>
      <xdr:rowOff>111530</xdr:rowOff>
    </xdr:from>
    <xdr:to>
      <xdr:col>87</xdr:col>
      <xdr:colOff>65439</xdr:colOff>
      <xdr:row>9</xdr:row>
      <xdr:rowOff>9683</xdr:rowOff>
    </xdr:to>
    <xdr:sp macro="" textlink="">
      <xdr:nvSpPr>
        <xdr:cNvPr id="8" name="Freccia curva 7">
          <a:extLst>
            <a:ext uri="{FF2B5EF4-FFF2-40B4-BE49-F238E27FC236}">
              <a16:creationId xmlns:a16="http://schemas.microsoft.com/office/drawing/2014/main" id="{00000000-0008-0000-1400-000008000000}"/>
            </a:ext>
          </a:extLst>
        </xdr:cNvPr>
        <xdr:cNvSpPr/>
      </xdr:nvSpPr>
      <xdr:spPr>
        <a:xfrm rot="10800000">
          <a:off x="2585207" y="10055630"/>
          <a:ext cx="26153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66020</xdr:colOff>
      <xdr:row>35</xdr:row>
      <xdr:rowOff>58156</xdr:rowOff>
    </xdr:from>
    <xdr:to>
      <xdr:col>66</xdr:col>
      <xdr:colOff>24702</xdr:colOff>
      <xdr:row>37</xdr:row>
      <xdr:rowOff>69436</xdr:rowOff>
    </xdr:to>
    <xdr:sp macro="" textlink="">
      <xdr:nvSpPr>
        <xdr:cNvPr id="9" name="Freccia a inversione 13">
          <a:extLst>
            <a:ext uri="{FF2B5EF4-FFF2-40B4-BE49-F238E27FC236}">
              <a16:creationId xmlns:a16="http://schemas.microsoft.com/office/drawing/2014/main" id="{00000000-0008-0000-1400-000009000000}"/>
            </a:ext>
          </a:extLst>
        </xdr:cNvPr>
        <xdr:cNvSpPr/>
      </xdr:nvSpPr>
      <xdr:spPr>
        <a:xfrm rot="16200000" flipV="1">
          <a:off x="125446" y="13571855"/>
          <a:ext cx="258930" cy="301582"/>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51289</xdr:colOff>
      <xdr:row>38</xdr:row>
      <xdr:rowOff>58615</xdr:rowOff>
    </xdr:from>
    <xdr:to>
      <xdr:col>65</xdr:col>
      <xdr:colOff>116943</xdr:colOff>
      <xdr:row>40</xdr:row>
      <xdr:rowOff>63358</xdr:rowOff>
    </xdr:to>
    <xdr:sp macro="" textlink="">
      <xdr:nvSpPr>
        <xdr:cNvPr id="10" name="Freccia curva 8">
          <a:extLst>
            <a:ext uri="{FF2B5EF4-FFF2-40B4-BE49-F238E27FC236}">
              <a16:creationId xmlns:a16="http://schemas.microsoft.com/office/drawing/2014/main" id="{00000000-0008-0000-1400-00000A000000}"/>
            </a:ext>
          </a:extLst>
        </xdr:cNvPr>
        <xdr:cNvSpPr/>
      </xdr:nvSpPr>
      <xdr:spPr>
        <a:xfrm rot="5400000" flipH="1">
          <a:off x="110319" y="13944185"/>
          <a:ext cx="252393" cy="294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73270</xdr:colOff>
      <xdr:row>44</xdr:row>
      <xdr:rowOff>80596</xdr:rowOff>
    </xdr:from>
    <xdr:to>
      <xdr:col>65</xdr:col>
      <xdr:colOff>134510</xdr:colOff>
      <xdr:row>46</xdr:row>
      <xdr:rowOff>94943</xdr:rowOff>
    </xdr:to>
    <xdr:sp macro="" textlink="">
      <xdr:nvSpPr>
        <xdr:cNvPr id="11" name="Freccia curva 7">
          <a:extLst>
            <a:ext uri="{FF2B5EF4-FFF2-40B4-BE49-F238E27FC236}">
              <a16:creationId xmlns:a16="http://schemas.microsoft.com/office/drawing/2014/main" id="{00000000-0008-0000-1400-00000B000000}"/>
            </a:ext>
          </a:extLst>
        </xdr:cNvPr>
        <xdr:cNvSpPr/>
      </xdr:nvSpPr>
      <xdr:spPr>
        <a:xfrm rot="5400000">
          <a:off x="115766" y="14725650"/>
          <a:ext cx="261997" cy="27079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101</xdr:col>
      <xdr:colOff>86818</xdr:colOff>
      <xdr:row>50</xdr:row>
      <xdr:rowOff>17615</xdr:rowOff>
    </xdr:from>
    <xdr:ext cx="963800" cy="311715"/>
    <xdr:sp macro="" textlink="">
      <xdr:nvSpPr>
        <xdr:cNvPr id="12" name="Rectangle 11">
          <a:extLst>
            <a:ext uri="{FF2B5EF4-FFF2-40B4-BE49-F238E27FC236}">
              <a16:creationId xmlns:a16="http://schemas.microsoft.com/office/drawing/2014/main" id="{00000000-0008-0000-1400-00000C000000}"/>
            </a:ext>
          </a:extLst>
        </xdr:cNvPr>
        <xdr:cNvSpPr/>
      </xdr:nvSpPr>
      <xdr:spPr>
        <a:xfrm>
          <a:off x="4468318" y="1541001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63</xdr:col>
      <xdr:colOff>58937</xdr:colOff>
      <xdr:row>42</xdr:row>
      <xdr:rowOff>6397</xdr:rowOff>
    </xdr:from>
    <xdr:to>
      <xdr:col>66</xdr:col>
      <xdr:colOff>5058</xdr:colOff>
      <xdr:row>43</xdr:row>
      <xdr:rowOff>9918</xdr:rowOff>
    </xdr:to>
    <xdr:sp macro="" textlink="">
      <xdr:nvSpPr>
        <xdr:cNvPr id="13" name="Freccia in giù 9">
          <a:extLst>
            <a:ext uri="{FF2B5EF4-FFF2-40B4-BE49-F238E27FC236}">
              <a16:creationId xmlns:a16="http://schemas.microsoft.com/office/drawing/2014/main" id="{00000000-0008-0000-1400-00000D000000}"/>
            </a:ext>
          </a:extLst>
        </xdr:cNvPr>
        <xdr:cNvSpPr/>
      </xdr:nvSpPr>
      <xdr:spPr>
        <a:xfrm rot="16200000">
          <a:off x="177875" y="14327359"/>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4" name="Freccia curva 66">
          <a:extLst>
            <a:ext uri="{FF2B5EF4-FFF2-40B4-BE49-F238E27FC236}">
              <a16:creationId xmlns:a16="http://schemas.microsoft.com/office/drawing/2014/main" id="{00000000-0008-0000-1400-00000E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5" name="Freccia curva 66">
          <a:extLst>
            <a:ext uri="{FF2B5EF4-FFF2-40B4-BE49-F238E27FC236}">
              <a16:creationId xmlns:a16="http://schemas.microsoft.com/office/drawing/2014/main" id="{00000000-0008-0000-1400-00000F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6" name="Freccia curva 66">
          <a:extLst>
            <a:ext uri="{FF2B5EF4-FFF2-40B4-BE49-F238E27FC236}">
              <a16:creationId xmlns:a16="http://schemas.microsoft.com/office/drawing/2014/main" id="{00000000-0008-0000-1400-000010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17" name="Freccia curva 66">
          <a:extLst>
            <a:ext uri="{FF2B5EF4-FFF2-40B4-BE49-F238E27FC236}">
              <a16:creationId xmlns:a16="http://schemas.microsoft.com/office/drawing/2014/main" id="{00000000-0008-0000-1400-000011000000}"/>
            </a:ext>
          </a:extLst>
        </xdr:cNvPr>
        <xdr:cNvSpPr/>
      </xdr:nvSpPr>
      <xdr:spPr>
        <a:xfrm rot="16200000" flipH="1">
          <a:off x="65934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68</xdr:row>
      <xdr:rowOff>91783</xdr:rowOff>
    </xdr:from>
    <xdr:to>
      <xdr:col>96</xdr:col>
      <xdr:colOff>109029</xdr:colOff>
      <xdr:row>71</xdr:row>
      <xdr:rowOff>10025</xdr:rowOff>
    </xdr:to>
    <xdr:sp macro="" textlink="">
      <xdr:nvSpPr>
        <xdr:cNvPr id="18" name="Freccia in giù 9">
          <a:extLst>
            <a:ext uri="{FF2B5EF4-FFF2-40B4-BE49-F238E27FC236}">
              <a16:creationId xmlns:a16="http://schemas.microsoft.com/office/drawing/2014/main" id="{00000000-0008-0000-1400-000012000000}"/>
            </a:ext>
          </a:extLst>
        </xdr:cNvPr>
        <xdr:cNvSpPr/>
      </xdr:nvSpPr>
      <xdr:spPr>
        <a:xfrm rot="10800000">
          <a:off x="3791916" y="17713033"/>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112463</xdr:colOff>
      <xdr:row>47</xdr:row>
      <xdr:rowOff>17613</xdr:rowOff>
    </xdr:from>
    <xdr:ext cx="963800" cy="311715"/>
    <xdr:sp macro="" textlink="">
      <xdr:nvSpPr>
        <xdr:cNvPr id="19" name="Rectangle 18">
          <a:extLst>
            <a:ext uri="{FF2B5EF4-FFF2-40B4-BE49-F238E27FC236}">
              <a16:creationId xmlns:a16="http://schemas.microsoft.com/office/drawing/2014/main" id="{00000000-0008-0000-1400-000013000000}"/>
            </a:ext>
          </a:extLst>
        </xdr:cNvPr>
        <xdr:cNvSpPr/>
      </xdr:nvSpPr>
      <xdr:spPr>
        <a:xfrm>
          <a:off x="1522163" y="1503853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46691</xdr:colOff>
      <xdr:row>68</xdr:row>
      <xdr:rowOff>118493</xdr:rowOff>
    </xdr:from>
    <xdr:to>
      <xdr:col>91</xdr:col>
      <xdr:colOff>74536</xdr:colOff>
      <xdr:row>71</xdr:row>
      <xdr:rowOff>52529</xdr:rowOff>
    </xdr:to>
    <xdr:sp macro="" textlink="">
      <xdr:nvSpPr>
        <xdr:cNvPr id="20" name="Freccia a inversione 13">
          <a:extLst>
            <a:ext uri="{FF2B5EF4-FFF2-40B4-BE49-F238E27FC236}">
              <a16:creationId xmlns:a16="http://schemas.microsoft.com/office/drawing/2014/main" id="{00000000-0008-0000-1400-000014000000}"/>
            </a:ext>
          </a:extLst>
        </xdr:cNvPr>
        <xdr:cNvSpPr/>
      </xdr:nvSpPr>
      <xdr:spPr>
        <a:xfrm rot="10800000" flipV="1">
          <a:off x="3056591" y="17739743"/>
          <a:ext cx="25644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69</xdr:row>
      <xdr:rowOff>3514</xdr:rowOff>
    </xdr:from>
    <xdr:to>
      <xdr:col>94</xdr:col>
      <xdr:colOff>59418</xdr:colOff>
      <xdr:row>71</xdr:row>
      <xdr:rowOff>50582</xdr:rowOff>
    </xdr:to>
    <xdr:sp macro="" textlink="">
      <xdr:nvSpPr>
        <xdr:cNvPr id="21" name="Freccia curva 8">
          <a:extLst>
            <a:ext uri="{FF2B5EF4-FFF2-40B4-BE49-F238E27FC236}">
              <a16:creationId xmlns:a16="http://schemas.microsoft.com/office/drawing/2014/main" id="{00000000-0008-0000-1400-000015000000}"/>
            </a:ext>
          </a:extLst>
        </xdr:cNvPr>
        <xdr:cNvSpPr/>
      </xdr:nvSpPr>
      <xdr:spPr>
        <a:xfrm flipH="1">
          <a:off x="3388889" y="17748589"/>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94989</xdr:colOff>
      <xdr:row>39</xdr:row>
      <xdr:rowOff>82275</xdr:rowOff>
    </xdr:from>
    <xdr:to>
      <xdr:col>122</xdr:col>
      <xdr:colOff>56903</xdr:colOff>
      <xdr:row>41</xdr:row>
      <xdr:rowOff>91535</xdr:rowOff>
    </xdr:to>
    <xdr:sp macro="" textlink="">
      <xdr:nvSpPr>
        <xdr:cNvPr id="22" name="Freccia a inversione 13">
          <a:extLst>
            <a:ext uri="{FF2B5EF4-FFF2-40B4-BE49-F238E27FC236}">
              <a16:creationId xmlns:a16="http://schemas.microsoft.com/office/drawing/2014/main" id="{00000000-0008-0000-1400-000016000000}"/>
            </a:ext>
          </a:extLst>
        </xdr:cNvPr>
        <xdr:cNvSpPr/>
      </xdr:nvSpPr>
      <xdr:spPr>
        <a:xfrm rot="5400000" flipV="1">
          <a:off x="6557841" y="14088648"/>
          <a:ext cx="256910" cy="30481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97574</xdr:colOff>
      <xdr:row>34</xdr:row>
      <xdr:rowOff>4645</xdr:rowOff>
    </xdr:from>
    <xdr:to>
      <xdr:col>122</xdr:col>
      <xdr:colOff>43694</xdr:colOff>
      <xdr:row>35</xdr:row>
      <xdr:rowOff>8166</xdr:rowOff>
    </xdr:to>
    <xdr:sp macro="" textlink="">
      <xdr:nvSpPr>
        <xdr:cNvPr id="23" name="Freccia in giù 9">
          <a:extLst>
            <a:ext uri="{FF2B5EF4-FFF2-40B4-BE49-F238E27FC236}">
              <a16:creationId xmlns:a16="http://schemas.microsoft.com/office/drawing/2014/main" id="{00000000-0008-0000-1400-000017000000}"/>
            </a:ext>
          </a:extLst>
        </xdr:cNvPr>
        <xdr:cNvSpPr/>
      </xdr:nvSpPr>
      <xdr:spPr>
        <a:xfrm rot="5400000">
          <a:off x="6617311" y="13335008"/>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69</xdr:row>
      <xdr:rowOff>18603</xdr:rowOff>
    </xdr:from>
    <xdr:to>
      <xdr:col>100</xdr:col>
      <xdr:colOff>74730</xdr:colOff>
      <xdr:row>71</xdr:row>
      <xdr:rowOff>42207</xdr:rowOff>
    </xdr:to>
    <xdr:sp macro="" textlink="">
      <xdr:nvSpPr>
        <xdr:cNvPr id="24" name="Freccia curva 7">
          <a:extLst>
            <a:ext uri="{FF2B5EF4-FFF2-40B4-BE49-F238E27FC236}">
              <a16:creationId xmlns:a16="http://schemas.microsoft.com/office/drawing/2014/main" id="{00000000-0008-0000-1400-000018000000}"/>
            </a:ext>
          </a:extLst>
        </xdr:cNvPr>
        <xdr:cNvSpPr/>
      </xdr:nvSpPr>
      <xdr:spPr>
        <a:xfrm>
          <a:off x="4080399" y="17763678"/>
          <a:ext cx="26153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107674</xdr:colOff>
      <xdr:row>30</xdr:row>
      <xdr:rowOff>57978</xdr:rowOff>
    </xdr:from>
    <xdr:to>
      <xdr:col>122</xdr:col>
      <xdr:colOff>7038</xdr:colOff>
      <xdr:row>32</xdr:row>
      <xdr:rowOff>90910</xdr:rowOff>
    </xdr:to>
    <xdr:sp macro="" textlink="">
      <xdr:nvSpPr>
        <xdr:cNvPr id="25" name="Freccia curva 7">
          <a:extLst>
            <a:ext uri="{FF2B5EF4-FFF2-40B4-BE49-F238E27FC236}">
              <a16:creationId xmlns:a16="http://schemas.microsoft.com/office/drawing/2014/main" id="{00000000-0008-0000-1400-000019000000}"/>
            </a:ext>
          </a:extLst>
        </xdr:cNvPr>
        <xdr:cNvSpPr/>
      </xdr:nvSpPr>
      <xdr:spPr>
        <a:xfrm rot="16200000">
          <a:off x="6527415" y="12993037"/>
          <a:ext cx="280582" cy="24226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18677</xdr:colOff>
      <xdr:row>27</xdr:row>
      <xdr:rowOff>22010</xdr:rowOff>
    </xdr:from>
    <xdr:ext cx="963800" cy="311715"/>
    <xdr:sp macro="" textlink="">
      <xdr:nvSpPr>
        <xdr:cNvPr id="26" name="Rectangle 25">
          <a:extLst>
            <a:ext uri="{FF2B5EF4-FFF2-40B4-BE49-F238E27FC236}">
              <a16:creationId xmlns:a16="http://schemas.microsoft.com/office/drawing/2014/main" id="{00000000-0008-0000-1400-00001A000000}"/>
            </a:ext>
          </a:extLst>
        </xdr:cNvPr>
        <xdr:cNvSpPr/>
      </xdr:nvSpPr>
      <xdr:spPr>
        <a:xfrm>
          <a:off x="4514477" y="1256643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76</xdr:col>
      <xdr:colOff>103670</xdr:colOff>
      <xdr:row>27</xdr:row>
      <xdr:rowOff>44852</xdr:rowOff>
    </xdr:from>
    <xdr:ext cx="963800" cy="311715"/>
    <xdr:sp macro="" textlink="">
      <xdr:nvSpPr>
        <xdr:cNvPr id="27" name="Rectangle 26">
          <a:extLst>
            <a:ext uri="{FF2B5EF4-FFF2-40B4-BE49-F238E27FC236}">
              <a16:creationId xmlns:a16="http://schemas.microsoft.com/office/drawing/2014/main" id="{00000000-0008-0000-1400-00001B000000}"/>
            </a:ext>
          </a:extLst>
        </xdr:cNvPr>
        <xdr:cNvSpPr/>
      </xdr:nvSpPr>
      <xdr:spPr>
        <a:xfrm>
          <a:off x="1627670" y="1258927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98</xdr:col>
      <xdr:colOff>96216</xdr:colOff>
      <xdr:row>56</xdr:row>
      <xdr:rowOff>91783</xdr:rowOff>
    </xdr:from>
    <xdr:to>
      <xdr:col>99</xdr:col>
      <xdr:colOff>109029</xdr:colOff>
      <xdr:row>59</xdr:row>
      <xdr:rowOff>10025</xdr:rowOff>
    </xdr:to>
    <xdr:sp macro="" textlink="">
      <xdr:nvSpPr>
        <xdr:cNvPr id="28" name="Freccia in giù 9">
          <a:extLst>
            <a:ext uri="{FF2B5EF4-FFF2-40B4-BE49-F238E27FC236}">
              <a16:creationId xmlns:a16="http://schemas.microsoft.com/office/drawing/2014/main" id="{00000000-0008-0000-1400-00001C000000}"/>
            </a:ext>
          </a:extLst>
        </xdr:cNvPr>
        <xdr:cNvSpPr/>
      </xdr:nvSpPr>
      <xdr:spPr>
        <a:xfrm rot="10800000">
          <a:off x="4134816" y="16227133"/>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109</xdr:col>
      <xdr:colOff>97574</xdr:colOff>
      <xdr:row>31</xdr:row>
      <xdr:rowOff>4645</xdr:rowOff>
    </xdr:from>
    <xdr:to>
      <xdr:col>112</xdr:col>
      <xdr:colOff>43694</xdr:colOff>
      <xdr:row>32</xdr:row>
      <xdr:rowOff>8166</xdr:rowOff>
    </xdr:to>
    <xdr:sp macro="" textlink="">
      <xdr:nvSpPr>
        <xdr:cNvPr id="29" name="Freccia in giù 9">
          <a:extLst>
            <a:ext uri="{FF2B5EF4-FFF2-40B4-BE49-F238E27FC236}">
              <a16:creationId xmlns:a16="http://schemas.microsoft.com/office/drawing/2014/main" id="{00000000-0008-0000-1400-00001D000000}"/>
            </a:ext>
          </a:extLst>
        </xdr:cNvPr>
        <xdr:cNvSpPr/>
      </xdr:nvSpPr>
      <xdr:spPr>
        <a:xfrm rot="5400000">
          <a:off x="5474311" y="12963533"/>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123377</xdr:colOff>
      <xdr:row>18</xdr:row>
      <xdr:rowOff>95893</xdr:rowOff>
    </xdr:from>
    <xdr:to>
      <xdr:col>87</xdr:col>
      <xdr:colOff>11633</xdr:colOff>
      <xdr:row>21</xdr:row>
      <xdr:rowOff>15028</xdr:rowOff>
    </xdr:to>
    <xdr:sp macro="" textlink="">
      <xdr:nvSpPr>
        <xdr:cNvPr id="30" name="Freccia in giù 9">
          <a:extLst>
            <a:ext uri="{FF2B5EF4-FFF2-40B4-BE49-F238E27FC236}">
              <a16:creationId xmlns:a16="http://schemas.microsoft.com/office/drawing/2014/main" id="{00000000-0008-0000-1400-00001E000000}"/>
            </a:ext>
          </a:extLst>
        </xdr:cNvPr>
        <xdr:cNvSpPr/>
      </xdr:nvSpPr>
      <xdr:spPr>
        <a:xfrm>
          <a:off x="2666552" y="11525893"/>
          <a:ext cx="126381"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58937</xdr:colOff>
      <xdr:row>45</xdr:row>
      <xdr:rowOff>6397</xdr:rowOff>
    </xdr:from>
    <xdr:to>
      <xdr:col>76</xdr:col>
      <xdr:colOff>5058</xdr:colOff>
      <xdr:row>46</xdr:row>
      <xdr:rowOff>9918</xdr:rowOff>
    </xdr:to>
    <xdr:sp macro="" textlink="">
      <xdr:nvSpPr>
        <xdr:cNvPr id="31" name="Freccia in giù 9">
          <a:extLst>
            <a:ext uri="{FF2B5EF4-FFF2-40B4-BE49-F238E27FC236}">
              <a16:creationId xmlns:a16="http://schemas.microsoft.com/office/drawing/2014/main" id="{00000000-0008-0000-1400-00001F000000}"/>
            </a:ext>
          </a:extLst>
        </xdr:cNvPr>
        <xdr:cNvSpPr/>
      </xdr:nvSpPr>
      <xdr:spPr>
        <a:xfrm rot="16200000">
          <a:off x="1320875" y="14698834"/>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93713</xdr:colOff>
      <xdr:row>50</xdr:row>
      <xdr:rowOff>12847</xdr:rowOff>
    </xdr:from>
    <xdr:to>
      <xdr:col>44</xdr:col>
      <xdr:colOff>95253</xdr:colOff>
      <xdr:row>58</xdr:row>
      <xdr:rowOff>114303</xdr:rowOff>
    </xdr:to>
    <xdr:cxnSp macro="">
      <xdr:nvCxnSpPr>
        <xdr:cNvPr id="33" name="Straight Connector 32">
          <a:extLst>
            <a:ext uri="{FF2B5EF4-FFF2-40B4-BE49-F238E27FC236}">
              <a16:creationId xmlns:a16="http://schemas.microsoft.com/office/drawing/2014/main" id="{00000000-0008-0000-1400-000021000000}"/>
            </a:ext>
          </a:extLst>
        </xdr:cNvPr>
        <xdr:cNvCxnSpPr>
          <a:stCxn id="47" idx="5"/>
        </xdr:cNvCxnSpPr>
      </xdr:nvCxnSpPr>
      <xdr:spPr>
        <a:xfrm>
          <a:off x="4018013" y="6204097"/>
          <a:ext cx="1030240" cy="1092056"/>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13189</xdr:colOff>
      <xdr:row>26</xdr:row>
      <xdr:rowOff>82066</xdr:rowOff>
    </xdr:from>
    <xdr:to>
      <xdr:col>27</xdr:col>
      <xdr:colOff>17585</xdr:colOff>
      <xdr:row>30</xdr:row>
      <xdr:rowOff>102581</xdr:rowOff>
    </xdr:to>
    <xdr:cxnSp macro="">
      <xdr:nvCxnSpPr>
        <xdr:cNvPr id="34" name="Straight Arrow Connector 33">
          <a:extLst>
            <a:ext uri="{FF2B5EF4-FFF2-40B4-BE49-F238E27FC236}">
              <a16:creationId xmlns:a16="http://schemas.microsoft.com/office/drawing/2014/main" id="{00000000-0008-0000-1400-000022000000}"/>
            </a:ext>
          </a:extLst>
        </xdr:cNvPr>
        <xdr:cNvCxnSpPr/>
      </xdr:nvCxnSpPr>
      <xdr:spPr>
        <a:xfrm rot="5400000">
          <a:off x="2653079" y="3442926"/>
          <a:ext cx="515815" cy="232996"/>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101844</xdr:colOff>
      <xdr:row>31</xdr:row>
      <xdr:rowOff>52021</xdr:rowOff>
    </xdr:from>
    <xdr:to>
      <xdr:col>31</xdr:col>
      <xdr:colOff>68873</xdr:colOff>
      <xdr:row>32</xdr:row>
      <xdr:rowOff>27840</xdr:rowOff>
    </xdr:to>
    <xdr:cxnSp macro="">
      <xdr:nvCxnSpPr>
        <xdr:cNvPr id="35" name="Straight Arrow Connector 34">
          <a:extLst>
            <a:ext uri="{FF2B5EF4-FFF2-40B4-BE49-F238E27FC236}">
              <a16:creationId xmlns:a16="http://schemas.microsoft.com/office/drawing/2014/main" id="{00000000-0008-0000-1400-000023000000}"/>
            </a:ext>
          </a:extLst>
        </xdr:cNvPr>
        <xdr:cNvCxnSpPr/>
      </xdr:nvCxnSpPr>
      <xdr:spPr>
        <a:xfrm rot="10800000" flipV="1">
          <a:off x="2997444" y="3890596"/>
          <a:ext cx="538529" cy="9964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95250</xdr:colOff>
      <xdr:row>14</xdr:row>
      <xdr:rowOff>28575</xdr:rowOff>
    </xdr:from>
    <xdr:ext cx="963800" cy="311715"/>
    <xdr:sp macro="" textlink="">
      <xdr:nvSpPr>
        <xdr:cNvPr id="36" name="Rectangle 35">
          <a:extLst>
            <a:ext uri="{FF2B5EF4-FFF2-40B4-BE49-F238E27FC236}">
              <a16:creationId xmlns:a16="http://schemas.microsoft.com/office/drawing/2014/main" id="{00000000-0008-0000-1400-000024000000}"/>
            </a:ext>
          </a:extLst>
        </xdr:cNvPr>
        <xdr:cNvSpPr/>
      </xdr:nvSpPr>
      <xdr:spPr>
        <a:xfrm>
          <a:off x="933450" y="17621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95250</xdr:colOff>
      <xdr:row>16</xdr:row>
      <xdr:rowOff>28575</xdr:rowOff>
    </xdr:from>
    <xdr:ext cx="963800" cy="311715"/>
    <xdr:sp macro="" textlink="">
      <xdr:nvSpPr>
        <xdr:cNvPr id="37" name="Rectangle 36">
          <a:extLst>
            <a:ext uri="{FF2B5EF4-FFF2-40B4-BE49-F238E27FC236}">
              <a16:creationId xmlns:a16="http://schemas.microsoft.com/office/drawing/2014/main" id="{00000000-0008-0000-1400-000025000000}"/>
            </a:ext>
          </a:extLst>
        </xdr:cNvPr>
        <xdr:cNvSpPr/>
      </xdr:nvSpPr>
      <xdr:spPr>
        <a:xfrm>
          <a:off x="5162550" y="200977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xdr:col>
      <xdr:colOff>0</xdr:colOff>
      <xdr:row>56</xdr:row>
      <xdr:rowOff>38100</xdr:rowOff>
    </xdr:from>
    <xdr:ext cx="963800" cy="311715"/>
    <xdr:sp macro="" textlink="">
      <xdr:nvSpPr>
        <xdr:cNvPr id="38" name="Rectangle 37">
          <a:extLst>
            <a:ext uri="{FF2B5EF4-FFF2-40B4-BE49-F238E27FC236}">
              <a16:creationId xmlns:a16="http://schemas.microsoft.com/office/drawing/2014/main" id="{00000000-0008-0000-1400-000026000000}"/>
            </a:ext>
          </a:extLst>
        </xdr:cNvPr>
        <xdr:cNvSpPr/>
      </xdr:nvSpPr>
      <xdr:spPr>
        <a:xfrm>
          <a:off x="952500" y="697230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28575</xdr:colOff>
      <xdr:row>56</xdr:row>
      <xdr:rowOff>47625</xdr:rowOff>
    </xdr:from>
    <xdr:ext cx="963800" cy="311715"/>
    <xdr:sp macro="" textlink="">
      <xdr:nvSpPr>
        <xdr:cNvPr id="39" name="Rectangle 38">
          <a:extLst>
            <a:ext uri="{FF2B5EF4-FFF2-40B4-BE49-F238E27FC236}">
              <a16:creationId xmlns:a16="http://schemas.microsoft.com/office/drawing/2014/main" id="{00000000-0008-0000-1400-000027000000}"/>
            </a:ext>
          </a:extLst>
        </xdr:cNvPr>
        <xdr:cNvSpPr/>
      </xdr:nvSpPr>
      <xdr:spPr>
        <a:xfrm>
          <a:off x="5095875" y="69818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41</xdr:col>
      <xdr:colOff>104777</xdr:colOff>
      <xdr:row>36</xdr:row>
      <xdr:rowOff>46893</xdr:rowOff>
    </xdr:from>
    <xdr:to>
      <xdr:col>46</xdr:col>
      <xdr:colOff>9526</xdr:colOff>
      <xdr:row>38</xdr:row>
      <xdr:rowOff>9526</xdr:rowOff>
    </xdr:to>
    <xdr:cxnSp macro="">
      <xdr:nvCxnSpPr>
        <xdr:cNvPr id="40" name="Straight Arrow Connector 39">
          <a:extLst>
            <a:ext uri="{FF2B5EF4-FFF2-40B4-BE49-F238E27FC236}">
              <a16:creationId xmlns:a16="http://schemas.microsoft.com/office/drawing/2014/main" id="{00000000-0008-0000-1400-000028000000}"/>
            </a:ext>
          </a:extLst>
        </xdr:cNvPr>
        <xdr:cNvCxnSpPr/>
      </xdr:nvCxnSpPr>
      <xdr:spPr>
        <a:xfrm rot="10800000">
          <a:off x="4714877" y="4504593"/>
          <a:ext cx="476249" cy="210283"/>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57152</xdr:colOff>
      <xdr:row>38</xdr:row>
      <xdr:rowOff>30771</xdr:rowOff>
    </xdr:from>
    <xdr:to>
      <xdr:col>40</xdr:col>
      <xdr:colOff>85726</xdr:colOff>
      <xdr:row>43</xdr:row>
      <xdr:rowOff>28575</xdr:rowOff>
    </xdr:to>
    <xdr:cxnSp macro="">
      <xdr:nvCxnSpPr>
        <xdr:cNvPr id="41" name="Straight Arrow Connector 40">
          <a:extLst>
            <a:ext uri="{FF2B5EF4-FFF2-40B4-BE49-F238E27FC236}">
              <a16:creationId xmlns:a16="http://schemas.microsoft.com/office/drawing/2014/main" id="{00000000-0008-0000-1400-000029000000}"/>
            </a:ext>
          </a:extLst>
        </xdr:cNvPr>
        <xdr:cNvCxnSpPr/>
      </xdr:nvCxnSpPr>
      <xdr:spPr>
        <a:xfrm rot="16200000" flipV="1">
          <a:off x="4258774" y="5030299"/>
          <a:ext cx="616929" cy="2857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73271</xdr:colOff>
      <xdr:row>51</xdr:row>
      <xdr:rowOff>68874</xdr:rowOff>
    </xdr:from>
    <xdr:to>
      <xdr:col>35</xdr:col>
      <xdr:colOff>25647</xdr:colOff>
      <xdr:row>55</xdr:row>
      <xdr:rowOff>98182</xdr:rowOff>
    </xdr:to>
    <xdr:cxnSp macro="">
      <xdr:nvCxnSpPr>
        <xdr:cNvPr id="42" name="Straight Arrow Connector 41">
          <a:extLst>
            <a:ext uri="{FF2B5EF4-FFF2-40B4-BE49-F238E27FC236}">
              <a16:creationId xmlns:a16="http://schemas.microsoft.com/office/drawing/2014/main" id="{00000000-0008-0000-1400-00002A000000}"/>
            </a:ext>
          </a:extLst>
        </xdr:cNvPr>
        <xdr:cNvCxnSpPr/>
      </xdr:nvCxnSpPr>
      <xdr:spPr>
        <a:xfrm rot="5400000" flipH="1" flipV="1">
          <a:off x="3597155" y="6555765"/>
          <a:ext cx="524608" cy="180976"/>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49090</xdr:colOff>
      <xdr:row>50</xdr:row>
      <xdr:rowOff>2927</xdr:rowOff>
    </xdr:from>
    <xdr:to>
      <xdr:col>33</xdr:col>
      <xdr:colOff>732</xdr:colOff>
      <xdr:row>50</xdr:row>
      <xdr:rowOff>104775</xdr:rowOff>
    </xdr:to>
    <xdr:cxnSp macro="">
      <xdr:nvCxnSpPr>
        <xdr:cNvPr id="43" name="Straight Arrow Connector 42">
          <a:extLst>
            <a:ext uri="{FF2B5EF4-FFF2-40B4-BE49-F238E27FC236}">
              <a16:creationId xmlns:a16="http://schemas.microsoft.com/office/drawing/2014/main" id="{00000000-0008-0000-1400-00002B000000}"/>
            </a:ext>
          </a:extLst>
        </xdr:cNvPr>
        <xdr:cNvCxnSpPr/>
      </xdr:nvCxnSpPr>
      <xdr:spPr>
        <a:xfrm flipV="1">
          <a:off x="3173290" y="6194177"/>
          <a:ext cx="523142" cy="101848"/>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93784</xdr:colOff>
      <xdr:row>44</xdr:row>
      <xdr:rowOff>69606</xdr:rowOff>
    </xdr:from>
    <xdr:to>
      <xdr:col>19</xdr:col>
      <xdr:colOff>112835</xdr:colOff>
      <xdr:row>46</xdr:row>
      <xdr:rowOff>39565</xdr:rowOff>
    </xdr:to>
    <xdr:cxnSp macro="">
      <xdr:nvCxnSpPr>
        <xdr:cNvPr id="44" name="Straight Arrow Connector 43">
          <a:extLst>
            <a:ext uri="{FF2B5EF4-FFF2-40B4-BE49-F238E27FC236}">
              <a16:creationId xmlns:a16="http://schemas.microsoft.com/office/drawing/2014/main" id="{00000000-0008-0000-1400-00002C000000}"/>
            </a:ext>
          </a:extLst>
        </xdr:cNvPr>
        <xdr:cNvCxnSpPr/>
      </xdr:nvCxnSpPr>
      <xdr:spPr>
        <a:xfrm>
          <a:off x="1732084" y="5517906"/>
          <a:ext cx="476251" cy="217609"/>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71072</xdr:colOff>
      <xdr:row>39</xdr:row>
      <xdr:rowOff>121625</xdr:rowOff>
    </xdr:from>
    <xdr:to>
      <xdr:col>20</xdr:col>
      <xdr:colOff>108438</xdr:colOff>
      <xdr:row>44</xdr:row>
      <xdr:rowOff>57146</xdr:rowOff>
    </xdr:to>
    <xdr:cxnSp macro="">
      <xdr:nvCxnSpPr>
        <xdr:cNvPr id="45" name="Straight Arrow Connector 44">
          <a:extLst>
            <a:ext uri="{FF2B5EF4-FFF2-40B4-BE49-F238E27FC236}">
              <a16:creationId xmlns:a16="http://schemas.microsoft.com/office/drawing/2014/main" id="{00000000-0008-0000-1400-00002D000000}"/>
            </a:ext>
          </a:extLst>
        </xdr:cNvPr>
        <xdr:cNvCxnSpPr/>
      </xdr:nvCxnSpPr>
      <xdr:spPr>
        <a:xfrm rot="16200000" flipH="1">
          <a:off x="2022232" y="5209440"/>
          <a:ext cx="554646" cy="3736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66675</xdr:colOff>
      <xdr:row>48</xdr:row>
      <xdr:rowOff>104775</xdr:rowOff>
    </xdr:from>
    <xdr:to>
      <xdr:col>36</xdr:col>
      <xdr:colOff>3663</xdr:colOff>
      <xdr:row>50</xdr:row>
      <xdr:rowOff>39565</xdr:rowOff>
    </xdr:to>
    <xdr:sp macro="" textlink="">
      <xdr:nvSpPr>
        <xdr:cNvPr id="47" name="Oval 46">
          <a:extLst>
            <a:ext uri="{FF2B5EF4-FFF2-40B4-BE49-F238E27FC236}">
              <a16:creationId xmlns:a16="http://schemas.microsoft.com/office/drawing/2014/main" id="{00000000-0008-0000-1400-00002F000000}"/>
            </a:ext>
          </a:extLst>
        </xdr:cNvPr>
        <xdr:cNvSpPr/>
      </xdr:nvSpPr>
      <xdr:spPr>
        <a:xfrm>
          <a:off x="3876675" y="6048375"/>
          <a:ext cx="165588"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21</xdr:col>
      <xdr:colOff>0</xdr:colOff>
      <xdr:row>45</xdr:row>
      <xdr:rowOff>38100</xdr:rowOff>
    </xdr:from>
    <xdr:to>
      <xdr:col>22</xdr:col>
      <xdr:colOff>51288</xdr:colOff>
      <xdr:row>46</xdr:row>
      <xdr:rowOff>96715</xdr:rowOff>
    </xdr:to>
    <xdr:sp macro="" textlink="">
      <xdr:nvSpPr>
        <xdr:cNvPr id="48" name="Oval 47">
          <a:extLst>
            <a:ext uri="{FF2B5EF4-FFF2-40B4-BE49-F238E27FC236}">
              <a16:creationId xmlns:a16="http://schemas.microsoft.com/office/drawing/2014/main" id="{00000000-0008-0000-1400-000030000000}"/>
            </a:ext>
          </a:extLst>
        </xdr:cNvPr>
        <xdr:cNvSpPr/>
      </xdr:nvSpPr>
      <xdr:spPr>
        <a:xfrm>
          <a:off x="2324100" y="5610225"/>
          <a:ext cx="165588"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24</xdr:col>
      <xdr:colOff>38100</xdr:colOff>
      <xdr:row>31</xdr:row>
      <xdr:rowOff>114300</xdr:rowOff>
    </xdr:from>
    <xdr:to>
      <xdr:col>25</xdr:col>
      <xdr:colOff>79863</xdr:colOff>
      <xdr:row>33</xdr:row>
      <xdr:rowOff>49090</xdr:rowOff>
    </xdr:to>
    <xdr:sp macro="" textlink="">
      <xdr:nvSpPr>
        <xdr:cNvPr id="49" name="Oval 48">
          <a:extLst>
            <a:ext uri="{FF2B5EF4-FFF2-40B4-BE49-F238E27FC236}">
              <a16:creationId xmlns:a16="http://schemas.microsoft.com/office/drawing/2014/main" id="{00000000-0008-0000-1400-000031000000}"/>
            </a:ext>
          </a:extLst>
        </xdr:cNvPr>
        <xdr:cNvSpPr/>
      </xdr:nvSpPr>
      <xdr:spPr>
        <a:xfrm>
          <a:off x="2705100" y="3952875"/>
          <a:ext cx="15606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9525</xdr:colOff>
      <xdr:row>24</xdr:row>
      <xdr:rowOff>9525</xdr:rowOff>
    </xdr:from>
    <xdr:to>
      <xdr:col>24</xdr:col>
      <xdr:colOff>43014</xdr:colOff>
      <xdr:row>31</xdr:row>
      <xdr:rowOff>107401</xdr:rowOff>
    </xdr:to>
    <xdr:cxnSp macro="">
      <xdr:nvCxnSpPr>
        <xdr:cNvPr id="50" name="Straight Connector 49">
          <a:extLst>
            <a:ext uri="{FF2B5EF4-FFF2-40B4-BE49-F238E27FC236}">
              <a16:creationId xmlns:a16="http://schemas.microsoft.com/office/drawing/2014/main" id="{00000000-0008-0000-1400-000032000000}"/>
            </a:ext>
          </a:extLst>
        </xdr:cNvPr>
        <xdr:cNvCxnSpPr/>
      </xdr:nvCxnSpPr>
      <xdr:spPr>
        <a:xfrm flipH="1" flipV="1">
          <a:off x="1876425" y="2981325"/>
          <a:ext cx="833589" cy="96465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46</xdr:row>
      <xdr:rowOff>96715</xdr:rowOff>
    </xdr:from>
    <xdr:to>
      <xdr:col>21</xdr:col>
      <xdr:colOff>82794</xdr:colOff>
      <xdr:row>59</xdr:row>
      <xdr:rowOff>0</xdr:rowOff>
    </xdr:to>
    <xdr:cxnSp macro="">
      <xdr:nvCxnSpPr>
        <xdr:cNvPr id="51" name="Straight Connector 50">
          <a:extLst>
            <a:ext uri="{FF2B5EF4-FFF2-40B4-BE49-F238E27FC236}">
              <a16:creationId xmlns:a16="http://schemas.microsoft.com/office/drawing/2014/main" id="{00000000-0008-0000-1400-000033000000}"/>
            </a:ext>
          </a:extLst>
        </xdr:cNvPr>
        <xdr:cNvCxnSpPr>
          <a:endCxn id="48" idx="4"/>
        </xdr:cNvCxnSpPr>
      </xdr:nvCxnSpPr>
      <xdr:spPr>
        <a:xfrm flipV="1">
          <a:off x="1866900" y="5792665"/>
          <a:ext cx="539994" cy="151301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0</xdr:colOff>
      <xdr:row>37</xdr:row>
      <xdr:rowOff>38100</xdr:rowOff>
    </xdr:from>
    <xdr:to>
      <xdr:col>97</xdr:col>
      <xdr:colOff>66674</xdr:colOff>
      <xdr:row>41</xdr:row>
      <xdr:rowOff>19050</xdr:rowOff>
    </xdr:to>
    <xdr:sp macro="" textlink="">
      <xdr:nvSpPr>
        <xdr:cNvPr id="52" name="Right Arrow 51">
          <a:hlinkClick xmlns:r="http://schemas.openxmlformats.org/officeDocument/2006/relationships" r:id="rId2"/>
          <a:extLst>
            <a:ext uri="{FF2B5EF4-FFF2-40B4-BE49-F238E27FC236}">
              <a16:creationId xmlns:a16="http://schemas.microsoft.com/office/drawing/2014/main" id="{00000000-0008-0000-1400-000034000000}"/>
            </a:ext>
          </a:extLst>
        </xdr:cNvPr>
        <xdr:cNvSpPr/>
      </xdr:nvSpPr>
      <xdr:spPr>
        <a:xfrm>
          <a:off x="2895600" y="13820775"/>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twoCellAnchor>
    <xdr:from>
      <xdr:col>93</xdr:col>
      <xdr:colOff>104775</xdr:colOff>
      <xdr:row>27</xdr:row>
      <xdr:rowOff>66675</xdr:rowOff>
    </xdr:from>
    <xdr:to>
      <xdr:col>96</xdr:col>
      <xdr:colOff>54151</xdr:colOff>
      <xdr:row>28</xdr:row>
      <xdr:rowOff>73743</xdr:rowOff>
    </xdr:to>
    <xdr:sp macro="" textlink="">
      <xdr:nvSpPr>
        <xdr:cNvPr id="53" name="Freccia in giù 9">
          <a:extLst>
            <a:ext uri="{FF2B5EF4-FFF2-40B4-BE49-F238E27FC236}">
              <a16:creationId xmlns:a16="http://schemas.microsoft.com/office/drawing/2014/main" id="{00000000-0008-0000-1400-000035000000}"/>
            </a:ext>
          </a:extLst>
        </xdr:cNvPr>
        <xdr:cNvSpPr/>
      </xdr:nvSpPr>
      <xdr:spPr>
        <a:xfrm rot="4265451">
          <a:off x="3652566" y="12530409"/>
          <a:ext cx="130893" cy="2922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80757</xdr:colOff>
      <xdr:row>34</xdr:row>
      <xdr:rowOff>85726</xdr:rowOff>
    </xdr:from>
    <xdr:to>
      <xdr:col>102</xdr:col>
      <xdr:colOff>77512</xdr:colOff>
      <xdr:row>37</xdr:row>
      <xdr:rowOff>51577</xdr:rowOff>
    </xdr:to>
    <xdr:sp macro="" textlink="">
      <xdr:nvSpPr>
        <xdr:cNvPr id="54" name="Freccia in giù 9">
          <a:extLst>
            <a:ext uri="{FF2B5EF4-FFF2-40B4-BE49-F238E27FC236}">
              <a16:creationId xmlns:a16="http://schemas.microsoft.com/office/drawing/2014/main" id="{00000000-0008-0000-1400-000036000000}"/>
            </a:ext>
          </a:extLst>
        </xdr:cNvPr>
        <xdr:cNvSpPr/>
      </xdr:nvSpPr>
      <xdr:spPr>
        <a:xfrm rot="9723139">
          <a:off x="4462257" y="13496926"/>
          <a:ext cx="111055"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67503</xdr:colOff>
      <xdr:row>39</xdr:row>
      <xdr:rowOff>89867</xdr:rowOff>
    </xdr:from>
    <xdr:to>
      <xdr:col>84</xdr:col>
      <xdr:colOff>59711</xdr:colOff>
      <xdr:row>42</xdr:row>
      <xdr:rowOff>38341</xdr:rowOff>
    </xdr:to>
    <xdr:sp macro="" textlink="">
      <xdr:nvSpPr>
        <xdr:cNvPr id="55" name="Freccia in giù 9">
          <a:extLst>
            <a:ext uri="{FF2B5EF4-FFF2-40B4-BE49-F238E27FC236}">
              <a16:creationId xmlns:a16="http://schemas.microsoft.com/office/drawing/2014/main" id="{00000000-0008-0000-1400-000037000000}"/>
            </a:ext>
          </a:extLst>
        </xdr:cNvPr>
        <xdr:cNvSpPr/>
      </xdr:nvSpPr>
      <xdr:spPr>
        <a:xfrm rot="20584512">
          <a:off x="2391603" y="14120192"/>
          <a:ext cx="106508"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85312</xdr:colOff>
      <xdr:row>49</xdr:row>
      <xdr:rowOff>54251</xdr:rowOff>
    </xdr:from>
    <xdr:to>
      <xdr:col>96</xdr:col>
      <xdr:colOff>52163</xdr:colOff>
      <xdr:row>50</xdr:row>
      <xdr:rowOff>48957</xdr:rowOff>
    </xdr:to>
    <xdr:sp macro="" textlink="">
      <xdr:nvSpPr>
        <xdr:cNvPr id="56" name="Freccia in giù 9">
          <a:extLst>
            <a:ext uri="{FF2B5EF4-FFF2-40B4-BE49-F238E27FC236}">
              <a16:creationId xmlns:a16="http://schemas.microsoft.com/office/drawing/2014/main" id="{00000000-0008-0000-1400-000038000000}"/>
            </a:ext>
          </a:extLst>
        </xdr:cNvPr>
        <xdr:cNvSpPr/>
      </xdr:nvSpPr>
      <xdr:spPr>
        <a:xfrm rot="15201463">
          <a:off x="3648022" y="15227216"/>
          <a:ext cx="118531" cy="3097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39</xdr:col>
      <xdr:colOff>100501</xdr:colOff>
      <xdr:row>26</xdr:row>
      <xdr:rowOff>0</xdr:rowOff>
    </xdr:from>
    <xdr:to>
      <xdr:col>45</xdr:col>
      <xdr:colOff>95250</xdr:colOff>
      <xdr:row>35</xdr:row>
      <xdr:rowOff>66876</xdr:rowOff>
    </xdr:to>
    <xdr:cxnSp macro="">
      <xdr:nvCxnSpPr>
        <xdr:cNvPr id="59" name="Straight Connector 58">
          <a:extLst>
            <a:ext uri="{FF2B5EF4-FFF2-40B4-BE49-F238E27FC236}">
              <a16:creationId xmlns:a16="http://schemas.microsoft.com/office/drawing/2014/main" id="{00000000-0008-0000-1400-00003B000000}"/>
            </a:ext>
          </a:extLst>
        </xdr:cNvPr>
        <xdr:cNvCxnSpPr>
          <a:stCxn id="60" idx="0"/>
        </xdr:cNvCxnSpPr>
      </xdr:nvCxnSpPr>
      <xdr:spPr>
        <a:xfrm flipV="1">
          <a:off x="4482001" y="3219450"/>
          <a:ext cx="680549" cy="118130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22469</xdr:colOff>
      <xdr:row>35</xdr:row>
      <xdr:rowOff>66876</xdr:rowOff>
    </xdr:from>
    <xdr:to>
      <xdr:col>40</xdr:col>
      <xdr:colOff>64232</xdr:colOff>
      <xdr:row>37</xdr:row>
      <xdr:rowOff>1666</xdr:rowOff>
    </xdr:to>
    <xdr:sp macro="" textlink="">
      <xdr:nvSpPr>
        <xdr:cNvPr id="60" name="Oval 59">
          <a:extLst>
            <a:ext uri="{FF2B5EF4-FFF2-40B4-BE49-F238E27FC236}">
              <a16:creationId xmlns:a16="http://schemas.microsoft.com/office/drawing/2014/main" id="{00000000-0008-0000-1400-00003C000000}"/>
            </a:ext>
          </a:extLst>
        </xdr:cNvPr>
        <xdr:cNvSpPr/>
      </xdr:nvSpPr>
      <xdr:spPr>
        <a:xfrm>
          <a:off x="4403969" y="4400751"/>
          <a:ext cx="15606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86</xdr:col>
      <xdr:colOff>0</xdr:colOff>
      <xdr:row>32</xdr:row>
      <xdr:rowOff>28575</xdr:rowOff>
    </xdr:from>
    <xdr:to>
      <xdr:col>99</xdr:col>
      <xdr:colOff>78441</xdr:colOff>
      <xdr:row>45</xdr:row>
      <xdr:rowOff>118782</xdr:rowOff>
    </xdr:to>
    <xdr:sp macro="" textlink="">
      <xdr:nvSpPr>
        <xdr:cNvPr id="80" name="Oval 79">
          <a:extLst>
            <a:ext uri="{FF2B5EF4-FFF2-40B4-BE49-F238E27FC236}">
              <a16:creationId xmlns:a16="http://schemas.microsoft.com/office/drawing/2014/main" id="{00000000-0008-0000-1500-000050000000}"/>
            </a:ext>
          </a:extLst>
        </xdr:cNvPr>
        <xdr:cNvSpPr/>
      </xdr:nvSpPr>
      <xdr:spPr>
        <a:xfrm>
          <a:off x="2886075" y="13068300"/>
          <a:ext cx="1688166"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8</xdr:col>
      <xdr:colOff>32105</xdr:colOff>
      <xdr:row>26</xdr:row>
      <xdr:rowOff>121392</xdr:rowOff>
    </xdr:from>
    <xdr:to>
      <xdr:col>54</xdr:col>
      <xdr:colOff>10379</xdr:colOff>
      <xdr:row>55</xdr:row>
      <xdr:rowOff>92868</xdr:rowOff>
    </xdr:to>
    <xdr:pic>
      <xdr:nvPicPr>
        <xdr:cNvPr id="78" name="Picture 77" descr="1 Lane Roundabout-Model.jpg">
          <a:extLst>
            <a:ext uri="{FF2B5EF4-FFF2-40B4-BE49-F238E27FC236}">
              <a16:creationId xmlns:a16="http://schemas.microsoft.com/office/drawing/2014/main" id="{00000000-0008-0000-1500-00004E000000}"/>
            </a:ext>
          </a:extLst>
        </xdr:cNvPr>
        <xdr:cNvPicPr>
          <a:picLocks noChangeAspect="1"/>
        </xdr:cNvPicPr>
      </xdr:nvPicPr>
      <xdr:blipFill>
        <a:blip xmlns:r="http://schemas.openxmlformats.org/officeDocument/2006/relationships" r:embed="rId1" cstate="print"/>
        <a:srcRect t="19650" b="19297"/>
        <a:stretch>
          <a:fillRect/>
        </a:stretch>
      </xdr:blipFill>
      <xdr:spPr>
        <a:xfrm flipH="1">
          <a:off x="942933" y="3371798"/>
          <a:ext cx="5728993" cy="3596929"/>
        </a:xfrm>
        <a:prstGeom prst="rect">
          <a:avLst/>
        </a:prstGeom>
      </xdr:spPr>
    </xdr:pic>
    <xdr:clientData/>
  </xdr:twoCellAnchor>
  <xdr:twoCellAnchor editAs="oneCell">
    <xdr:from>
      <xdr:col>19</xdr:col>
      <xdr:colOff>87110</xdr:colOff>
      <xdr:row>17</xdr:row>
      <xdr:rowOff>96837</xdr:rowOff>
    </xdr:from>
    <xdr:to>
      <xdr:col>43</xdr:col>
      <xdr:colOff>1891</xdr:colOff>
      <xdr:row>64</xdr:row>
      <xdr:rowOff>86854</xdr:rowOff>
    </xdr:to>
    <xdr:pic>
      <xdr:nvPicPr>
        <xdr:cNvPr id="79" name="Picture 78" descr="1 Lane Roundabout-Model.jpg">
          <a:extLst>
            <a:ext uri="{FF2B5EF4-FFF2-40B4-BE49-F238E27FC236}">
              <a16:creationId xmlns:a16="http://schemas.microsoft.com/office/drawing/2014/main" id="{00000000-0008-0000-1500-00004F000000}"/>
            </a:ext>
          </a:extLst>
        </xdr:cNvPr>
        <xdr:cNvPicPr>
          <a:picLocks noChangeAspect="1"/>
        </xdr:cNvPicPr>
      </xdr:nvPicPr>
      <xdr:blipFill>
        <a:blip xmlns:r="http://schemas.openxmlformats.org/officeDocument/2006/relationships" r:embed="rId1" cstate="print"/>
        <a:srcRect l="24232" t="73" r="25073" b="384"/>
        <a:stretch>
          <a:fillRect/>
        </a:stretch>
      </xdr:blipFill>
      <xdr:spPr>
        <a:xfrm flipH="1">
          <a:off x="2364827" y="2208902"/>
          <a:ext cx="2886581" cy="5829256"/>
        </a:xfrm>
        <a:prstGeom prst="rect">
          <a:avLst/>
        </a:prstGeom>
      </xdr:spPr>
    </xdr:pic>
    <xdr:clientData/>
  </xdr:twoCellAnchor>
  <xdr:twoCellAnchor>
    <xdr:from>
      <xdr:col>91</xdr:col>
      <xdr:colOff>53688</xdr:colOff>
      <xdr:row>9</xdr:row>
      <xdr:rowOff>62470</xdr:rowOff>
    </xdr:from>
    <xdr:to>
      <xdr:col>93</xdr:col>
      <xdr:colOff>77017</xdr:colOff>
      <xdr:row>11</xdr:row>
      <xdr:rowOff>109538</xdr:rowOff>
    </xdr:to>
    <xdr:sp macro="" textlink="">
      <xdr:nvSpPr>
        <xdr:cNvPr id="25" name="Freccia curva 8">
          <a:extLst>
            <a:ext uri="{FF2B5EF4-FFF2-40B4-BE49-F238E27FC236}">
              <a16:creationId xmlns:a16="http://schemas.microsoft.com/office/drawing/2014/main" id="{00000000-0008-0000-1500-000019000000}"/>
            </a:ext>
          </a:extLst>
        </xdr:cNvPr>
        <xdr:cNvSpPr/>
      </xdr:nvSpPr>
      <xdr:spPr>
        <a:xfrm rot="10800000" flipH="1">
          <a:off x="3520788" y="103399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55058</xdr:colOff>
      <xdr:row>9</xdr:row>
      <xdr:rowOff>67264</xdr:rowOff>
    </xdr:from>
    <xdr:to>
      <xdr:col>96</xdr:col>
      <xdr:colOff>84922</xdr:colOff>
      <xdr:row>11</xdr:row>
      <xdr:rowOff>123518</xdr:rowOff>
    </xdr:to>
    <xdr:sp macro="" textlink="">
      <xdr:nvSpPr>
        <xdr:cNvPr id="26" name="Freccia a inversione 13">
          <a:extLst>
            <a:ext uri="{FF2B5EF4-FFF2-40B4-BE49-F238E27FC236}">
              <a16:creationId xmlns:a16="http://schemas.microsoft.com/office/drawing/2014/main" id="{00000000-0008-0000-1500-00001A000000}"/>
            </a:ext>
          </a:extLst>
        </xdr:cNvPr>
        <xdr:cNvSpPr/>
      </xdr:nvSpPr>
      <xdr:spPr>
        <a:xfrm flipV="1">
          <a:off x="3893633" y="103447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9</xdr:row>
      <xdr:rowOff>51932</xdr:rowOff>
    </xdr:from>
    <xdr:to>
      <xdr:col>89</xdr:col>
      <xdr:colOff>114211</xdr:colOff>
      <xdr:row>11</xdr:row>
      <xdr:rowOff>95625</xdr:rowOff>
    </xdr:to>
    <xdr:sp macro="" textlink="">
      <xdr:nvSpPr>
        <xdr:cNvPr id="27" name="Freccia in giù 9">
          <a:extLst>
            <a:ext uri="{FF2B5EF4-FFF2-40B4-BE49-F238E27FC236}">
              <a16:creationId xmlns:a16="http://schemas.microsoft.com/office/drawing/2014/main" id="{00000000-0008-0000-1500-00001B000000}"/>
            </a:ext>
          </a:extLst>
        </xdr:cNvPr>
        <xdr:cNvSpPr/>
      </xdr:nvSpPr>
      <xdr:spPr>
        <a:xfrm>
          <a:off x="3197022" y="103294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32507</xdr:colOff>
      <xdr:row>9</xdr:row>
      <xdr:rowOff>111530</xdr:rowOff>
    </xdr:from>
    <xdr:to>
      <xdr:col>87</xdr:col>
      <xdr:colOff>65439</xdr:colOff>
      <xdr:row>12</xdr:row>
      <xdr:rowOff>9683</xdr:rowOff>
    </xdr:to>
    <xdr:sp macro="" textlink="">
      <xdr:nvSpPr>
        <xdr:cNvPr id="28" name="Freccia curva 7">
          <a:extLst>
            <a:ext uri="{FF2B5EF4-FFF2-40B4-BE49-F238E27FC236}">
              <a16:creationId xmlns:a16="http://schemas.microsoft.com/office/drawing/2014/main" id="{00000000-0008-0000-1500-00001C000000}"/>
            </a:ext>
          </a:extLst>
        </xdr:cNvPr>
        <xdr:cNvSpPr/>
      </xdr:nvSpPr>
      <xdr:spPr>
        <a:xfrm rot="10800000">
          <a:off x="2756657" y="103890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66020</xdr:colOff>
      <xdr:row>35</xdr:row>
      <xdr:rowOff>58156</xdr:rowOff>
    </xdr:from>
    <xdr:to>
      <xdr:col>66</xdr:col>
      <xdr:colOff>24702</xdr:colOff>
      <xdr:row>37</xdr:row>
      <xdr:rowOff>69436</xdr:rowOff>
    </xdr:to>
    <xdr:sp macro="" textlink="">
      <xdr:nvSpPr>
        <xdr:cNvPr id="29" name="Freccia a inversione 13">
          <a:extLst>
            <a:ext uri="{FF2B5EF4-FFF2-40B4-BE49-F238E27FC236}">
              <a16:creationId xmlns:a16="http://schemas.microsoft.com/office/drawing/2014/main" id="{00000000-0008-0000-1500-00001D000000}"/>
            </a:ext>
          </a:extLst>
        </xdr:cNvPr>
        <xdr:cNvSpPr/>
      </xdr:nvSpPr>
      <xdr:spPr>
        <a:xfrm rot="16200000" flipV="1">
          <a:off x="101634" y="1351946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51289</xdr:colOff>
      <xdr:row>38</xdr:row>
      <xdr:rowOff>58615</xdr:rowOff>
    </xdr:from>
    <xdr:to>
      <xdr:col>65</xdr:col>
      <xdr:colOff>116943</xdr:colOff>
      <xdr:row>40</xdr:row>
      <xdr:rowOff>63358</xdr:rowOff>
    </xdr:to>
    <xdr:sp macro="" textlink="">
      <xdr:nvSpPr>
        <xdr:cNvPr id="30" name="Freccia curva 8">
          <a:extLst>
            <a:ext uri="{FF2B5EF4-FFF2-40B4-BE49-F238E27FC236}">
              <a16:creationId xmlns:a16="http://schemas.microsoft.com/office/drawing/2014/main" id="{00000000-0008-0000-1500-00001E000000}"/>
            </a:ext>
          </a:extLst>
        </xdr:cNvPr>
        <xdr:cNvSpPr/>
      </xdr:nvSpPr>
      <xdr:spPr>
        <a:xfrm rot="5400000" flipH="1">
          <a:off x="81744" y="138965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63</xdr:col>
      <xdr:colOff>73270</xdr:colOff>
      <xdr:row>44</xdr:row>
      <xdr:rowOff>80596</xdr:rowOff>
    </xdr:from>
    <xdr:to>
      <xdr:col>65</xdr:col>
      <xdr:colOff>134510</xdr:colOff>
      <xdr:row>46</xdr:row>
      <xdr:rowOff>94943</xdr:rowOff>
    </xdr:to>
    <xdr:sp macro="" textlink="">
      <xdr:nvSpPr>
        <xdr:cNvPr id="31" name="Freccia curva 7">
          <a:extLst>
            <a:ext uri="{FF2B5EF4-FFF2-40B4-BE49-F238E27FC236}">
              <a16:creationId xmlns:a16="http://schemas.microsoft.com/office/drawing/2014/main" id="{00000000-0008-0000-1500-00001F000000}"/>
            </a:ext>
          </a:extLst>
        </xdr:cNvPr>
        <xdr:cNvSpPr/>
      </xdr:nvSpPr>
      <xdr:spPr>
        <a:xfrm rot="5400000">
          <a:off x="91954" y="1467326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101</xdr:col>
      <xdr:colOff>29668</xdr:colOff>
      <xdr:row>50</xdr:row>
      <xdr:rowOff>65240</xdr:rowOff>
    </xdr:from>
    <xdr:ext cx="963800" cy="311715"/>
    <xdr:sp macro="" textlink="">
      <xdr:nvSpPr>
        <xdr:cNvPr id="32" name="Rectangle 31">
          <a:extLst>
            <a:ext uri="{FF2B5EF4-FFF2-40B4-BE49-F238E27FC236}">
              <a16:creationId xmlns:a16="http://schemas.microsoft.com/office/drawing/2014/main" id="{00000000-0008-0000-1500-000020000000}"/>
            </a:ext>
          </a:extLst>
        </xdr:cNvPr>
        <xdr:cNvSpPr/>
      </xdr:nvSpPr>
      <xdr:spPr>
        <a:xfrm>
          <a:off x="4411168" y="1545764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63</xdr:col>
      <xdr:colOff>58937</xdr:colOff>
      <xdr:row>42</xdr:row>
      <xdr:rowOff>6397</xdr:rowOff>
    </xdr:from>
    <xdr:to>
      <xdr:col>66</xdr:col>
      <xdr:colOff>5058</xdr:colOff>
      <xdr:row>43</xdr:row>
      <xdr:rowOff>9918</xdr:rowOff>
    </xdr:to>
    <xdr:sp macro="" textlink="">
      <xdr:nvSpPr>
        <xdr:cNvPr id="33" name="Freccia in giù 9">
          <a:extLst>
            <a:ext uri="{FF2B5EF4-FFF2-40B4-BE49-F238E27FC236}">
              <a16:creationId xmlns:a16="http://schemas.microsoft.com/office/drawing/2014/main" id="{00000000-0008-0000-1500-000021000000}"/>
            </a:ext>
          </a:extLst>
        </xdr:cNvPr>
        <xdr:cNvSpPr/>
      </xdr:nvSpPr>
      <xdr:spPr>
        <a:xfrm rot="16200000">
          <a:off x="154062" y="142749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35" name="Freccia curva 66">
          <a:extLst>
            <a:ext uri="{FF2B5EF4-FFF2-40B4-BE49-F238E27FC236}">
              <a16:creationId xmlns:a16="http://schemas.microsoft.com/office/drawing/2014/main" id="{00000000-0008-0000-1500-000023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36" name="Freccia curva 66">
          <a:extLst>
            <a:ext uri="{FF2B5EF4-FFF2-40B4-BE49-F238E27FC236}">
              <a16:creationId xmlns:a16="http://schemas.microsoft.com/office/drawing/2014/main" id="{00000000-0008-0000-1500-000024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37" name="Freccia curva 66">
          <a:extLst>
            <a:ext uri="{FF2B5EF4-FFF2-40B4-BE49-F238E27FC236}">
              <a16:creationId xmlns:a16="http://schemas.microsoft.com/office/drawing/2014/main" id="{00000000-0008-0000-1500-000025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120</xdr:col>
      <xdr:colOff>0</xdr:colOff>
      <xdr:row>36</xdr:row>
      <xdr:rowOff>136072</xdr:rowOff>
    </xdr:from>
    <xdr:to>
      <xdr:col>122</xdr:col>
      <xdr:colOff>55717</xdr:colOff>
      <xdr:row>38</xdr:row>
      <xdr:rowOff>82778</xdr:rowOff>
    </xdr:to>
    <xdr:sp macro="" textlink="">
      <xdr:nvSpPr>
        <xdr:cNvPr id="38" name="Freccia curva 66">
          <a:extLst>
            <a:ext uri="{FF2B5EF4-FFF2-40B4-BE49-F238E27FC236}">
              <a16:creationId xmlns:a16="http://schemas.microsoft.com/office/drawing/2014/main" id="{00000000-0008-0000-1500-000026000000}"/>
            </a:ext>
          </a:extLst>
        </xdr:cNvPr>
        <xdr:cNvSpPr/>
      </xdr:nvSpPr>
      <xdr:spPr>
        <a:xfrm rot="16200000" flipH="1">
          <a:off x="7107768" y="136975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65</xdr:row>
      <xdr:rowOff>91783</xdr:rowOff>
    </xdr:from>
    <xdr:to>
      <xdr:col>96</xdr:col>
      <xdr:colOff>109029</xdr:colOff>
      <xdr:row>68</xdr:row>
      <xdr:rowOff>10025</xdr:rowOff>
    </xdr:to>
    <xdr:sp macro="" textlink="">
      <xdr:nvSpPr>
        <xdr:cNvPr id="39" name="Freccia in giù 9">
          <a:extLst>
            <a:ext uri="{FF2B5EF4-FFF2-40B4-BE49-F238E27FC236}">
              <a16:creationId xmlns:a16="http://schemas.microsoft.com/office/drawing/2014/main" id="{00000000-0008-0000-1500-000027000000}"/>
            </a:ext>
          </a:extLst>
        </xdr:cNvPr>
        <xdr:cNvSpPr/>
      </xdr:nvSpPr>
      <xdr:spPr>
        <a:xfrm rot="10800000">
          <a:off x="4058616" y="173034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7688</xdr:colOff>
      <xdr:row>47</xdr:row>
      <xdr:rowOff>36663</xdr:rowOff>
    </xdr:from>
    <xdr:ext cx="963800" cy="311715"/>
    <xdr:sp macro="" textlink="">
      <xdr:nvSpPr>
        <xdr:cNvPr id="40" name="Rectangle 39">
          <a:extLst>
            <a:ext uri="{FF2B5EF4-FFF2-40B4-BE49-F238E27FC236}">
              <a16:creationId xmlns:a16="http://schemas.microsoft.com/office/drawing/2014/main" id="{00000000-0008-0000-1500-000028000000}"/>
            </a:ext>
          </a:extLst>
        </xdr:cNvPr>
        <xdr:cNvSpPr/>
      </xdr:nvSpPr>
      <xdr:spPr>
        <a:xfrm>
          <a:off x="1417388" y="1505758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46691</xdr:colOff>
      <xdr:row>65</xdr:row>
      <xdr:rowOff>118493</xdr:rowOff>
    </xdr:from>
    <xdr:to>
      <xdr:col>91</xdr:col>
      <xdr:colOff>74536</xdr:colOff>
      <xdr:row>68</xdr:row>
      <xdr:rowOff>52529</xdr:rowOff>
    </xdr:to>
    <xdr:sp macro="" textlink="">
      <xdr:nvSpPr>
        <xdr:cNvPr id="41" name="Freccia a inversione 13">
          <a:extLst>
            <a:ext uri="{FF2B5EF4-FFF2-40B4-BE49-F238E27FC236}">
              <a16:creationId xmlns:a16="http://schemas.microsoft.com/office/drawing/2014/main" id="{00000000-0008-0000-1500-000029000000}"/>
            </a:ext>
          </a:extLst>
        </xdr:cNvPr>
        <xdr:cNvSpPr/>
      </xdr:nvSpPr>
      <xdr:spPr>
        <a:xfrm rot="10800000" flipV="1">
          <a:off x="3266141" y="173301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66</xdr:row>
      <xdr:rowOff>3514</xdr:rowOff>
    </xdr:from>
    <xdr:to>
      <xdr:col>94</xdr:col>
      <xdr:colOff>59418</xdr:colOff>
      <xdr:row>68</xdr:row>
      <xdr:rowOff>50582</xdr:rowOff>
    </xdr:to>
    <xdr:sp macro="" textlink="">
      <xdr:nvSpPr>
        <xdr:cNvPr id="42" name="Freccia curva 8">
          <a:extLst>
            <a:ext uri="{FF2B5EF4-FFF2-40B4-BE49-F238E27FC236}">
              <a16:creationId xmlns:a16="http://schemas.microsoft.com/office/drawing/2014/main" id="{00000000-0008-0000-1500-00002A000000}"/>
            </a:ext>
          </a:extLst>
        </xdr:cNvPr>
        <xdr:cNvSpPr/>
      </xdr:nvSpPr>
      <xdr:spPr>
        <a:xfrm flipH="1">
          <a:off x="3627014" y="173390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94989</xdr:colOff>
      <xdr:row>39</xdr:row>
      <xdr:rowOff>82275</xdr:rowOff>
    </xdr:from>
    <xdr:to>
      <xdr:col>122</xdr:col>
      <xdr:colOff>56903</xdr:colOff>
      <xdr:row>41</xdr:row>
      <xdr:rowOff>91535</xdr:rowOff>
    </xdr:to>
    <xdr:sp macro="" textlink="">
      <xdr:nvSpPr>
        <xdr:cNvPr id="43" name="Freccia a inversione 13">
          <a:extLst>
            <a:ext uri="{FF2B5EF4-FFF2-40B4-BE49-F238E27FC236}">
              <a16:creationId xmlns:a16="http://schemas.microsoft.com/office/drawing/2014/main" id="{00000000-0008-0000-1500-00002B000000}"/>
            </a:ext>
          </a:extLst>
        </xdr:cNvPr>
        <xdr:cNvSpPr/>
      </xdr:nvSpPr>
      <xdr:spPr>
        <a:xfrm rot="5400000" flipV="1">
          <a:off x="7067429" y="140362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97574</xdr:colOff>
      <xdr:row>34</xdr:row>
      <xdr:rowOff>4645</xdr:rowOff>
    </xdr:from>
    <xdr:to>
      <xdr:col>122</xdr:col>
      <xdr:colOff>43694</xdr:colOff>
      <xdr:row>35</xdr:row>
      <xdr:rowOff>8166</xdr:rowOff>
    </xdr:to>
    <xdr:sp macro="" textlink="">
      <xdr:nvSpPr>
        <xdr:cNvPr id="45" name="Freccia in giù 9">
          <a:extLst>
            <a:ext uri="{FF2B5EF4-FFF2-40B4-BE49-F238E27FC236}">
              <a16:creationId xmlns:a16="http://schemas.microsoft.com/office/drawing/2014/main" id="{00000000-0008-0000-1500-00002D000000}"/>
            </a:ext>
          </a:extLst>
        </xdr:cNvPr>
        <xdr:cNvSpPr/>
      </xdr:nvSpPr>
      <xdr:spPr>
        <a:xfrm rot="5400000">
          <a:off x="7126899" y="132826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66</xdr:row>
      <xdr:rowOff>18603</xdr:rowOff>
    </xdr:from>
    <xdr:to>
      <xdr:col>100</xdr:col>
      <xdr:colOff>74730</xdr:colOff>
      <xdr:row>68</xdr:row>
      <xdr:rowOff>42207</xdr:rowOff>
    </xdr:to>
    <xdr:sp macro="" textlink="">
      <xdr:nvSpPr>
        <xdr:cNvPr id="46" name="Freccia curva 7">
          <a:extLst>
            <a:ext uri="{FF2B5EF4-FFF2-40B4-BE49-F238E27FC236}">
              <a16:creationId xmlns:a16="http://schemas.microsoft.com/office/drawing/2014/main" id="{00000000-0008-0000-1500-00002E000000}"/>
            </a:ext>
          </a:extLst>
        </xdr:cNvPr>
        <xdr:cNvSpPr/>
      </xdr:nvSpPr>
      <xdr:spPr>
        <a:xfrm>
          <a:off x="4375674" y="173541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107674</xdr:colOff>
      <xdr:row>30</xdr:row>
      <xdr:rowOff>57978</xdr:rowOff>
    </xdr:from>
    <xdr:to>
      <xdr:col>122</xdr:col>
      <xdr:colOff>7038</xdr:colOff>
      <xdr:row>32</xdr:row>
      <xdr:rowOff>90910</xdr:rowOff>
    </xdr:to>
    <xdr:sp macro="" textlink="">
      <xdr:nvSpPr>
        <xdr:cNvPr id="47" name="Freccia curva 7">
          <a:extLst>
            <a:ext uri="{FF2B5EF4-FFF2-40B4-BE49-F238E27FC236}">
              <a16:creationId xmlns:a16="http://schemas.microsoft.com/office/drawing/2014/main" id="{00000000-0008-0000-1500-00002F000000}"/>
            </a:ext>
          </a:extLst>
        </xdr:cNvPr>
        <xdr:cNvSpPr/>
      </xdr:nvSpPr>
      <xdr:spPr>
        <a:xfrm rot="16200000">
          <a:off x="7037003" y="129406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18677</xdr:colOff>
      <xdr:row>27</xdr:row>
      <xdr:rowOff>22010</xdr:rowOff>
    </xdr:from>
    <xdr:ext cx="963800" cy="311715"/>
    <xdr:sp macro="" textlink="">
      <xdr:nvSpPr>
        <xdr:cNvPr id="48" name="Rectangle 47">
          <a:extLst>
            <a:ext uri="{FF2B5EF4-FFF2-40B4-BE49-F238E27FC236}">
              <a16:creationId xmlns:a16="http://schemas.microsoft.com/office/drawing/2014/main" id="{00000000-0008-0000-1500-000030000000}"/>
            </a:ext>
          </a:extLst>
        </xdr:cNvPr>
        <xdr:cNvSpPr/>
      </xdr:nvSpPr>
      <xdr:spPr>
        <a:xfrm>
          <a:off x="4885952" y="1256643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76</xdr:col>
      <xdr:colOff>103670</xdr:colOff>
      <xdr:row>27</xdr:row>
      <xdr:rowOff>44852</xdr:rowOff>
    </xdr:from>
    <xdr:ext cx="963800" cy="311715"/>
    <xdr:sp macro="" textlink="">
      <xdr:nvSpPr>
        <xdr:cNvPr id="49" name="Rectangle 48">
          <a:extLst>
            <a:ext uri="{FF2B5EF4-FFF2-40B4-BE49-F238E27FC236}">
              <a16:creationId xmlns:a16="http://schemas.microsoft.com/office/drawing/2014/main" id="{00000000-0008-0000-1500-000031000000}"/>
            </a:ext>
          </a:extLst>
        </xdr:cNvPr>
        <xdr:cNvSpPr/>
      </xdr:nvSpPr>
      <xdr:spPr>
        <a:xfrm>
          <a:off x="1751495" y="1258927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98</xdr:col>
      <xdr:colOff>96216</xdr:colOff>
      <xdr:row>56</xdr:row>
      <xdr:rowOff>91783</xdr:rowOff>
    </xdr:from>
    <xdr:to>
      <xdr:col>99</xdr:col>
      <xdr:colOff>109029</xdr:colOff>
      <xdr:row>59</xdr:row>
      <xdr:rowOff>10025</xdr:rowOff>
    </xdr:to>
    <xdr:sp macro="" textlink="">
      <xdr:nvSpPr>
        <xdr:cNvPr id="50" name="Freccia in giù 9">
          <a:extLst>
            <a:ext uri="{FF2B5EF4-FFF2-40B4-BE49-F238E27FC236}">
              <a16:creationId xmlns:a16="http://schemas.microsoft.com/office/drawing/2014/main" id="{00000000-0008-0000-1500-000032000000}"/>
            </a:ext>
          </a:extLst>
        </xdr:cNvPr>
        <xdr:cNvSpPr/>
      </xdr:nvSpPr>
      <xdr:spPr>
        <a:xfrm rot="10800000">
          <a:off x="4430091" y="159413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97574</xdr:colOff>
      <xdr:row>31</xdr:row>
      <xdr:rowOff>4645</xdr:rowOff>
    </xdr:from>
    <xdr:to>
      <xdr:col>113</xdr:col>
      <xdr:colOff>43694</xdr:colOff>
      <xdr:row>32</xdr:row>
      <xdr:rowOff>8166</xdr:rowOff>
    </xdr:to>
    <xdr:sp macro="" textlink="">
      <xdr:nvSpPr>
        <xdr:cNvPr id="51" name="Freccia in giù 9">
          <a:extLst>
            <a:ext uri="{FF2B5EF4-FFF2-40B4-BE49-F238E27FC236}">
              <a16:creationId xmlns:a16="http://schemas.microsoft.com/office/drawing/2014/main" id="{00000000-0008-0000-1500-000033000000}"/>
            </a:ext>
          </a:extLst>
        </xdr:cNvPr>
        <xdr:cNvSpPr/>
      </xdr:nvSpPr>
      <xdr:spPr>
        <a:xfrm rot="5400000">
          <a:off x="6012474" y="129111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123377</xdr:colOff>
      <xdr:row>18</xdr:row>
      <xdr:rowOff>95893</xdr:rowOff>
    </xdr:from>
    <xdr:to>
      <xdr:col>87</xdr:col>
      <xdr:colOff>11633</xdr:colOff>
      <xdr:row>21</xdr:row>
      <xdr:rowOff>15028</xdr:rowOff>
    </xdr:to>
    <xdr:sp macro="" textlink="">
      <xdr:nvSpPr>
        <xdr:cNvPr id="52" name="Freccia in giù 9">
          <a:extLst>
            <a:ext uri="{FF2B5EF4-FFF2-40B4-BE49-F238E27FC236}">
              <a16:creationId xmlns:a16="http://schemas.microsoft.com/office/drawing/2014/main" id="{00000000-0008-0000-1500-000034000000}"/>
            </a:ext>
          </a:extLst>
        </xdr:cNvPr>
        <xdr:cNvSpPr/>
      </xdr:nvSpPr>
      <xdr:spPr>
        <a:xfrm>
          <a:off x="2847527" y="1173544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58937</xdr:colOff>
      <xdr:row>45</xdr:row>
      <xdr:rowOff>6397</xdr:rowOff>
    </xdr:from>
    <xdr:to>
      <xdr:col>75</xdr:col>
      <xdr:colOff>5058</xdr:colOff>
      <xdr:row>46</xdr:row>
      <xdr:rowOff>9918</xdr:rowOff>
    </xdr:to>
    <xdr:sp macro="" textlink="">
      <xdr:nvSpPr>
        <xdr:cNvPr id="53" name="Freccia in giù 9">
          <a:extLst>
            <a:ext uri="{FF2B5EF4-FFF2-40B4-BE49-F238E27FC236}">
              <a16:creationId xmlns:a16="http://schemas.microsoft.com/office/drawing/2014/main" id="{00000000-0008-0000-1500-000035000000}"/>
            </a:ext>
          </a:extLst>
        </xdr:cNvPr>
        <xdr:cNvSpPr/>
      </xdr:nvSpPr>
      <xdr:spPr>
        <a:xfrm rot="16200000">
          <a:off x="1268487" y="146464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43</xdr:col>
      <xdr:colOff>33826</xdr:colOff>
      <xdr:row>25</xdr:row>
      <xdr:rowOff>114302</xdr:rowOff>
    </xdr:from>
    <xdr:to>
      <xdr:col>45</xdr:col>
      <xdr:colOff>114299</xdr:colOff>
      <xdr:row>35</xdr:row>
      <xdr:rowOff>9727</xdr:rowOff>
    </xdr:to>
    <xdr:cxnSp macro="">
      <xdr:nvCxnSpPr>
        <xdr:cNvPr id="58" name="Straight Connector 57">
          <a:extLst>
            <a:ext uri="{FF2B5EF4-FFF2-40B4-BE49-F238E27FC236}">
              <a16:creationId xmlns:a16="http://schemas.microsoft.com/office/drawing/2014/main" id="{00000000-0008-0000-1500-00003A000000}"/>
            </a:ext>
          </a:extLst>
        </xdr:cNvPr>
        <xdr:cNvCxnSpPr>
          <a:stCxn id="72" idx="0"/>
        </xdr:cNvCxnSpPr>
      </xdr:nvCxnSpPr>
      <xdr:spPr>
        <a:xfrm rot="5400000" flipH="1" flipV="1">
          <a:off x="4831700" y="3612703"/>
          <a:ext cx="1133675" cy="328123"/>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82792</xdr:colOff>
      <xdr:row>53</xdr:row>
      <xdr:rowOff>108097</xdr:rowOff>
    </xdr:from>
    <xdr:to>
      <xdr:col>44</xdr:col>
      <xdr:colOff>123824</xdr:colOff>
      <xdr:row>58</xdr:row>
      <xdr:rowOff>114300</xdr:rowOff>
    </xdr:to>
    <xdr:cxnSp macro="">
      <xdr:nvCxnSpPr>
        <xdr:cNvPr id="59" name="Straight Connector 58">
          <a:extLst>
            <a:ext uri="{FF2B5EF4-FFF2-40B4-BE49-F238E27FC236}">
              <a16:creationId xmlns:a16="http://schemas.microsoft.com/office/drawing/2014/main" id="{00000000-0008-0000-1500-00003B000000}"/>
            </a:ext>
          </a:extLst>
        </xdr:cNvPr>
        <xdr:cNvCxnSpPr>
          <a:stCxn id="73" idx="5"/>
        </xdr:cNvCxnSpPr>
      </xdr:nvCxnSpPr>
      <xdr:spPr>
        <a:xfrm rot="16200000" flipH="1">
          <a:off x="4681732" y="6529582"/>
          <a:ext cx="625328" cy="907807"/>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22714</xdr:colOff>
      <xdr:row>23</xdr:row>
      <xdr:rowOff>72539</xdr:rowOff>
    </xdr:from>
    <xdr:to>
      <xdr:col>28</xdr:col>
      <xdr:colOff>27110</xdr:colOff>
      <xdr:row>27</xdr:row>
      <xdr:rowOff>93054</xdr:rowOff>
    </xdr:to>
    <xdr:cxnSp macro="">
      <xdr:nvCxnSpPr>
        <xdr:cNvPr id="60" name="Straight Arrow Connector 59">
          <a:extLst>
            <a:ext uri="{FF2B5EF4-FFF2-40B4-BE49-F238E27FC236}">
              <a16:creationId xmlns:a16="http://schemas.microsoft.com/office/drawing/2014/main" id="{00000000-0008-0000-1500-00003C000000}"/>
            </a:ext>
          </a:extLst>
        </xdr:cNvPr>
        <xdr:cNvCxnSpPr/>
      </xdr:nvCxnSpPr>
      <xdr:spPr>
        <a:xfrm rot="5400000">
          <a:off x="3040674" y="3069983"/>
          <a:ext cx="518746" cy="253511"/>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16119</xdr:colOff>
      <xdr:row>28</xdr:row>
      <xdr:rowOff>52021</xdr:rowOff>
    </xdr:from>
    <xdr:to>
      <xdr:col>32</xdr:col>
      <xdr:colOff>97448</xdr:colOff>
      <xdr:row>29</xdr:row>
      <xdr:rowOff>27840</xdr:rowOff>
    </xdr:to>
    <xdr:cxnSp macro="">
      <xdr:nvCxnSpPr>
        <xdr:cNvPr id="61" name="Straight Arrow Connector 60">
          <a:extLst>
            <a:ext uri="{FF2B5EF4-FFF2-40B4-BE49-F238E27FC236}">
              <a16:creationId xmlns:a16="http://schemas.microsoft.com/office/drawing/2014/main" id="{00000000-0008-0000-1500-00003D000000}"/>
            </a:ext>
          </a:extLst>
        </xdr:cNvPr>
        <xdr:cNvCxnSpPr/>
      </xdr:nvCxnSpPr>
      <xdr:spPr>
        <a:xfrm rot="10800000" flipV="1">
          <a:off x="3415811" y="3539636"/>
          <a:ext cx="579560" cy="100377"/>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95250</xdr:colOff>
      <xdr:row>14</xdr:row>
      <xdr:rowOff>28575</xdr:rowOff>
    </xdr:from>
    <xdr:ext cx="963800" cy="311715"/>
    <xdr:sp macro="" textlink="">
      <xdr:nvSpPr>
        <xdr:cNvPr id="62" name="Rectangle 61">
          <a:extLst>
            <a:ext uri="{FF2B5EF4-FFF2-40B4-BE49-F238E27FC236}">
              <a16:creationId xmlns:a16="http://schemas.microsoft.com/office/drawing/2014/main" id="{00000000-0008-0000-1500-00003E000000}"/>
            </a:ext>
          </a:extLst>
        </xdr:cNvPr>
        <xdr:cNvSpPr/>
      </xdr:nvSpPr>
      <xdr:spPr>
        <a:xfrm>
          <a:off x="962025" y="17621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95250</xdr:colOff>
      <xdr:row>16</xdr:row>
      <xdr:rowOff>28575</xdr:rowOff>
    </xdr:from>
    <xdr:ext cx="963800" cy="311715"/>
    <xdr:sp macro="" textlink="">
      <xdr:nvSpPr>
        <xdr:cNvPr id="63" name="Rectangle 62">
          <a:extLst>
            <a:ext uri="{FF2B5EF4-FFF2-40B4-BE49-F238E27FC236}">
              <a16:creationId xmlns:a16="http://schemas.microsoft.com/office/drawing/2014/main" id="{00000000-0008-0000-1500-00003F000000}"/>
            </a:ext>
          </a:extLst>
        </xdr:cNvPr>
        <xdr:cNvSpPr/>
      </xdr:nvSpPr>
      <xdr:spPr>
        <a:xfrm>
          <a:off x="5543550" y="200977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xdr:col>
      <xdr:colOff>0</xdr:colOff>
      <xdr:row>56</xdr:row>
      <xdr:rowOff>38100</xdr:rowOff>
    </xdr:from>
    <xdr:ext cx="963800" cy="311715"/>
    <xdr:sp macro="" textlink="">
      <xdr:nvSpPr>
        <xdr:cNvPr id="64" name="Rectangle 63">
          <a:extLst>
            <a:ext uri="{FF2B5EF4-FFF2-40B4-BE49-F238E27FC236}">
              <a16:creationId xmlns:a16="http://schemas.microsoft.com/office/drawing/2014/main" id="{00000000-0008-0000-1500-000040000000}"/>
            </a:ext>
          </a:extLst>
        </xdr:cNvPr>
        <xdr:cNvSpPr/>
      </xdr:nvSpPr>
      <xdr:spPr>
        <a:xfrm>
          <a:off x="1028700" y="697230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45</xdr:col>
      <xdr:colOff>28575</xdr:colOff>
      <xdr:row>56</xdr:row>
      <xdr:rowOff>47625</xdr:rowOff>
    </xdr:from>
    <xdr:ext cx="963800" cy="311715"/>
    <xdr:sp macro="" textlink="">
      <xdr:nvSpPr>
        <xdr:cNvPr id="65" name="Rectangle 64">
          <a:extLst>
            <a:ext uri="{FF2B5EF4-FFF2-40B4-BE49-F238E27FC236}">
              <a16:creationId xmlns:a16="http://schemas.microsoft.com/office/drawing/2014/main" id="{00000000-0008-0000-1500-000041000000}"/>
            </a:ext>
          </a:extLst>
        </xdr:cNvPr>
        <xdr:cNvSpPr/>
      </xdr:nvSpPr>
      <xdr:spPr>
        <a:xfrm>
          <a:off x="5514975" y="69818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44</xdr:col>
      <xdr:colOff>76202</xdr:colOff>
      <xdr:row>36</xdr:row>
      <xdr:rowOff>46893</xdr:rowOff>
    </xdr:from>
    <xdr:to>
      <xdr:col>48</xdr:col>
      <xdr:colOff>95251</xdr:colOff>
      <xdr:row>38</xdr:row>
      <xdr:rowOff>9526</xdr:rowOff>
    </xdr:to>
    <xdr:cxnSp macro="">
      <xdr:nvCxnSpPr>
        <xdr:cNvPr id="66" name="Straight Arrow Connector 65">
          <a:extLst>
            <a:ext uri="{FF2B5EF4-FFF2-40B4-BE49-F238E27FC236}">
              <a16:creationId xmlns:a16="http://schemas.microsoft.com/office/drawing/2014/main" id="{00000000-0008-0000-1500-000042000000}"/>
            </a:ext>
          </a:extLst>
        </xdr:cNvPr>
        <xdr:cNvCxnSpPr/>
      </xdr:nvCxnSpPr>
      <xdr:spPr>
        <a:xfrm rot="10800000">
          <a:off x="5400677" y="4504593"/>
          <a:ext cx="514349" cy="210283"/>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57152</xdr:colOff>
      <xdr:row>37</xdr:row>
      <xdr:rowOff>30771</xdr:rowOff>
    </xdr:from>
    <xdr:to>
      <xdr:col>43</xdr:col>
      <xdr:colOff>85726</xdr:colOff>
      <xdr:row>42</xdr:row>
      <xdr:rowOff>28575</xdr:rowOff>
    </xdr:to>
    <xdr:cxnSp macro="">
      <xdr:nvCxnSpPr>
        <xdr:cNvPr id="67" name="Straight Arrow Connector 66">
          <a:extLst>
            <a:ext uri="{FF2B5EF4-FFF2-40B4-BE49-F238E27FC236}">
              <a16:creationId xmlns:a16="http://schemas.microsoft.com/office/drawing/2014/main" id="{00000000-0008-0000-1500-000043000000}"/>
            </a:ext>
          </a:extLst>
        </xdr:cNvPr>
        <xdr:cNvCxnSpPr/>
      </xdr:nvCxnSpPr>
      <xdr:spPr>
        <a:xfrm rot="16200000" flipV="1">
          <a:off x="4963624" y="4906474"/>
          <a:ext cx="616929" cy="2857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73271</xdr:colOff>
      <xdr:row>54</xdr:row>
      <xdr:rowOff>87924</xdr:rowOff>
    </xdr:from>
    <xdr:to>
      <xdr:col>36</xdr:col>
      <xdr:colOff>25647</xdr:colOff>
      <xdr:row>58</xdr:row>
      <xdr:rowOff>117232</xdr:rowOff>
    </xdr:to>
    <xdr:cxnSp macro="">
      <xdr:nvCxnSpPr>
        <xdr:cNvPr id="68" name="Straight Arrow Connector 67">
          <a:extLst>
            <a:ext uri="{FF2B5EF4-FFF2-40B4-BE49-F238E27FC236}">
              <a16:creationId xmlns:a16="http://schemas.microsoft.com/office/drawing/2014/main" id="{00000000-0008-0000-1500-000044000000}"/>
            </a:ext>
          </a:extLst>
        </xdr:cNvPr>
        <xdr:cNvCxnSpPr/>
      </xdr:nvCxnSpPr>
      <xdr:spPr>
        <a:xfrm rot="5400000" flipH="1" flipV="1">
          <a:off x="4057285" y="6977063"/>
          <a:ext cx="527539" cy="201492"/>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87190</xdr:colOff>
      <xdr:row>53</xdr:row>
      <xdr:rowOff>31502</xdr:rowOff>
    </xdr:from>
    <xdr:to>
      <xdr:col>35</xdr:col>
      <xdr:colOff>38832</xdr:colOff>
      <xdr:row>54</xdr:row>
      <xdr:rowOff>9525</xdr:rowOff>
    </xdr:to>
    <xdr:cxnSp macro="">
      <xdr:nvCxnSpPr>
        <xdr:cNvPr id="69" name="Straight Arrow Connector 68">
          <a:extLst>
            <a:ext uri="{FF2B5EF4-FFF2-40B4-BE49-F238E27FC236}">
              <a16:creationId xmlns:a16="http://schemas.microsoft.com/office/drawing/2014/main" id="{00000000-0008-0000-1500-000045000000}"/>
            </a:ext>
          </a:extLst>
        </xdr:cNvPr>
        <xdr:cNvCxnSpPr/>
      </xdr:nvCxnSpPr>
      <xdr:spPr>
        <a:xfrm flipV="1">
          <a:off x="3735998" y="6633060"/>
          <a:ext cx="574430" cy="102580"/>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8059</xdr:colOff>
      <xdr:row>44</xdr:row>
      <xdr:rowOff>31506</xdr:rowOff>
    </xdr:from>
    <xdr:to>
      <xdr:col>17</xdr:col>
      <xdr:colOff>27110</xdr:colOff>
      <xdr:row>46</xdr:row>
      <xdr:rowOff>1465</xdr:rowOff>
    </xdr:to>
    <xdr:cxnSp macro="">
      <xdr:nvCxnSpPr>
        <xdr:cNvPr id="70" name="Straight Arrow Connector 69">
          <a:extLst>
            <a:ext uri="{FF2B5EF4-FFF2-40B4-BE49-F238E27FC236}">
              <a16:creationId xmlns:a16="http://schemas.microsoft.com/office/drawing/2014/main" id="{00000000-0008-0000-1500-000046000000}"/>
            </a:ext>
          </a:extLst>
        </xdr:cNvPr>
        <xdr:cNvCxnSpPr/>
      </xdr:nvCxnSpPr>
      <xdr:spPr>
        <a:xfrm>
          <a:off x="1539386" y="5512044"/>
          <a:ext cx="517282" cy="219075"/>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90122</xdr:colOff>
      <xdr:row>40</xdr:row>
      <xdr:rowOff>54950</xdr:rowOff>
    </xdr:from>
    <xdr:to>
      <xdr:col>19</xdr:col>
      <xdr:colOff>13188</xdr:colOff>
      <xdr:row>44</xdr:row>
      <xdr:rowOff>114296</xdr:rowOff>
    </xdr:to>
    <xdr:cxnSp macro="">
      <xdr:nvCxnSpPr>
        <xdr:cNvPr id="71" name="Straight Arrow Connector 70">
          <a:extLst>
            <a:ext uri="{FF2B5EF4-FFF2-40B4-BE49-F238E27FC236}">
              <a16:creationId xmlns:a16="http://schemas.microsoft.com/office/drawing/2014/main" id="{00000000-0008-0000-1500-000047000000}"/>
            </a:ext>
          </a:extLst>
        </xdr:cNvPr>
        <xdr:cNvCxnSpPr/>
      </xdr:nvCxnSpPr>
      <xdr:spPr>
        <a:xfrm rot="16200000" flipH="1">
          <a:off x="1989261" y="5292234"/>
          <a:ext cx="557576" cy="47624"/>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70094</xdr:colOff>
      <xdr:row>35</xdr:row>
      <xdr:rowOff>9726</xdr:rowOff>
    </xdr:from>
    <xdr:to>
      <xdr:col>43</xdr:col>
      <xdr:colOff>121382</xdr:colOff>
      <xdr:row>36</xdr:row>
      <xdr:rowOff>68341</xdr:rowOff>
    </xdr:to>
    <xdr:sp macro="" textlink="">
      <xdr:nvSpPr>
        <xdr:cNvPr id="72" name="Oval 71">
          <a:extLst>
            <a:ext uri="{FF2B5EF4-FFF2-40B4-BE49-F238E27FC236}">
              <a16:creationId xmlns:a16="http://schemas.microsoft.com/office/drawing/2014/main" id="{00000000-0008-0000-1500-000048000000}"/>
            </a:ext>
          </a:extLst>
        </xdr:cNvPr>
        <xdr:cNvSpPr/>
      </xdr:nvSpPr>
      <xdr:spPr>
        <a:xfrm>
          <a:off x="5146919" y="4343601"/>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36</xdr:col>
      <xdr:colOff>57150</xdr:colOff>
      <xdr:row>52</xdr:row>
      <xdr:rowOff>76200</xdr:rowOff>
    </xdr:from>
    <xdr:to>
      <xdr:col>37</xdr:col>
      <xdr:colOff>108438</xdr:colOff>
      <xdr:row>54</xdr:row>
      <xdr:rowOff>10990</xdr:rowOff>
    </xdr:to>
    <xdr:sp macro="" textlink="">
      <xdr:nvSpPr>
        <xdr:cNvPr id="73" name="Oval 72">
          <a:extLst>
            <a:ext uri="{FF2B5EF4-FFF2-40B4-BE49-F238E27FC236}">
              <a16:creationId xmlns:a16="http://schemas.microsoft.com/office/drawing/2014/main" id="{00000000-0008-0000-1500-000049000000}"/>
            </a:ext>
          </a:extLst>
        </xdr:cNvPr>
        <xdr:cNvSpPr/>
      </xdr:nvSpPr>
      <xdr:spPr>
        <a:xfrm>
          <a:off x="4391025" y="651510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47625</xdr:colOff>
      <xdr:row>46</xdr:row>
      <xdr:rowOff>47625</xdr:rowOff>
    </xdr:from>
    <xdr:to>
      <xdr:col>19</xdr:col>
      <xdr:colOff>98913</xdr:colOff>
      <xdr:row>47</xdr:row>
      <xdr:rowOff>106240</xdr:rowOff>
    </xdr:to>
    <xdr:sp macro="" textlink="">
      <xdr:nvSpPr>
        <xdr:cNvPr id="74" name="Oval 73">
          <a:extLst>
            <a:ext uri="{FF2B5EF4-FFF2-40B4-BE49-F238E27FC236}">
              <a16:creationId xmlns:a16="http://schemas.microsoft.com/office/drawing/2014/main" id="{00000000-0008-0000-1500-00004A000000}"/>
            </a:ext>
          </a:extLst>
        </xdr:cNvPr>
        <xdr:cNvSpPr/>
      </xdr:nvSpPr>
      <xdr:spPr>
        <a:xfrm>
          <a:off x="2152650" y="574357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24</xdr:col>
      <xdr:colOff>114300</xdr:colOff>
      <xdr:row>28</xdr:row>
      <xdr:rowOff>76200</xdr:rowOff>
    </xdr:from>
    <xdr:to>
      <xdr:col>26</xdr:col>
      <xdr:colOff>41763</xdr:colOff>
      <xdr:row>30</xdr:row>
      <xdr:rowOff>10990</xdr:rowOff>
    </xdr:to>
    <xdr:sp macro="" textlink="">
      <xdr:nvSpPr>
        <xdr:cNvPr id="75" name="Oval 74">
          <a:extLst>
            <a:ext uri="{FF2B5EF4-FFF2-40B4-BE49-F238E27FC236}">
              <a16:creationId xmlns:a16="http://schemas.microsoft.com/office/drawing/2014/main" id="{00000000-0008-0000-1500-00004B000000}"/>
            </a:ext>
          </a:extLst>
        </xdr:cNvPr>
        <xdr:cNvSpPr/>
      </xdr:nvSpPr>
      <xdr:spPr>
        <a:xfrm>
          <a:off x="2962275" y="3543300"/>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2592</xdr:colOff>
      <xdr:row>23</xdr:row>
      <xdr:rowOff>99174</xdr:rowOff>
    </xdr:from>
    <xdr:to>
      <xdr:col>25</xdr:col>
      <xdr:colOff>4914</xdr:colOff>
      <xdr:row>28</xdr:row>
      <xdr:rowOff>69301</xdr:rowOff>
    </xdr:to>
    <xdr:cxnSp macro="">
      <xdr:nvCxnSpPr>
        <xdr:cNvPr id="76" name="Straight Connector 75">
          <a:extLst>
            <a:ext uri="{FF2B5EF4-FFF2-40B4-BE49-F238E27FC236}">
              <a16:creationId xmlns:a16="http://schemas.microsoft.com/office/drawing/2014/main" id="{00000000-0008-0000-1500-00004C000000}"/>
            </a:ext>
          </a:extLst>
        </xdr:cNvPr>
        <xdr:cNvCxnSpPr/>
      </xdr:nvCxnSpPr>
      <xdr:spPr>
        <a:xfrm rot="16200000" flipV="1">
          <a:off x="2209439" y="2733268"/>
          <a:ext cx="586451" cy="98844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114301</xdr:colOff>
      <xdr:row>47</xdr:row>
      <xdr:rowOff>106240</xdr:rowOff>
    </xdr:from>
    <xdr:to>
      <xdr:col>19</xdr:col>
      <xdr:colOff>11358</xdr:colOff>
      <xdr:row>58</xdr:row>
      <xdr:rowOff>104976</xdr:rowOff>
    </xdr:to>
    <xdr:cxnSp macro="">
      <xdr:nvCxnSpPr>
        <xdr:cNvPr id="77" name="Straight Connector 76">
          <a:extLst>
            <a:ext uri="{FF2B5EF4-FFF2-40B4-BE49-F238E27FC236}">
              <a16:creationId xmlns:a16="http://schemas.microsoft.com/office/drawing/2014/main" id="{00000000-0008-0000-1500-00004D000000}"/>
            </a:ext>
          </a:extLst>
        </xdr:cNvPr>
        <xdr:cNvCxnSpPr>
          <a:endCxn id="74" idx="4"/>
        </xdr:cNvCxnSpPr>
      </xdr:nvCxnSpPr>
      <xdr:spPr>
        <a:xfrm rot="5400000" flipH="1" flipV="1">
          <a:off x="1425536" y="6472155"/>
          <a:ext cx="1360811" cy="268532"/>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0</xdr:colOff>
      <xdr:row>37</xdr:row>
      <xdr:rowOff>38100</xdr:rowOff>
    </xdr:from>
    <xdr:to>
      <xdr:col>97</xdr:col>
      <xdr:colOff>66674</xdr:colOff>
      <xdr:row>41</xdr:row>
      <xdr:rowOff>19050</xdr:rowOff>
    </xdr:to>
    <xdr:sp macro="" textlink="">
      <xdr:nvSpPr>
        <xdr:cNvPr id="57" name="Right Arrow 56">
          <a:hlinkClick xmlns:r="http://schemas.openxmlformats.org/officeDocument/2006/relationships" r:id="rId2"/>
          <a:extLst>
            <a:ext uri="{FF2B5EF4-FFF2-40B4-BE49-F238E27FC236}">
              <a16:creationId xmlns:a16="http://schemas.microsoft.com/office/drawing/2014/main" id="{00000000-0008-0000-1500-000039000000}"/>
            </a:ext>
          </a:extLst>
        </xdr:cNvPr>
        <xdr:cNvSpPr/>
      </xdr:nvSpPr>
      <xdr:spPr>
        <a:xfrm>
          <a:off x="3133725" y="1369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twoCellAnchor>
    <xdr:from>
      <xdr:col>93</xdr:col>
      <xdr:colOff>104775</xdr:colOff>
      <xdr:row>27</xdr:row>
      <xdr:rowOff>66675</xdr:rowOff>
    </xdr:from>
    <xdr:to>
      <xdr:col>96</xdr:col>
      <xdr:colOff>54151</xdr:colOff>
      <xdr:row>28</xdr:row>
      <xdr:rowOff>73743</xdr:rowOff>
    </xdr:to>
    <xdr:sp macro="" textlink="">
      <xdr:nvSpPr>
        <xdr:cNvPr id="81" name="Freccia in giù 9">
          <a:extLst>
            <a:ext uri="{FF2B5EF4-FFF2-40B4-BE49-F238E27FC236}">
              <a16:creationId xmlns:a16="http://schemas.microsoft.com/office/drawing/2014/main" id="{00000000-0008-0000-1500-000051000000}"/>
            </a:ext>
          </a:extLst>
        </xdr:cNvPr>
        <xdr:cNvSpPr/>
      </xdr:nvSpPr>
      <xdr:spPr>
        <a:xfrm rot="4265451">
          <a:off x="3952604" y="12516121"/>
          <a:ext cx="130893" cy="3208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80757</xdr:colOff>
      <xdr:row>34</xdr:row>
      <xdr:rowOff>85726</xdr:rowOff>
    </xdr:from>
    <xdr:to>
      <xdr:col>102</xdr:col>
      <xdr:colOff>77512</xdr:colOff>
      <xdr:row>37</xdr:row>
      <xdr:rowOff>51577</xdr:rowOff>
    </xdr:to>
    <xdr:sp macro="" textlink="">
      <xdr:nvSpPr>
        <xdr:cNvPr id="82" name="Freccia in giù 9">
          <a:extLst>
            <a:ext uri="{FF2B5EF4-FFF2-40B4-BE49-F238E27FC236}">
              <a16:creationId xmlns:a16="http://schemas.microsoft.com/office/drawing/2014/main" id="{00000000-0008-0000-1500-000052000000}"/>
            </a:ext>
          </a:extLst>
        </xdr:cNvPr>
        <xdr:cNvSpPr/>
      </xdr:nvSpPr>
      <xdr:spPr>
        <a:xfrm rot="9723139">
          <a:off x="4824207" y="13496926"/>
          <a:ext cx="120580"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67503</xdr:colOff>
      <xdr:row>39</xdr:row>
      <xdr:rowOff>89867</xdr:rowOff>
    </xdr:from>
    <xdr:to>
      <xdr:col>84</xdr:col>
      <xdr:colOff>59711</xdr:colOff>
      <xdr:row>42</xdr:row>
      <xdr:rowOff>38341</xdr:rowOff>
    </xdr:to>
    <xdr:sp macro="" textlink="">
      <xdr:nvSpPr>
        <xdr:cNvPr id="83" name="Freccia in giù 9">
          <a:extLst>
            <a:ext uri="{FF2B5EF4-FFF2-40B4-BE49-F238E27FC236}">
              <a16:creationId xmlns:a16="http://schemas.microsoft.com/office/drawing/2014/main" id="{00000000-0008-0000-1500-000053000000}"/>
            </a:ext>
          </a:extLst>
        </xdr:cNvPr>
        <xdr:cNvSpPr/>
      </xdr:nvSpPr>
      <xdr:spPr>
        <a:xfrm rot="20584512">
          <a:off x="2582103" y="14120192"/>
          <a:ext cx="116033"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85312</xdr:colOff>
      <xdr:row>49</xdr:row>
      <xdr:rowOff>54251</xdr:rowOff>
    </xdr:from>
    <xdr:to>
      <xdr:col>96</xdr:col>
      <xdr:colOff>52163</xdr:colOff>
      <xdr:row>50</xdr:row>
      <xdr:rowOff>48957</xdr:rowOff>
    </xdr:to>
    <xdr:sp macro="" textlink="">
      <xdr:nvSpPr>
        <xdr:cNvPr id="84" name="Freccia in giù 9">
          <a:extLst>
            <a:ext uri="{FF2B5EF4-FFF2-40B4-BE49-F238E27FC236}">
              <a16:creationId xmlns:a16="http://schemas.microsoft.com/office/drawing/2014/main" id="{00000000-0008-0000-1500-000054000000}"/>
            </a:ext>
          </a:extLst>
        </xdr:cNvPr>
        <xdr:cNvSpPr/>
      </xdr:nvSpPr>
      <xdr:spPr>
        <a:xfrm rot="15201463">
          <a:off x="3948059" y="15212929"/>
          <a:ext cx="118531" cy="338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19</xdr:col>
      <xdr:colOff>92360</xdr:colOff>
      <xdr:row>18</xdr:row>
      <xdr:rowOff>84244</xdr:rowOff>
    </xdr:from>
    <xdr:to>
      <xdr:col>41</xdr:col>
      <xdr:colOff>5489</xdr:colOff>
      <xdr:row>61</xdr:row>
      <xdr:rowOff>39218</xdr:rowOff>
    </xdr:to>
    <xdr:pic>
      <xdr:nvPicPr>
        <xdr:cNvPr id="90" name="Picture 89" descr="2x1 Lane Roundabout-Model.jpg">
          <a:extLst>
            <a:ext uri="{FF2B5EF4-FFF2-40B4-BE49-F238E27FC236}">
              <a16:creationId xmlns:a16="http://schemas.microsoft.com/office/drawing/2014/main" id="{00000000-0008-0000-1600-00005A000000}"/>
            </a:ext>
          </a:extLst>
        </xdr:cNvPr>
        <xdr:cNvPicPr>
          <a:picLocks noChangeAspect="1"/>
        </xdr:cNvPicPr>
      </xdr:nvPicPr>
      <xdr:blipFill>
        <a:blip xmlns:r="http://schemas.openxmlformats.org/officeDocument/2006/relationships" r:embed="rId1" cstate="print"/>
        <a:srcRect l="27571" t="9347" r="28261" b="11599"/>
        <a:stretch>
          <a:fillRect/>
        </a:stretch>
      </xdr:blipFill>
      <xdr:spPr>
        <a:xfrm rot="10800000" flipH="1" flipV="1">
          <a:off x="2359310" y="2313094"/>
          <a:ext cx="2637279" cy="5279449"/>
        </a:xfrm>
        <a:prstGeom prst="rect">
          <a:avLst/>
        </a:prstGeom>
      </xdr:spPr>
    </xdr:pic>
    <xdr:clientData/>
  </xdr:twoCellAnchor>
  <xdr:twoCellAnchor editAs="oneCell">
    <xdr:from>
      <xdr:col>7</xdr:col>
      <xdr:colOff>121442</xdr:colOff>
      <xdr:row>27</xdr:row>
      <xdr:rowOff>5288</xdr:rowOff>
    </xdr:from>
    <xdr:to>
      <xdr:col>54</xdr:col>
      <xdr:colOff>84074</xdr:colOff>
      <xdr:row>51</xdr:row>
      <xdr:rowOff>81170</xdr:rowOff>
    </xdr:to>
    <xdr:pic>
      <xdr:nvPicPr>
        <xdr:cNvPr id="91" name="Picture 90" descr="2x1 Lane Roundabout-Model.jpg">
          <a:extLst>
            <a:ext uri="{FF2B5EF4-FFF2-40B4-BE49-F238E27FC236}">
              <a16:creationId xmlns:a16="http://schemas.microsoft.com/office/drawing/2014/main" id="{00000000-0008-0000-1600-00005B000000}"/>
            </a:ext>
          </a:extLst>
        </xdr:cNvPr>
        <xdr:cNvPicPr>
          <a:picLocks noChangeAspect="1"/>
        </xdr:cNvPicPr>
      </xdr:nvPicPr>
      <xdr:blipFill>
        <a:blip xmlns:r="http://schemas.openxmlformats.org/officeDocument/2006/relationships" r:embed="rId1" cstate="print"/>
        <a:srcRect l="3087" t="24912" r="96" b="29454"/>
        <a:stretch>
          <a:fillRect/>
        </a:stretch>
      </xdr:blipFill>
      <xdr:spPr>
        <a:xfrm rot="10800000" flipH="1" flipV="1">
          <a:off x="902492" y="3348563"/>
          <a:ext cx="5782407" cy="3047682"/>
        </a:xfrm>
        <a:prstGeom prst="rect">
          <a:avLst/>
        </a:prstGeom>
      </xdr:spPr>
    </xdr:pic>
    <xdr:clientData/>
  </xdr:twoCellAnchor>
  <xdr:twoCellAnchor>
    <xdr:from>
      <xdr:col>75</xdr:col>
      <xdr:colOff>53688</xdr:colOff>
      <xdr:row>15</xdr:row>
      <xdr:rowOff>62470</xdr:rowOff>
    </xdr:from>
    <xdr:to>
      <xdr:col>77</xdr:col>
      <xdr:colOff>77017</xdr:colOff>
      <xdr:row>17</xdr:row>
      <xdr:rowOff>109538</xdr:rowOff>
    </xdr:to>
    <xdr:sp macro="" textlink="">
      <xdr:nvSpPr>
        <xdr:cNvPr id="3" name="Freccia curva 8">
          <a:extLst>
            <a:ext uri="{FF2B5EF4-FFF2-40B4-BE49-F238E27FC236}">
              <a16:creationId xmlns:a16="http://schemas.microsoft.com/office/drawing/2014/main" id="{00000000-0008-0000-1600-000003000000}"/>
            </a:ext>
          </a:extLst>
        </xdr:cNvPr>
        <xdr:cNvSpPr/>
      </xdr:nvSpPr>
      <xdr:spPr>
        <a:xfrm rot="10800000" flipH="1">
          <a:off x="3558888" y="102923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55058</xdr:colOff>
      <xdr:row>15</xdr:row>
      <xdr:rowOff>67264</xdr:rowOff>
    </xdr:from>
    <xdr:to>
      <xdr:col>80</xdr:col>
      <xdr:colOff>84922</xdr:colOff>
      <xdr:row>17</xdr:row>
      <xdr:rowOff>123518</xdr:rowOff>
    </xdr:to>
    <xdr:sp macro="" textlink="">
      <xdr:nvSpPr>
        <xdr:cNvPr id="4" name="Freccia a inversione 13">
          <a:extLst>
            <a:ext uri="{FF2B5EF4-FFF2-40B4-BE49-F238E27FC236}">
              <a16:creationId xmlns:a16="http://schemas.microsoft.com/office/drawing/2014/main" id="{00000000-0008-0000-1600-000004000000}"/>
            </a:ext>
          </a:extLst>
        </xdr:cNvPr>
        <xdr:cNvSpPr/>
      </xdr:nvSpPr>
      <xdr:spPr>
        <a:xfrm flipV="1">
          <a:off x="3931733" y="102971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101397</xdr:colOff>
      <xdr:row>15</xdr:row>
      <xdr:rowOff>51932</xdr:rowOff>
    </xdr:from>
    <xdr:to>
      <xdr:col>73</xdr:col>
      <xdr:colOff>114211</xdr:colOff>
      <xdr:row>17</xdr:row>
      <xdr:rowOff>95625</xdr:rowOff>
    </xdr:to>
    <xdr:sp macro="" textlink="">
      <xdr:nvSpPr>
        <xdr:cNvPr id="5" name="Freccia in giù 9">
          <a:extLst>
            <a:ext uri="{FF2B5EF4-FFF2-40B4-BE49-F238E27FC236}">
              <a16:creationId xmlns:a16="http://schemas.microsoft.com/office/drawing/2014/main" id="{00000000-0008-0000-1600-000005000000}"/>
            </a:ext>
          </a:extLst>
        </xdr:cNvPr>
        <xdr:cNvSpPr/>
      </xdr:nvSpPr>
      <xdr:spPr>
        <a:xfrm>
          <a:off x="3235122" y="102817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69</xdr:col>
      <xdr:colOff>32507</xdr:colOff>
      <xdr:row>15</xdr:row>
      <xdr:rowOff>111530</xdr:rowOff>
    </xdr:from>
    <xdr:to>
      <xdr:col>71</xdr:col>
      <xdr:colOff>65439</xdr:colOff>
      <xdr:row>18</xdr:row>
      <xdr:rowOff>9683</xdr:rowOff>
    </xdr:to>
    <xdr:sp macro="" textlink="">
      <xdr:nvSpPr>
        <xdr:cNvPr id="6" name="Freccia curva 7">
          <a:extLst>
            <a:ext uri="{FF2B5EF4-FFF2-40B4-BE49-F238E27FC236}">
              <a16:creationId xmlns:a16="http://schemas.microsoft.com/office/drawing/2014/main" id="{00000000-0008-0000-1600-000006000000}"/>
            </a:ext>
          </a:extLst>
        </xdr:cNvPr>
        <xdr:cNvSpPr/>
      </xdr:nvSpPr>
      <xdr:spPr>
        <a:xfrm rot="10800000">
          <a:off x="2794757" y="103413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66020</xdr:colOff>
      <xdr:row>39</xdr:row>
      <xdr:rowOff>58156</xdr:rowOff>
    </xdr:from>
    <xdr:to>
      <xdr:col>67</xdr:col>
      <xdr:colOff>24702</xdr:colOff>
      <xdr:row>41</xdr:row>
      <xdr:rowOff>69436</xdr:rowOff>
    </xdr:to>
    <xdr:sp macro="" textlink="">
      <xdr:nvSpPr>
        <xdr:cNvPr id="7" name="Freccia a inversione 13">
          <a:extLst>
            <a:ext uri="{FF2B5EF4-FFF2-40B4-BE49-F238E27FC236}">
              <a16:creationId xmlns:a16="http://schemas.microsoft.com/office/drawing/2014/main" id="{00000000-0008-0000-1600-000007000000}"/>
            </a:ext>
          </a:extLst>
        </xdr:cNvPr>
        <xdr:cNvSpPr/>
      </xdr:nvSpPr>
      <xdr:spPr>
        <a:xfrm rot="16200000" flipV="1">
          <a:off x="263559" y="138433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51289</xdr:colOff>
      <xdr:row>42</xdr:row>
      <xdr:rowOff>58615</xdr:rowOff>
    </xdr:from>
    <xdr:to>
      <xdr:col>66</xdr:col>
      <xdr:colOff>116943</xdr:colOff>
      <xdr:row>44</xdr:row>
      <xdr:rowOff>63358</xdr:rowOff>
    </xdr:to>
    <xdr:sp macro="" textlink="">
      <xdr:nvSpPr>
        <xdr:cNvPr id="8" name="Freccia curva 8">
          <a:extLst>
            <a:ext uri="{FF2B5EF4-FFF2-40B4-BE49-F238E27FC236}">
              <a16:creationId xmlns:a16="http://schemas.microsoft.com/office/drawing/2014/main" id="{00000000-0008-0000-1600-000008000000}"/>
            </a:ext>
          </a:extLst>
        </xdr:cNvPr>
        <xdr:cNvSpPr/>
      </xdr:nvSpPr>
      <xdr:spPr>
        <a:xfrm rot="5400000" flipH="1">
          <a:off x="243669" y="142204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73270</xdr:colOff>
      <xdr:row>48</xdr:row>
      <xdr:rowOff>80596</xdr:rowOff>
    </xdr:from>
    <xdr:to>
      <xdr:col>66</xdr:col>
      <xdr:colOff>134510</xdr:colOff>
      <xdr:row>50</xdr:row>
      <xdr:rowOff>94943</xdr:rowOff>
    </xdr:to>
    <xdr:sp macro="" textlink="">
      <xdr:nvSpPr>
        <xdr:cNvPr id="9" name="Freccia curva 7">
          <a:extLst>
            <a:ext uri="{FF2B5EF4-FFF2-40B4-BE49-F238E27FC236}">
              <a16:creationId xmlns:a16="http://schemas.microsoft.com/office/drawing/2014/main" id="{00000000-0008-0000-1600-000009000000}"/>
            </a:ext>
          </a:extLst>
        </xdr:cNvPr>
        <xdr:cNvSpPr/>
      </xdr:nvSpPr>
      <xdr:spPr>
        <a:xfrm rot="5400000">
          <a:off x="253879" y="149971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94</xdr:col>
      <xdr:colOff>67768</xdr:colOff>
      <xdr:row>48</xdr:row>
      <xdr:rowOff>122390</xdr:rowOff>
    </xdr:from>
    <xdr:ext cx="963800" cy="311715"/>
    <xdr:sp macro="" textlink="">
      <xdr:nvSpPr>
        <xdr:cNvPr id="10" name="Rectangle 9">
          <a:extLst>
            <a:ext uri="{FF2B5EF4-FFF2-40B4-BE49-F238E27FC236}">
              <a16:creationId xmlns:a16="http://schemas.microsoft.com/office/drawing/2014/main" id="{00000000-0008-0000-1600-00000A000000}"/>
            </a:ext>
          </a:extLst>
        </xdr:cNvPr>
        <xdr:cNvSpPr/>
      </xdr:nvSpPr>
      <xdr:spPr>
        <a:xfrm>
          <a:off x="3649168" y="1530524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64</xdr:col>
      <xdr:colOff>58937</xdr:colOff>
      <xdr:row>46</xdr:row>
      <xdr:rowOff>6397</xdr:rowOff>
    </xdr:from>
    <xdr:to>
      <xdr:col>67</xdr:col>
      <xdr:colOff>5058</xdr:colOff>
      <xdr:row>47</xdr:row>
      <xdr:rowOff>9918</xdr:rowOff>
    </xdr:to>
    <xdr:sp macro="" textlink="">
      <xdr:nvSpPr>
        <xdr:cNvPr id="11" name="Freccia in giù 9">
          <a:extLst>
            <a:ext uri="{FF2B5EF4-FFF2-40B4-BE49-F238E27FC236}">
              <a16:creationId xmlns:a16="http://schemas.microsoft.com/office/drawing/2014/main" id="{00000000-0008-0000-1600-00000B000000}"/>
            </a:ext>
          </a:extLst>
        </xdr:cNvPr>
        <xdr:cNvSpPr/>
      </xdr:nvSpPr>
      <xdr:spPr>
        <a:xfrm rot="16200000">
          <a:off x="315987" y="145988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2" name="Freccia curva 66">
          <a:extLst>
            <a:ext uri="{FF2B5EF4-FFF2-40B4-BE49-F238E27FC236}">
              <a16:creationId xmlns:a16="http://schemas.microsoft.com/office/drawing/2014/main" id="{00000000-0008-0000-1600-00000C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3" name="Freccia curva 66">
          <a:extLst>
            <a:ext uri="{FF2B5EF4-FFF2-40B4-BE49-F238E27FC236}">
              <a16:creationId xmlns:a16="http://schemas.microsoft.com/office/drawing/2014/main" id="{00000000-0008-0000-1600-00000D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4" name="Freccia curva 66">
          <a:extLst>
            <a:ext uri="{FF2B5EF4-FFF2-40B4-BE49-F238E27FC236}">
              <a16:creationId xmlns:a16="http://schemas.microsoft.com/office/drawing/2014/main" id="{00000000-0008-0000-1600-00000E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5" name="Freccia curva 66">
          <a:extLst>
            <a:ext uri="{FF2B5EF4-FFF2-40B4-BE49-F238E27FC236}">
              <a16:creationId xmlns:a16="http://schemas.microsoft.com/office/drawing/2014/main" id="{00000000-0008-0000-1600-00000F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96216</xdr:colOff>
      <xdr:row>61</xdr:row>
      <xdr:rowOff>91783</xdr:rowOff>
    </xdr:from>
    <xdr:to>
      <xdr:col>111</xdr:col>
      <xdr:colOff>109029</xdr:colOff>
      <xdr:row>64</xdr:row>
      <xdr:rowOff>10025</xdr:rowOff>
    </xdr:to>
    <xdr:sp macro="" textlink="">
      <xdr:nvSpPr>
        <xdr:cNvPr id="16" name="Freccia in giù 9">
          <a:extLst>
            <a:ext uri="{FF2B5EF4-FFF2-40B4-BE49-F238E27FC236}">
              <a16:creationId xmlns:a16="http://schemas.microsoft.com/office/drawing/2014/main" id="{00000000-0008-0000-1600-000010000000}"/>
            </a:ext>
          </a:extLst>
        </xdr:cNvPr>
        <xdr:cNvSpPr/>
      </xdr:nvSpPr>
      <xdr:spPr>
        <a:xfrm rot="10800000">
          <a:off x="4096716" y="175034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80</xdr:col>
      <xdr:colOff>45788</xdr:colOff>
      <xdr:row>46</xdr:row>
      <xdr:rowOff>36663</xdr:rowOff>
    </xdr:from>
    <xdr:ext cx="963800" cy="311715"/>
    <xdr:sp macro="" textlink="">
      <xdr:nvSpPr>
        <xdr:cNvPr id="17" name="Rectangle 16">
          <a:extLst>
            <a:ext uri="{FF2B5EF4-FFF2-40B4-BE49-F238E27FC236}">
              <a16:creationId xmlns:a16="http://schemas.microsoft.com/office/drawing/2014/main" id="{00000000-0008-0000-1600-000011000000}"/>
            </a:ext>
          </a:extLst>
        </xdr:cNvPr>
        <xdr:cNvSpPr/>
      </xdr:nvSpPr>
      <xdr:spPr>
        <a:xfrm>
          <a:off x="2026988" y="1497186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104</xdr:col>
      <xdr:colOff>46691</xdr:colOff>
      <xdr:row>61</xdr:row>
      <xdr:rowOff>118493</xdr:rowOff>
    </xdr:from>
    <xdr:to>
      <xdr:col>106</xdr:col>
      <xdr:colOff>74536</xdr:colOff>
      <xdr:row>64</xdr:row>
      <xdr:rowOff>52529</xdr:rowOff>
    </xdr:to>
    <xdr:sp macro="" textlink="">
      <xdr:nvSpPr>
        <xdr:cNvPr id="18" name="Freccia a inversione 13">
          <a:extLst>
            <a:ext uri="{FF2B5EF4-FFF2-40B4-BE49-F238E27FC236}">
              <a16:creationId xmlns:a16="http://schemas.microsoft.com/office/drawing/2014/main" id="{00000000-0008-0000-1600-000012000000}"/>
            </a:ext>
          </a:extLst>
        </xdr:cNvPr>
        <xdr:cNvSpPr/>
      </xdr:nvSpPr>
      <xdr:spPr>
        <a:xfrm rot="10800000" flipV="1">
          <a:off x="3304241" y="1753019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36089</xdr:colOff>
      <xdr:row>62</xdr:row>
      <xdr:rowOff>3514</xdr:rowOff>
    </xdr:from>
    <xdr:to>
      <xdr:col>109</xdr:col>
      <xdr:colOff>59418</xdr:colOff>
      <xdr:row>64</xdr:row>
      <xdr:rowOff>50582</xdr:rowOff>
    </xdr:to>
    <xdr:sp macro="" textlink="">
      <xdr:nvSpPr>
        <xdr:cNvPr id="19" name="Freccia curva 8">
          <a:extLst>
            <a:ext uri="{FF2B5EF4-FFF2-40B4-BE49-F238E27FC236}">
              <a16:creationId xmlns:a16="http://schemas.microsoft.com/office/drawing/2014/main" id="{00000000-0008-0000-1600-000013000000}"/>
            </a:ext>
          </a:extLst>
        </xdr:cNvPr>
        <xdr:cNvSpPr/>
      </xdr:nvSpPr>
      <xdr:spPr>
        <a:xfrm flipH="1">
          <a:off x="3665114" y="175390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94989</xdr:colOff>
      <xdr:row>38</xdr:row>
      <xdr:rowOff>82275</xdr:rowOff>
    </xdr:from>
    <xdr:to>
      <xdr:col>120</xdr:col>
      <xdr:colOff>56903</xdr:colOff>
      <xdr:row>40</xdr:row>
      <xdr:rowOff>91535</xdr:rowOff>
    </xdr:to>
    <xdr:sp macro="" textlink="">
      <xdr:nvSpPr>
        <xdr:cNvPr id="20" name="Freccia a inversione 13">
          <a:extLst>
            <a:ext uri="{FF2B5EF4-FFF2-40B4-BE49-F238E27FC236}">
              <a16:creationId xmlns:a16="http://schemas.microsoft.com/office/drawing/2014/main" id="{00000000-0008-0000-1600-000014000000}"/>
            </a:ext>
          </a:extLst>
        </xdr:cNvPr>
        <xdr:cNvSpPr/>
      </xdr:nvSpPr>
      <xdr:spPr>
        <a:xfrm rot="5400000" flipV="1">
          <a:off x="6981704" y="137409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97574</xdr:colOff>
      <xdr:row>33</xdr:row>
      <xdr:rowOff>4645</xdr:rowOff>
    </xdr:from>
    <xdr:to>
      <xdr:col>120</xdr:col>
      <xdr:colOff>43694</xdr:colOff>
      <xdr:row>34</xdr:row>
      <xdr:rowOff>8166</xdr:rowOff>
    </xdr:to>
    <xdr:sp macro="" textlink="">
      <xdr:nvSpPr>
        <xdr:cNvPr id="22" name="Freccia in giù 9">
          <a:extLst>
            <a:ext uri="{FF2B5EF4-FFF2-40B4-BE49-F238E27FC236}">
              <a16:creationId xmlns:a16="http://schemas.microsoft.com/office/drawing/2014/main" id="{00000000-0008-0000-1600-000016000000}"/>
            </a:ext>
          </a:extLst>
        </xdr:cNvPr>
        <xdr:cNvSpPr/>
      </xdr:nvSpPr>
      <xdr:spPr>
        <a:xfrm rot="5400000">
          <a:off x="7041174" y="129873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41799</xdr:colOff>
      <xdr:row>62</xdr:row>
      <xdr:rowOff>18603</xdr:rowOff>
    </xdr:from>
    <xdr:to>
      <xdr:col>115</xdr:col>
      <xdr:colOff>74730</xdr:colOff>
      <xdr:row>64</xdr:row>
      <xdr:rowOff>42207</xdr:rowOff>
    </xdr:to>
    <xdr:sp macro="" textlink="">
      <xdr:nvSpPr>
        <xdr:cNvPr id="23" name="Freccia curva 7">
          <a:extLst>
            <a:ext uri="{FF2B5EF4-FFF2-40B4-BE49-F238E27FC236}">
              <a16:creationId xmlns:a16="http://schemas.microsoft.com/office/drawing/2014/main" id="{00000000-0008-0000-1600-000017000000}"/>
            </a:ext>
          </a:extLst>
        </xdr:cNvPr>
        <xdr:cNvSpPr/>
      </xdr:nvSpPr>
      <xdr:spPr>
        <a:xfrm>
          <a:off x="4413774" y="175541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107674</xdr:colOff>
      <xdr:row>29</xdr:row>
      <xdr:rowOff>57978</xdr:rowOff>
    </xdr:from>
    <xdr:to>
      <xdr:col>120</xdr:col>
      <xdr:colOff>7038</xdr:colOff>
      <xdr:row>31</xdr:row>
      <xdr:rowOff>90910</xdr:rowOff>
    </xdr:to>
    <xdr:sp macro="" textlink="">
      <xdr:nvSpPr>
        <xdr:cNvPr id="24" name="Freccia curva 7">
          <a:extLst>
            <a:ext uri="{FF2B5EF4-FFF2-40B4-BE49-F238E27FC236}">
              <a16:creationId xmlns:a16="http://schemas.microsoft.com/office/drawing/2014/main" id="{00000000-0008-0000-1600-000018000000}"/>
            </a:ext>
          </a:extLst>
        </xdr:cNvPr>
        <xdr:cNvSpPr/>
      </xdr:nvSpPr>
      <xdr:spPr>
        <a:xfrm rot="16200000">
          <a:off x="6951278" y="126453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96</xdr:col>
      <xdr:colOff>28202</xdr:colOff>
      <xdr:row>31</xdr:row>
      <xdr:rowOff>12485</xdr:rowOff>
    </xdr:from>
    <xdr:ext cx="963800" cy="311715"/>
    <xdr:sp macro="" textlink="">
      <xdr:nvSpPr>
        <xdr:cNvPr id="25" name="Rectangle 24">
          <a:extLst>
            <a:ext uri="{FF2B5EF4-FFF2-40B4-BE49-F238E27FC236}">
              <a16:creationId xmlns:a16="http://schemas.microsoft.com/office/drawing/2014/main" id="{00000000-0008-0000-1600-000019000000}"/>
            </a:ext>
          </a:extLst>
        </xdr:cNvPr>
        <xdr:cNvSpPr/>
      </xdr:nvSpPr>
      <xdr:spPr>
        <a:xfrm>
          <a:off x="4152527" y="1296648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81</xdr:col>
      <xdr:colOff>103670</xdr:colOff>
      <xdr:row>28</xdr:row>
      <xdr:rowOff>35327</xdr:rowOff>
    </xdr:from>
    <xdr:ext cx="963800" cy="311715"/>
    <xdr:sp macro="" textlink="">
      <xdr:nvSpPr>
        <xdr:cNvPr id="26" name="Rectangle 25">
          <a:extLst>
            <a:ext uri="{FF2B5EF4-FFF2-40B4-BE49-F238E27FC236}">
              <a16:creationId xmlns:a16="http://schemas.microsoft.com/office/drawing/2014/main" id="{00000000-0008-0000-1600-00001A000000}"/>
            </a:ext>
          </a:extLst>
        </xdr:cNvPr>
        <xdr:cNvSpPr/>
      </xdr:nvSpPr>
      <xdr:spPr>
        <a:xfrm>
          <a:off x="2199170" y="1274167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104</xdr:col>
      <xdr:colOff>96216</xdr:colOff>
      <xdr:row>53</xdr:row>
      <xdr:rowOff>91783</xdr:rowOff>
    </xdr:from>
    <xdr:to>
      <xdr:col>105</xdr:col>
      <xdr:colOff>109029</xdr:colOff>
      <xdr:row>56</xdr:row>
      <xdr:rowOff>10025</xdr:rowOff>
    </xdr:to>
    <xdr:sp macro="" textlink="">
      <xdr:nvSpPr>
        <xdr:cNvPr id="27" name="Freccia in giù 9">
          <a:extLst>
            <a:ext uri="{FF2B5EF4-FFF2-40B4-BE49-F238E27FC236}">
              <a16:creationId xmlns:a16="http://schemas.microsoft.com/office/drawing/2014/main" id="{00000000-0008-0000-1600-00001B000000}"/>
            </a:ext>
          </a:extLst>
        </xdr:cNvPr>
        <xdr:cNvSpPr/>
      </xdr:nvSpPr>
      <xdr:spPr>
        <a:xfrm rot="10800000">
          <a:off x="4839666" y="157699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97574</xdr:colOff>
      <xdr:row>28</xdr:row>
      <xdr:rowOff>4645</xdr:rowOff>
    </xdr:from>
    <xdr:to>
      <xdr:col>107</xdr:col>
      <xdr:colOff>43694</xdr:colOff>
      <xdr:row>29</xdr:row>
      <xdr:rowOff>8166</xdr:rowOff>
    </xdr:to>
    <xdr:sp macro="" textlink="">
      <xdr:nvSpPr>
        <xdr:cNvPr id="28" name="Freccia in giù 9">
          <a:extLst>
            <a:ext uri="{FF2B5EF4-FFF2-40B4-BE49-F238E27FC236}">
              <a16:creationId xmlns:a16="http://schemas.microsoft.com/office/drawing/2014/main" id="{00000000-0008-0000-1600-00001C000000}"/>
            </a:ext>
          </a:extLst>
        </xdr:cNvPr>
        <xdr:cNvSpPr/>
      </xdr:nvSpPr>
      <xdr:spPr>
        <a:xfrm rot="5400000">
          <a:off x="5307624" y="124920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123377</xdr:colOff>
      <xdr:row>23</xdr:row>
      <xdr:rowOff>95893</xdr:rowOff>
    </xdr:from>
    <xdr:to>
      <xdr:col>80</xdr:col>
      <xdr:colOff>11633</xdr:colOff>
      <xdr:row>26</xdr:row>
      <xdr:rowOff>15028</xdr:rowOff>
    </xdr:to>
    <xdr:sp macro="" textlink="">
      <xdr:nvSpPr>
        <xdr:cNvPr id="29" name="Freccia in giù 9">
          <a:extLst>
            <a:ext uri="{FF2B5EF4-FFF2-40B4-BE49-F238E27FC236}">
              <a16:creationId xmlns:a16="http://schemas.microsoft.com/office/drawing/2014/main" id="{00000000-0008-0000-1600-00001D000000}"/>
            </a:ext>
          </a:extLst>
        </xdr:cNvPr>
        <xdr:cNvSpPr/>
      </xdr:nvSpPr>
      <xdr:spPr>
        <a:xfrm>
          <a:off x="2390327" y="1205929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54</xdr:row>
      <xdr:rowOff>6397</xdr:rowOff>
    </xdr:from>
    <xdr:to>
      <xdr:col>80</xdr:col>
      <xdr:colOff>5058</xdr:colOff>
      <xdr:row>55</xdr:row>
      <xdr:rowOff>9918</xdr:rowOff>
    </xdr:to>
    <xdr:sp macro="" textlink="">
      <xdr:nvSpPr>
        <xdr:cNvPr id="30" name="Freccia in giù 9">
          <a:extLst>
            <a:ext uri="{FF2B5EF4-FFF2-40B4-BE49-F238E27FC236}">
              <a16:creationId xmlns:a16="http://schemas.microsoft.com/office/drawing/2014/main" id="{00000000-0008-0000-1600-00001E000000}"/>
            </a:ext>
          </a:extLst>
        </xdr:cNvPr>
        <xdr:cNvSpPr/>
      </xdr:nvSpPr>
      <xdr:spPr>
        <a:xfrm rot="16200000">
          <a:off x="1925712" y="157132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87407</xdr:colOff>
      <xdr:row>32</xdr:row>
      <xdr:rowOff>45384</xdr:rowOff>
    </xdr:from>
    <xdr:to>
      <xdr:col>99</xdr:col>
      <xdr:colOff>42023</xdr:colOff>
      <xdr:row>46</xdr:row>
      <xdr:rowOff>11766</xdr:rowOff>
    </xdr:to>
    <xdr:sp macro="" textlink="">
      <xdr:nvSpPr>
        <xdr:cNvPr id="31" name="Oval 30">
          <a:extLst>
            <a:ext uri="{FF2B5EF4-FFF2-40B4-BE49-F238E27FC236}">
              <a16:creationId xmlns:a16="http://schemas.microsoft.com/office/drawing/2014/main" id="{00000000-0008-0000-1600-00001F000000}"/>
            </a:ext>
          </a:extLst>
        </xdr:cNvPr>
        <xdr:cNvSpPr/>
      </xdr:nvSpPr>
      <xdr:spPr>
        <a:xfrm>
          <a:off x="2849657" y="13123209"/>
          <a:ext cx="1688166"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68</xdr:col>
      <xdr:colOff>42607</xdr:colOff>
      <xdr:row>59</xdr:row>
      <xdr:rowOff>54431</xdr:rowOff>
    </xdr:from>
    <xdr:to>
      <xdr:col>71</xdr:col>
      <xdr:colOff>97971</xdr:colOff>
      <xdr:row>60</xdr:row>
      <xdr:rowOff>48986</xdr:rowOff>
    </xdr:to>
    <xdr:sp macro="" textlink="">
      <xdr:nvSpPr>
        <xdr:cNvPr id="42" name="Freccia in giù 9">
          <a:extLst>
            <a:ext uri="{FF2B5EF4-FFF2-40B4-BE49-F238E27FC236}">
              <a16:creationId xmlns:a16="http://schemas.microsoft.com/office/drawing/2014/main" id="{00000000-0008-0000-1600-00002A000000}"/>
            </a:ext>
          </a:extLst>
        </xdr:cNvPr>
        <xdr:cNvSpPr/>
      </xdr:nvSpPr>
      <xdr:spPr>
        <a:xfrm rot="16200000">
          <a:off x="854062" y="17064251"/>
          <a:ext cx="118380"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37165</xdr:colOff>
      <xdr:row>56</xdr:row>
      <xdr:rowOff>32656</xdr:rowOff>
    </xdr:from>
    <xdr:to>
      <xdr:col>71</xdr:col>
      <xdr:colOff>92529</xdr:colOff>
      <xdr:row>57</xdr:row>
      <xdr:rowOff>54429</xdr:rowOff>
    </xdr:to>
    <xdr:sp macro="" textlink="">
      <xdr:nvSpPr>
        <xdr:cNvPr id="43" name="Freccia in giù 9">
          <a:extLst>
            <a:ext uri="{FF2B5EF4-FFF2-40B4-BE49-F238E27FC236}">
              <a16:creationId xmlns:a16="http://schemas.microsoft.com/office/drawing/2014/main" id="{00000000-0008-0000-1600-00002B000000}"/>
            </a:ext>
          </a:extLst>
        </xdr:cNvPr>
        <xdr:cNvSpPr/>
      </xdr:nvSpPr>
      <xdr:spPr>
        <a:xfrm rot="16200000">
          <a:off x="835011" y="16684610"/>
          <a:ext cx="145598"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120316</xdr:colOff>
      <xdr:row>18</xdr:row>
      <xdr:rowOff>40104</xdr:rowOff>
    </xdr:from>
    <xdr:to>
      <xdr:col>116</xdr:col>
      <xdr:colOff>90239</xdr:colOff>
      <xdr:row>20</xdr:row>
      <xdr:rowOff>25063</xdr:rowOff>
    </xdr:to>
    <xdr:sp macro="" textlink="">
      <xdr:nvSpPr>
        <xdr:cNvPr id="46" name="Freccia curva 7">
          <a:extLst>
            <a:ext uri="{FF2B5EF4-FFF2-40B4-BE49-F238E27FC236}">
              <a16:creationId xmlns:a16="http://schemas.microsoft.com/office/drawing/2014/main" id="{00000000-0008-0000-1600-00002E000000}"/>
            </a:ext>
          </a:extLst>
        </xdr:cNvPr>
        <xdr:cNvSpPr/>
      </xdr:nvSpPr>
      <xdr:spPr>
        <a:xfrm rot="16200000">
          <a:off x="6527885" y="10339385"/>
          <a:ext cx="232609" cy="34139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35092</xdr:colOff>
      <xdr:row>19</xdr:row>
      <xdr:rowOff>60159</xdr:rowOff>
    </xdr:from>
    <xdr:to>
      <xdr:col>116</xdr:col>
      <xdr:colOff>100263</xdr:colOff>
      <xdr:row>20</xdr:row>
      <xdr:rowOff>65174</xdr:rowOff>
    </xdr:to>
    <xdr:sp macro="" textlink="">
      <xdr:nvSpPr>
        <xdr:cNvPr id="47" name="Freccia in giù 9">
          <a:extLst>
            <a:ext uri="{FF2B5EF4-FFF2-40B4-BE49-F238E27FC236}">
              <a16:creationId xmlns:a16="http://schemas.microsoft.com/office/drawing/2014/main" id="{00000000-0008-0000-1600-00002F000000}"/>
            </a:ext>
          </a:extLst>
        </xdr:cNvPr>
        <xdr:cNvSpPr/>
      </xdr:nvSpPr>
      <xdr:spPr>
        <a:xfrm rot="5400000">
          <a:off x="6542170" y="10383756"/>
          <a:ext cx="128840" cy="43664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46675</xdr:colOff>
      <xdr:row>22</xdr:row>
      <xdr:rowOff>65692</xdr:rowOff>
    </xdr:from>
    <xdr:to>
      <xdr:col>116</xdr:col>
      <xdr:colOff>91554</xdr:colOff>
      <xdr:row>23</xdr:row>
      <xdr:rowOff>83326</xdr:rowOff>
    </xdr:to>
    <xdr:sp macro="" textlink="">
      <xdr:nvSpPr>
        <xdr:cNvPr id="48" name="Freccia in giù 9">
          <a:extLst>
            <a:ext uri="{FF2B5EF4-FFF2-40B4-BE49-F238E27FC236}">
              <a16:creationId xmlns:a16="http://schemas.microsoft.com/office/drawing/2014/main" id="{00000000-0008-0000-1600-000030000000}"/>
            </a:ext>
          </a:extLst>
        </xdr:cNvPr>
        <xdr:cNvSpPr/>
      </xdr:nvSpPr>
      <xdr:spPr>
        <a:xfrm rot="5400000">
          <a:off x="6537297" y="10777220"/>
          <a:ext cx="141459" cy="41635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48984</xdr:colOff>
      <xdr:row>59</xdr:row>
      <xdr:rowOff>87088</xdr:rowOff>
    </xdr:from>
    <xdr:to>
      <xdr:col>70</xdr:col>
      <xdr:colOff>114299</xdr:colOff>
      <xdr:row>61</xdr:row>
      <xdr:rowOff>81643</xdr:rowOff>
    </xdr:to>
    <xdr:sp macro="" textlink="">
      <xdr:nvSpPr>
        <xdr:cNvPr id="49" name="Freccia curva 7">
          <a:extLst>
            <a:ext uri="{FF2B5EF4-FFF2-40B4-BE49-F238E27FC236}">
              <a16:creationId xmlns:a16="http://schemas.microsoft.com/office/drawing/2014/main" id="{00000000-0008-0000-1600-000031000000}"/>
            </a:ext>
          </a:extLst>
        </xdr:cNvPr>
        <xdr:cNvSpPr/>
      </xdr:nvSpPr>
      <xdr:spPr>
        <a:xfrm rot="5400000">
          <a:off x="741589" y="17215758"/>
          <a:ext cx="242205" cy="3129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43543</xdr:colOff>
      <xdr:row>55</xdr:row>
      <xdr:rowOff>43542</xdr:rowOff>
    </xdr:from>
    <xdr:to>
      <xdr:col>70</xdr:col>
      <xdr:colOff>87086</xdr:colOff>
      <xdr:row>57</xdr:row>
      <xdr:rowOff>15627</xdr:rowOff>
    </xdr:to>
    <xdr:sp macro="" textlink="">
      <xdr:nvSpPr>
        <xdr:cNvPr id="50" name="Freccia curva 8">
          <a:extLst>
            <a:ext uri="{FF2B5EF4-FFF2-40B4-BE49-F238E27FC236}">
              <a16:creationId xmlns:a16="http://schemas.microsoft.com/office/drawing/2014/main" id="{00000000-0008-0000-1600-000032000000}"/>
            </a:ext>
          </a:extLst>
        </xdr:cNvPr>
        <xdr:cNvSpPr/>
      </xdr:nvSpPr>
      <xdr:spPr>
        <a:xfrm rot="5400000" flipH="1">
          <a:off x="736497" y="16676563"/>
          <a:ext cx="219735" cy="29119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32848</xdr:colOff>
      <xdr:row>22</xdr:row>
      <xdr:rowOff>105103</xdr:rowOff>
    </xdr:from>
    <xdr:to>
      <xdr:col>116</xdr:col>
      <xdr:colOff>115304</xdr:colOff>
      <xdr:row>24</xdr:row>
      <xdr:rowOff>70186</xdr:rowOff>
    </xdr:to>
    <xdr:sp macro="" textlink="">
      <xdr:nvSpPr>
        <xdr:cNvPr id="51" name="Freccia curva 66">
          <a:extLst>
            <a:ext uri="{FF2B5EF4-FFF2-40B4-BE49-F238E27FC236}">
              <a16:creationId xmlns:a16="http://schemas.microsoft.com/office/drawing/2014/main" id="{00000000-0008-0000-1600-000033000000}"/>
            </a:ext>
          </a:extLst>
        </xdr:cNvPr>
        <xdr:cNvSpPr/>
      </xdr:nvSpPr>
      <xdr:spPr>
        <a:xfrm rot="16200000" flipH="1">
          <a:off x="6568534" y="10895392"/>
          <a:ext cx="212733" cy="330106"/>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51</xdr:row>
      <xdr:rowOff>6397</xdr:rowOff>
    </xdr:from>
    <xdr:to>
      <xdr:col>80</xdr:col>
      <xdr:colOff>5058</xdr:colOff>
      <xdr:row>52</xdr:row>
      <xdr:rowOff>9918</xdr:rowOff>
    </xdr:to>
    <xdr:sp macro="" textlink="">
      <xdr:nvSpPr>
        <xdr:cNvPr id="56" name="Freccia in giù 9">
          <a:extLst>
            <a:ext uri="{FF2B5EF4-FFF2-40B4-BE49-F238E27FC236}">
              <a16:creationId xmlns:a16="http://schemas.microsoft.com/office/drawing/2014/main" id="{00000000-0008-0000-1600-000038000000}"/>
            </a:ext>
          </a:extLst>
        </xdr:cNvPr>
        <xdr:cNvSpPr/>
      </xdr:nvSpPr>
      <xdr:spPr>
        <a:xfrm rot="16200000">
          <a:off x="1925712" y="153417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97574</xdr:colOff>
      <xdr:row>25</xdr:row>
      <xdr:rowOff>4645</xdr:rowOff>
    </xdr:from>
    <xdr:to>
      <xdr:col>107</xdr:col>
      <xdr:colOff>43694</xdr:colOff>
      <xdr:row>26</xdr:row>
      <xdr:rowOff>8166</xdr:rowOff>
    </xdr:to>
    <xdr:sp macro="" textlink="">
      <xdr:nvSpPr>
        <xdr:cNvPr id="57" name="Freccia in giù 9">
          <a:extLst>
            <a:ext uri="{FF2B5EF4-FFF2-40B4-BE49-F238E27FC236}">
              <a16:creationId xmlns:a16="http://schemas.microsoft.com/office/drawing/2014/main" id="{00000000-0008-0000-1600-000039000000}"/>
            </a:ext>
          </a:extLst>
        </xdr:cNvPr>
        <xdr:cNvSpPr/>
      </xdr:nvSpPr>
      <xdr:spPr>
        <a:xfrm rot="5400000">
          <a:off x="5307624" y="121205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16</xdr:col>
      <xdr:colOff>48301</xdr:colOff>
      <xdr:row>41</xdr:row>
      <xdr:rowOff>56586</xdr:rowOff>
    </xdr:from>
    <xdr:ext cx="323023" cy="425198"/>
    <xdr:sp macro="" textlink="">
      <xdr:nvSpPr>
        <xdr:cNvPr id="58" name="Rectangle 57">
          <a:extLst>
            <a:ext uri="{FF2B5EF4-FFF2-40B4-BE49-F238E27FC236}">
              <a16:creationId xmlns:a16="http://schemas.microsoft.com/office/drawing/2014/main" id="{00000000-0008-0000-1600-00003A000000}"/>
            </a:ext>
          </a:extLst>
        </xdr:cNvPr>
        <xdr:cNvSpPr/>
      </xdr:nvSpPr>
      <xdr:spPr>
        <a:xfrm rot="6871470">
          <a:off x="1892689" y="51844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15</xdr:col>
      <xdr:colOff>13516</xdr:colOff>
      <xdr:row>44</xdr:row>
      <xdr:rowOff>63211</xdr:rowOff>
    </xdr:from>
    <xdr:ext cx="323023" cy="425198"/>
    <xdr:sp macro="" textlink="">
      <xdr:nvSpPr>
        <xdr:cNvPr id="59" name="Rectangle 58">
          <a:extLst>
            <a:ext uri="{FF2B5EF4-FFF2-40B4-BE49-F238E27FC236}">
              <a16:creationId xmlns:a16="http://schemas.microsoft.com/office/drawing/2014/main" id="{00000000-0008-0000-1600-00003B000000}"/>
            </a:ext>
          </a:extLst>
        </xdr:cNvPr>
        <xdr:cNvSpPr/>
      </xdr:nvSpPr>
      <xdr:spPr>
        <a:xfrm rot="6871470">
          <a:off x="1734079" y="55625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30</xdr:col>
      <xdr:colOff>64866</xdr:colOff>
      <xdr:row>55</xdr:row>
      <xdr:rowOff>34520</xdr:rowOff>
    </xdr:from>
    <xdr:ext cx="425198" cy="323023"/>
    <xdr:sp macro="" textlink="">
      <xdr:nvSpPr>
        <xdr:cNvPr id="60" name="Rectangle 59">
          <a:extLst>
            <a:ext uri="{FF2B5EF4-FFF2-40B4-BE49-F238E27FC236}">
              <a16:creationId xmlns:a16="http://schemas.microsoft.com/office/drawing/2014/main" id="{00000000-0008-0000-1600-00003C000000}"/>
            </a:ext>
          </a:extLst>
        </xdr:cNvPr>
        <xdr:cNvSpPr/>
      </xdr:nvSpPr>
      <xdr:spPr>
        <a:xfrm rot="1373632">
          <a:off x="3693891" y="684489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29</xdr:col>
      <xdr:colOff>30081</xdr:colOff>
      <xdr:row>54</xdr:row>
      <xdr:rowOff>99125</xdr:rowOff>
    </xdr:from>
    <xdr:ext cx="425198" cy="323023"/>
    <xdr:sp macro="" textlink="">
      <xdr:nvSpPr>
        <xdr:cNvPr id="61" name="Rectangle 60">
          <a:extLst>
            <a:ext uri="{FF2B5EF4-FFF2-40B4-BE49-F238E27FC236}">
              <a16:creationId xmlns:a16="http://schemas.microsoft.com/office/drawing/2014/main" id="{00000000-0008-0000-1600-00003D000000}"/>
            </a:ext>
          </a:extLst>
        </xdr:cNvPr>
        <xdr:cNvSpPr/>
      </xdr:nvSpPr>
      <xdr:spPr>
        <a:xfrm rot="1373632">
          <a:off x="3535281" y="678567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51085</xdr:colOff>
      <xdr:row>41</xdr:row>
      <xdr:rowOff>40021</xdr:rowOff>
    </xdr:from>
    <xdr:ext cx="323023" cy="425198"/>
    <xdr:sp macro="" textlink="">
      <xdr:nvSpPr>
        <xdr:cNvPr id="62" name="Rectangle 61">
          <a:extLst>
            <a:ext uri="{FF2B5EF4-FFF2-40B4-BE49-F238E27FC236}">
              <a16:creationId xmlns:a16="http://schemas.microsoft.com/office/drawing/2014/main" id="{00000000-0008-0000-1600-00003E000000}"/>
            </a:ext>
          </a:extLst>
        </xdr:cNvPr>
        <xdr:cNvSpPr/>
      </xdr:nvSpPr>
      <xdr:spPr>
        <a:xfrm rot="17271780">
          <a:off x="5114923" y="5167933"/>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28</xdr:col>
      <xdr:colOff>99238</xdr:colOff>
      <xdr:row>28</xdr:row>
      <xdr:rowOff>67103</xdr:rowOff>
    </xdr:from>
    <xdr:ext cx="430055" cy="323023"/>
    <xdr:sp macro="" textlink="">
      <xdr:nvSpPr>
        <xdr:cNvPr id="63" name="Rectangle 62">
          <a:extLst>
            <a:ext uri="{FF2B5EF4-FFF2-40B4-BE49-F238E27FC236}">
              <a16:creationId xmlns:a16="http://schemas.microsoft.com/office/drawing/2014/main" id="{00000000-0008-0000-1600-00003F000000}"/>
            </a:ext>
          </a:extLst>
        </xdr:cNvPr>
        <xdr:cNvSpPr/>
      </xdr:nvSpPr>
      <xdr:spPr>
        <a:xfrm rot="12020088">
          <a:off x="3480613" y="3534203"/>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43</xdr:col>
      <xdr:colOff>46116</xdr:colOff>
      <xdr:row>38</xdr:row>
      <xdr:rowOff>26769</xdr:rowOff>
    </xdr:from>
    <xdr:ext cx="323023" cy="425198"/>
    <xdr:sp macro="" textlink="">
      <xdr:nvSpPr>
        <xdr:cNvPr id="64" name="Rectangle 63">
          <a:extLst>
            <a:ext uri="{FF2B5EF4-FFF2-40B4-BE49-F238E27FC236}">
              <a16:creationId xmlns:a16="http://schemas.microsoft.com/office/drawing/2014/main" id="{00000000-0008-0000-1600-000040000000}"/>
            </a:ext>
          </a:extLst>
        </xdr:cNvPr>
        <xdr:cNvSpPr/>
      </xdr:nvSpPr>
      <xdr:spPr>
        <a:xfrm rot="17271780">
          <a:off x="5233779" y="4783206"/>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107408</xdr:colOff>
      <xdr:row>39</xdr:row>
      <xdr:rowOff>96340</xdr:rowOff>
    </xdr:from>
    <xdr:ext cx="323023" cy="425198"/>
    <xdr:sp macro="" textlink="">
      <xdr:nvSpPr>
        <xdr:cNvPr id="65" name="Rectangle 64">
          <a:extLst>
            <a:ext uri="{FF2B5EF4-FFF2-40B4-BE49-F238E27FC236}">
              <a16:creationId xmlns:a16="http://schemas.microsoft.com/office/drawing/2014/main" id="{00000000-0008-0000-1600-000041000000}"/>
            </a:ext>
          </a:extLst>
        </xdr:cNvPr>
        <xdr:cNvSpPr/>
      </xdr:nvSpPr>
      <xdr:spPr>
        <a:xfrm rot="17271780">
          <a:off x="5171246" y="4976602"/>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25</xdr:col>
      <xdr:colOff>110833</xdr:colOff>
      <xdr:row>27</xdr:row>
      <xdr:rowOff>62134</xdr:rowOff>
    </xdr:from>
    <xdr:ext cx="430055" cy="323023"/>
    <xdr:sp macro="" textlink="">
      <xdr:nvSpPr>
        <xdr:cNvPr id="66" name="Rectangle 65">
          <a:extLst>
            <a:ext uri="{FF2B5EF4-FFF2-40B4-BE49-F238E27FC236}">
              <a16:creationId xmlns:a16="http://schemas.microsoft.com/office/drawing/2014/main" id="{00000000-0008-0000-1600-000042000000}"/>
            </a:ext>
          </a:extLst>
        </xdr:cNvPr>
        <xdr:cNvSpPr/>
      </xdr:nvSpPr>
      <xdr:spPr>
        <a:xfrm rot="12020088">
          <a:off x="3120733" y="3405409"/>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twoCellAnchor>
    <xdr:from>
      <xdr:col>39</xdr:col>
      <xdr:colOff>74676</xdr:colOff>
      <xdr:row>25</xdr:row>
      <xdr:rowOff>104776</xdr:rowOff>
    </xdr:from>
    <xdr:to>
      <xdr:col>44</xdr:col>
      <xdr:colOff>114302</xdr:colOff>
      <xdr:row>31</xdr:row>
      <xdr:rowOff>84070</xdr:rowOff>
    </xdr:to>
    <xdr:cxnSp macro="">
      <xdr:nvCxnSpPr>
        <xdr:cNvPr id="69" name="Straight Connector 68">
          <a:extLst>
            <a:ext uri="{FF2B5EF4-FFF2-40B4-BE49-F238E27FC236}">
              <a16:creationId xmlns:a16="http://schemas.microsoft.com/office/drawing/2014/main" id="{00000000-0008-0000-1600-000045000000}"/>
            </a:ext>
          </a:extLst>
        </xdr:cNvPr>
        <xdr:cNvCxnSpPr>
          <a:stCxn id="83" idx="7"/>
        </xdr:cNvCxnSpPr>
      </xdr:nvCxnSpPr>
      <xdr:spPr>
        <a:xfrm rot="5400000" flipH="1" flipV="1">
          <a:off x="4786380" y="3232147"/>
          <a:ext cx="722244" cy="65875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73269</xdr:colOff>
      <xdr:row>50</xdr:row>
      <xdr:rowOff>117623</xdr:rowOff>
    </xdr:from>
    <xdr:to>
      <xdr:col>44</xdr:col>
      <xdr:colOff>95253</xdr:colOff>
      <xdr:row>58</xdr:row>
      <xdr:rowOff>3</xdr:rowOff>
    </xdr:to>
    <xdr:cxnSp macro="">
      <xdr:nvCxnSpPr>
        <xdr:cNvPr id="70" name="Straight Connector 69">
          <a:extLst>
            <a:ext uri="{FF2B5EF4-FFF2-40B4-BE49-F238E27FC236}">
              <a16:creationId xmlns:a16="http://schemas.microsoft.com/office/drawing/2014/main" id="{00000000-0008-0000-1600-000046000000}"/>
            </a:ext>
          </a:extLst>
        </xdr:cNvPr>
        <xdr:cNvCxnSpPr>
          <a:stCxn id="84" idx="5"/>
        </xdr:cNvCxnSpPr>
      </xdr:nvCxnSpPr>
      <xdr:spPr>
        <a:xfrm rot="16200000" flipH="1">
          <a:off x="4391221" y="6115246"/>
          <a:ext cx="872980" cy="1260234"/>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18</xdr:row>
      <xdr:rowOff>114300</xdr:rowOff>
    </xdr:from>
    <xdr:to>
      <xdr:col>31</xdr:col>
      <xdr:colOff>47626</xdr:colOff>
      <xdr:row>23</xdr:row>
      <xdr:rowOff>19053</xdr:rowOff>
    </xdr:to>
    <xdr:cxnSp macro="">
      <xdr:nvCxnSpPr>
        <xdr:cNvPr id="71" name="Straight Arrow Connector 70">
          <a:extLst>
            <a:ext uri="{FF2B5EF4-FFF2-40B4-BE49-F238E27FC236}">
              <a16:creationId xmlns:a16="http://schemas.microsoft.com/office/drawing/2014/main" id="{00000000-0008-0000-1600-000047000000}"/>
            </a:ext>
          </a:extLst>
        </xdr:cNvPr>
        <xdr:cNvCxnSpPr/>
      </xdr:nvCxnSpPr>
      <xdr:spPr>
        <a:xfrm rot="5400000">
          <a:off x="3428999" y="2495551"/>
          <a:ext cx="523878" cy="219076"/>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73887</xdr:colOff>
      <xdr:row>28</xdr:row>
      <xdr:rowOff>21789</xdr:rowOff>
    </xdr:from>
    <xdr:to>
      <xdr:col>34</xdr:col>
      <xdr:colOff>104776</xdr:colOff>
      <xdr:row>28</xdr:row>
      <xdr:rowOff>47625</xdr:rowOff>
    </xdr:to>
    <xdr:cxnSp macro="">
      <xdr:nvCxnSpPr>
        <xdr:cNvPr id="72" name="Straight Arrow Connector 71">
          <a:extLst>
            <a:ext uri="{FF2B5EF4-FFF2-40B4-BE49-F238E27FC236}">
              <a16:creationId xmlns:a16="http://schemas.microsoft.com/office/drawing/2014/main" id="{00000000-0008-0000-1600-000048000000}"/>
            </a:ext>
          </a:extLst>
        </xdr:cNvPr>
        <xdr:cNvCxnSpPr/>
      </xdr:nvCxnSpPr>
      <xdr:spPr>
        <a:xfrm rot="10800000">
          <a:off x="3455262" y="3488889"/>
          <a:ext cx="773839" cy="2583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9525</xdr:colOff>
      <xdr:row>16</xdr:row>
      <xdr:rowOff>19050</xdr:rowOff>
    </xdr:from>
    <xdr:ext cx="963800" cy="311715"/>
    <xdr:sp macro="" textlink="">
      <xdr:nvSpPr>
        <xdr:cNvPr id="73" name="Rectangle 72">
          <a:extLst>
            <a:ext uri="{FF2B5EF4-FFF2-40B4-BE49-F238E27FC236}">
              <a16:creationId xmlns:a16="http://schemas.microsoft.com/office/drawing/2014/main" id="{00000000-0008-0000-1600-000049000000}"/>
            </a:ext>
          </a:extLst>
        </xdr:cNvPr>
        <xdr:cNvSpPr/>
      </xdr:nvSpPr>
      <xdr:spPr>
        <a:xfrm>
          <a:off x="790575" y="200025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57150</xdr:colOff>
      <xdr:row>16</xdr:row>
      <xdr:rowOff>19050</xdr:rowOff>
    </xdr:from>
    <xdr:ext cx="963800" cy="311715"/>
    <xdr:sp macro="" textlink="">
      <xdr:nvSpPr>
        <xdr:cNvPr id="74" name="Rectangle 73">
          <a:extLst>
            <a:ext uri="{FF2B5EF4-FFF2-40B4-BE49-F238E27FC236}">
              <a16:creationId xmlns:a16="http://schemas.microsoft.com/office/drawing/2014/main" id="{00000000-0008-0000-1600-00004A000000}"/>
            </a:ext>
          </a:extLst>
        </xdr:cNvPr>
        <xdr:cNvSpPr/>
      </xdr:nvSpPr>
      <xdr:spPr>
        <a:xfrm>
          <a:off x="5791200" y="200025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xdr:col>
      <xdr:colOff>22411</xdr:colOff>
      <xdr:row>55</xdr:row>
      <xdr:rowOff>28575</xdr:rowOff>
    </xdr:from>
    <xdr:ext cx="963800" cy="311715"/>
    <xdr:sp macro="" textlink="">
      <xdr:nvSpPr>
        <xdr:cNvPr id="75" name="Rectangle 74">
          <a:extLst>
            <a:ext uri="{FF2B5EF4-FFF2-40B4-BE49-F238E27FC236}">
              <a16:creationId xmlns:a16="http://schemas.microsoft.com/office/drawing/2014/main" id="{00000000-0008-0000-1600-00004B000000}"/>
            </a:ext>
          </a:extLst>
        </xdr:cNvPr>
        <xdr:cNvSpPr/>
      </xdr:nvSpPr>
      <xdr:spPr>
        <a:xfrm>
          <a:off x="795617" y="680813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26334</xdr:colOff>
      <xdr:row>55</xdr:row>
      <xdr:rowOff>15690</xdr:rowOff>
    </xdr:from>
    <xdr:ext cx="963800" cy="311715"/>
    <xdr:sp macro="" textlink="">
      <xdr:nvSpPr>
        <xdr:cNvPr id="76" name="Rectangle 75">
          <a:extLst>
            <a:ext uri="{FF2B5EF4-FFF2-40B4-BE49-F238E27FC236}">
              <a16:creationId xmlns:a16="http://schemas.microsoft.com/office/drawing/2014/main" id="{00000000-0008-0000-1600-00004C000000}"/>
            </a:ext>
          </a:extLst>
        </xdr:cNvPr>
        <xdr:cNvSpPr/>
      </xdr:nvSpPr>
      <xdr:spPr>
        <a:xfrm>
          <a:off x="5730128" y="679524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40</xdr:col>
      <xdr:colOff>38103</xdr:colOff>
      <xdr:row>32</xdr:row>
      <xdr:rowOff>113570</xdr:rowOff>
    </xdr:from>
    <xdr:to>
      <xdr:col>43</xdr:col>
      <xdr:colOff>38100</xdr:colOff>
      <xdr:row>35</xdr:row>
      <xdr:rowOff>47626</xdr:rowOff>
    </xdr:to>
    <xdr:cxnSp macro="">
      <xdr:nvCxnSpPr>
        <xdr:cNvPr id="77" name="Straight Arrow Connector 76">
          <a:extLst>
            <a:ext uri="{FF2B5EF4-FFF2-40B4-BE49-F238E27FC236}">
              <a16:creationId xmlns:a16="http://schemas.microsoft.com/office/drawing/2014/main" id="{00000000-0008-0000-1600-00004D000000}"/>
            </a:ext>
          </a:extLst>
        </xdr:cNvPr>
        <xdr:cNvCxnSpPr/>
      </xdr:nvCxnSpPr>
      <xdr:spPr>
        <a:xfrm rot="10800000">
          <a:off x="4905378" y="4075970"/>
          <a:ext cx="371472" cy="305531"/>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121760</xdr:colOff>
      <xdr:row>34</xdr:row>
      <xdr:rowOff>543</xdr:rowOff>
    </xdr:from>
    <xdr:to>
      <xdr:col>40</xdr:col>
      <xdr:colOff>114304</xdr:colOff>
      <xdr:row>37</xdr:row>
      <xdr:rowOff>104775</xdr:rowOff>
    </xdr:to>
    <xdr:cxnSp macro="">
      <xdr:nvCxnSpPr>
        <xdr:cNvPr id="78" name="Straight Arrow Connector 77">
          <a:extLst>
            <a:ext uri="{FF2B5EF4-FFF2-40B4-BE49-F238E27FC236}">
              <a16:creationId xmlns:a16="http://schemas.microsoft.com/office/drawing/2014/main" id="{00000000-0008-0000-1600-00004E000000}"/>
            </a:ext>
          </a:extLst>
        </xdr:cNvPr>
        <xdr:cNvCxnSpPr/>
      </xdr:nvCxnSpPr>
      <xdr:spPr>
        <a:xfrm rot="16200000" flipV="1">
          <a:off x="4685541" y="4390262"/>
          <a:ext cx="475707" cy="116369"/>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9528</xdr:colOff>
      <xdr:row>55</xdr:row>
      <xdr:rowOff>113569</xdr:rowOff>
    </xdr:from>
    <xdr:to>
      <xdr:col>30</xdr:col>
      <xdr:colOff>104778</xdr:colOff>
      <xdr:row>60</xdr:row>
      <xdr:rowOff>95251</xdr:rowOff>
    </xdr:to>
    <xdr:cxnSp macro="">
      <xdr:nvCxnSpPr>
        <xdr:cNvPr id="79" name="Straight Arrow Connector 78">
          <a:extLst>
            <a:ext uri="{FF2B5EF4-FFF2-40B4-BE49-F238E27FC236}">
              <a16:creationId xmlns:a16="http://schemas.microsoft.com/office/drawing/2014/main" id="{00000000-0008-0000-1600-00004F000000}"/>
            </a:ext>
          </a:extLst>
        </xdr:cNvPr>
        <xdr:cNvCxnSpPr/>
      </xdr:nvCxnSpPr>
      <xdr:spPr>
        <a:xfrm rot="5400000" flipH="1" flipV="1">
          <a:off x="3323862" y="7114810"/>
          <a:ext cx="600807" cy="219075"/>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104775</xdr:colOff>
      <xdr:row>49</xdr:row>
      <xdr:rowOff>85725</xdr:rowOff>
    </xdr:from>
    <xdr:to>
      <xdr:col>31</xdr:col>
      <xdr:colOff>19049</xdr:colOff>
      <xdr:row>51</xdr:row>
      <xdr:rowOff>49820</xdr:rowOff>
    </xdr:to>
    <xdr:cxnSp macro="">
      <xdr:nvCxnSpPr>
        <xdr:cNvPr id="80" name="Straight Arrow Connector 79">
          <a:extLst>
            <a:ext uri="{FF2B5EF4-FFF2-40B4-BE49-F238E27FC236}">
              <a16:creationId xmlns:a16="http://schemas.microsoft.com/office/drawing/2014/main" id="{00000000-0008-0000-1600-000050000000}"/>
            </a:ext>
          </a:extLst>
        </xdr:cNvPr>
        <xdr:cNvCxnSpPr/>
      </xdr:nvCxnSpPr>
      <xdr:spPr>
        <a:xfrm>
          <a:off x="2990850" y="6153150"/>
          <a:ext cx="781049" cy="211745"/>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43</xdr:row>
      <xdr:rowOff>66675</xdr:rowOff>
    </xdr:from>
    <xdr:to>
      <xdr:col>19</xdr:col>
      <xdr:colOff>104776</xdr:colOff>
      <xdr:row>45</xdr:row>
      <xdr:rowOff>75467</xdr:rowOff>
    </xdr:to>
    <xdr:cxnSp macro="">
      <xdr:nvCxnSpPr>
        <xdr:cNvPr id="81" name="Straight Arrow Connector 80">
          <a:extLst>
            <a:ext uri="{FF2B5EF4-FFF2-40B4-BE49-F238E27FC236}">
              <a16:creationId xmlns:a16="http://schemas.microsoft.com/office/drawing/2014/main" id="{00000000-0008-0000-1600-000051000000}"/>
            </a:ext>
          </a:extLst>
        </xdr:cNvPr>
        <xdr:cNvCxnSpPr/>
      </xdr:nvCxnSpPr>
      <xdr:spPr>
        <a:xfrm>
          <a:off x="2019300" y="5391150"/>
          <a:ext cx="352426" cy="256442"/>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95251</xdr:colOff>
      <xdr:row>39</xdr:row>
      <xdr:rowOff>76202</xdr:rowOff>
    </xdr:from>
    <xdr:to>
      <xdr:col>20</xdr:col>
      <xdr:colOff>35204</xdr:colOff>
      <xdr:row>44</xdr:row>
      <xdr:rowOff>34912</xdr:rowOff>
    </xdr:to>
    <xdr:cxnSp macro="">
      <xdr:nvCxnSpPr>
        <xdr:cNvPr id="82" name="Straight Arrow Connector 81">
          <a:extLst>
            <a:ext uri="{FF2B5EF4-FFF2-40B4-BE49-F238E27FC236}">
              <a16:creationId xmlns:a16="http://schemas.microsoft.com/office/drawing/2014/main" id="{00000000-0008-0000-1600-000052000000}"/>
            </a:ext>
          </a:extLst>
        </xdr:cNvPr>
        <xdr:cNvCxnSpPr/>
      </xdr:nvCxnSpPr>
      <xdr:spPr>
        <a:xfrm rot="16200000" flipH="1">
          <a:off x="2105172" y="5162406"/>
          <a:ext cx="577835" cy="63778"/>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49387</xdr:colOff>
      <xdr:row>31</xdr:row>
      <xdr:rowOff>57351</xdr:rowOff>
    </xdr:from>
    <xdr:to>
      <xdr:col>39</xdr:col>
      <xdr:colOff>100261</xdr:colOff>
      <xdr:row>32</xdr:row>
      <xdr:rowOff>115966</xdr:rowOff>
    </xdr:to>
    <xdr:sp macro="" textlink="">
      <xdr:nvSpPr>
        <xdr:cNvPr id="83" name="Oval 82">
          <a:extLst>
            <a:ext uri="{FF2B5EF4-FFF2-40B4-BE49-F238E27FC236}">
              <a16:creationId xmlns:a16="http://schemas.microsoft.com/office/drawing/2014/main" id="{00000000-0008-0000-1600-000053000000}"/>
            </a:ext>
          </a:extLst>
        </xdr:cNvPr>
        <xdr:cNvSpPr/>
      </xdr:nvSpPr>
      <xdr:spPr>
        <a:xfrm>
          <a:off x="4669012" y="3895926"/>
          <a:ext cx="174699"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33</xdr:col>
      <xdr:colOff>47626</xdr:colOff>
      <xdr:row>49</xdr:row>
      <xdr:rowOff>85726</xdr:rowOff>
    </xdr:from>
    <xdr:to>
      <xdr:col>34</xdr:col>
      <xdr:colOff>98914</xdr:colOff>
      <xdr:row>51</xdr:row>
      <xdr:rowOff>20516</xdr:rowOff>
    </xdr:to>
    <xdr:sp macro="" textlink="">
      <xdr:nvSpPr>
        <xdr:cNvPr id="84" name="Oval 83">
          <a:extLst>
            <a:ext uri="{FF2B5EF4-FFF2-40B4-BE49-F238E27FC236}">
              <a16:creationId xmlns:a16="http://schemas.microsoft.com/office/drawing/2014/main" id="{00000000-0008-0000-1600-000054000000}"/>
            </a:ext>
          </a:extLst>
        </xdr:cNvPr>
        <xdr:cNvSpPr/>
      </xdr:nvSpPr>
      <xdr:spPr>
        <a:xfrm>
          <a:off x="4048126" y="6153151"/>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20</xdr:col>
      <xdr:colOff>11596</xdr:colOff>
      <xdr:row>45</xdr:row>
      <xdr:rowOff>71645</xdr:rowOff>
    </xdr:from>
    <xdr:to>
      <xdr:col>21</xdr:col>
      <xdr:colOff>62470</xdr:colOff>
      <xdr:row>47</xdr:row>
      <xdr:rowOff>6849</xdr:rowOff>
    </xdr:to>
    <xdr:sp macro="" textlink="">
      <xdr:nvSpPr>
        <xdr:cNvPr id="85" name="Oval 84">
          <a:extLst>
            <a:ext uri="{FF2B5EF4-FFF2-40B4-BE49-F238E27FC236}">
              <a16:creationId xmlns:a16="http://schemas.microsoft.com/office/drawing/2014/main" id="{00000000-0008-0000-1600-000055000000}"/>
            </a:ext>
          </a:extLst>
        </xdr:cNvPr>
        <xdr:cNvSpPr/>
      </xdr:nvSpPr>
      <xdr:spPr>
        <a:xfrm>
          <a:off x="2402371" y="5643770"/>
          <a:ext cx="174699" cy="182854"/>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24</xdr:col>
      <xdr:colOff>113057</xdr:colOff>
      <xdr:row>28</xdr:row>
      <xdr:rowOff>50938</xdr:rowOff>
    </xdr:from>
    <xdr:to>
      <xdr:col>26</xdr:col>
      <xdr:colOff>40520</xdr:colOff>
      <xdr:row>29</xdr:row>
      <xdr:rowOff>109553</xdr:rowOff>
    </xdr:to>
    <xdr:sp macro="" textlink="">
      <xdr:nvSpPr>
        <xdr:cNvPr id="86" name="Oval 85">
          <a:extLst>
            <a:ext uri="{FF2B5EF4-FFF2-40B4-BE49-F238E27FC236}">
              <a16:creationId xmlns:a16="http://schemas.microsoft.com/office/drawing/2014/main" id="{00000000-0008-0000-1600-000056000000}"/>
            </a:ext>
          </a:extLst>
        </xdr:cNvPr>
        <xdr:cNvSpPr/>
      </xdr:nvSpPr>
      <xdr:spPr>
        <a:xfrm>
          <a:off x="2999132" y="351803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104777</xdr:colOff>
      <xdr:row>23</xdr:row>
      <xdr:rowOff>114301</xdr:rowOff>
    </xdr:from>
    <xdr:to>
      <xdr:col>25</xdr:col>
      <xdr:colOff>14877</xdr:colOff>
      <xdr:row>28</xdr:row>
      <xdr:rowOff>77656</xdr:rowOff>
    </xdr:to>
    <xdr:cxnSp macro="">
      <xdr:nvCxnSpPr>
        <xdr:cNvPr id="87" name="Straight Connector 86">
          <a:extLst>
            <a:ext uri="{FF2B5EF4-FFF2-40B4-BE49-F238E27FC236}">
              <a16:creationId xmlns:a16="http://schemas.microsoft.com/office/drawing/2014/main" id="{00000000-0008-0000-1600-000057000000}"/>
            </a:ext>
          </a:extLst>
        </xdr:cNvPr>
        <xdr:cNvCxnSpPr>
          <a:stCxn id="86" idx="1"/>
        </xdr:cNvCxnSpPr>
      </xdr:nvCxnSpPr>
      <xdr:spPr>
        <a:xfrm rot="16200000" flipV="1">
          <a:off x="2221275" y="2741253"/>
          <a:ext cx="582480" cy="1024525"/>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123824</xdr:colOff>
      <xdr:row>47</xdr:row>
      <xdr:rowOff>6850</xdr:rowOff>
    </xdr:from>
    <xdr:to>
      <xdr:col>20</xdr:col>
      <xdr:colOff>98945</xdr:colOff>
      <xdr:row>57</xdr:row>
      <xdr:rowOff>104776</xdr:rowOff>
    </xdr:to>
    <xdr:cxnSp macro="">
      <xdr:nvCxnSpPr>
        <xdr:cNvPr id="88" name="Straight Connector 87">
          <a:extLst>
            <a:ext uri="{FF2B5EF4-FFF2-40B4-BE49-F238E27FC236}">
              <a16:creationId xmlns:a16="http://schemas.microsoft.com/office/drawing/2014/main" id="{00000000-0008-0000-1600-000058000000}"/>
            </a:ext>
          </a:extLst>
        </xdr:cNvPr>
        <xdr:cNvCxnSpPr>
          <a:endCxn id="85" idx="4"/>
        </xdr:cNvCxnSpPr>
      </xdr:nvCxnSpPr>
      <xdr:spPr>
        <a:xfrm rot="5400000" flipH="1" flipV="1">
          <a:off x="1586422" y="6259502"/>
          <a:ext cx="1336176" cy="47042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3462</xdr:colOff>
      <xdr:row>39</xdr:row>
      <xdr:rowOff>82263</xdr:rowOff>
    </xdr:from>
    <xdr:ext cx="323023" cy="425198"/>
    <xdr:sp macro="" textlink="">
      <xdr:nvSpPr>
        <xdr:cNvPr id="105" name="Rectangle 104">
          <a:extLst>
            <a:ext uri="{FF2B5EF4-FFF2-40B4-BE49-F238E27FC236}">
              <a16:creationId xmlns:a16="http://schemas.microsoft.com/office/drawing/2014/main" id="{00000000-0008-0000-1600-000069000000}"/>
            </a:ext>
          </a:extLst>
        </xdr:cNvPr>
        <xdr:cNvSpPr/>
      </xdr:nvSpPr>
      <xdr:spPr>
        <a:xfrm rot="7161644">
          <a:off x="1724025" y="4962525"/>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14</xdr:col>
      <xdr:colOff>3463</xdr:colOff>
      <xdr:row>41</xdr:row>
      <xdr:rowOff>53688</xdr:rowOff>
    </xdr:from>
    <xdr:ext cx="323023" cy="425198"/>
    <xdr:sp macro="" textlink="">
      <xdr:nvSpPr>
        <xdr:cNvPr id="106" name="Rectangle 105">
          <a:extLst>
            <a:ext uri="{FF2B5EF4-FFF2-40B4-BE49-F238E27FC236}">
              <a16:creationId xmlns:a16="http://schemas.microsoft.com/office/drawing/2014/main" id="{00000000-0008-0000-1600-00006A000000}"/>
            </a:ext>
          </a:extLst>
        </xdr:cNvPr>
        <xdr:cNvSpPr/>
      </xdr:nvSpPr>
      <xdr:spPr>
        <a:xfrm rot="7161644">
          <a:off x="1600201" y="5181600"/>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43</xdr:col>
      <xdr:colOff>0</xdr:colOff>
      <xdr:row>35</xdr:row>
      <xdr:rowOff>85725</xdr:rowOff>
    </xdr:from>
    <xdr:ext cx="323023" cy="425198"/>
    <xdr:sp macro="" textlink="">
      <xdr:nvSpPr>
        <xdr:cNvPr id="107" name="Rectangle 106">
          <a:extLst>
            <a:ext uri="{FF2B5EF4-FFF2-40B4-BE49-F238E27FC236}">
              <a16:creationId xmlns:a16="http://schemas.microsoft.com/office/drawing/2014/main" id="{00000000-0008-0000-1600-00006B000000}"/>
            </a:ext>
          </a:extLst>
        </xdr:cNvPr>
        <xdr:cNvSpPr/>
      </xdr:nvSpPr>
      <xdr:spPr>
        <a:xfrm rot="18007177">
          <a:off x="5187663" y="4470687"/>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43</xdr:col>
      <xdr:colOff>114302</xdr:colOff>
      <xdr:row>33</xdr:row>
      <xdr:rowOff>104775</xdr:rowOff>
    </xdr:from>
    <xdr:ext cx="323023" cy="425198"/>
    <xdr:sp macro="" textlink="">
      <xdr:nvSpPr>
        <xdr:cNvPr id="108" name="Rectangle 107">
          <a:extLst>
            <a:ext uri="{FF2B5EF4-FFF2-40B4-BE49-F238E27FC236}">
              <a16:creationId xmlns:a16="http://schemas.microsoft.com/office/drawing/2014/main" id="{00000000-0008-0000-1600-00006C000000}"/>
            </a:ext>
          </a:extLst>
        </xdr:cNvPr>
        <xdr:cNvSpPr/>
      </xdr:nvSpPr>
      <xdr:spPr>
        <a:xfrm rot="18007177">
          <a:off x="5301965" y="4242087"/>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29</xdr:col>
      <xdr:colOff>120363</xdr:colOff>
      <xdr:row>53</xdr:row>
      <xdr:rowOff>32037</xdr:rowOff>
    </xdr:from>
    <xdr:ext cx="425198" cy="323023"/>
    <xdr:sp macro="" textlink="">
      <xdr:nvSpPr>
        <xdr:cNvPr id="112" name="Rectangle 111">
          <a:extLst>
            <a:ext uri="{FF2B5EF4-FFF2-40B4-BE49-F238E27FC236}">
              <a16:creationId xmlns:a16="http://schemas.microsoft.com/office/drawing/2014/main" id="{00000000-0008-0000-1600-000070000000}"/>
            </a:ext>
          </a:extLst>
        </xdr:cNvPr>
        <xdr:cNvSpPr/>
      </xdr:nvSpPr>
      <xdr:spPr>
        <a:xfrm rot="1481461">
          <a:off x="3625563" y="659476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27</xdr:col>
      <xdr:colOff>25113</xdr:colOff>
      <xdr:row>23</xdr:row>
      <xdr:rowOff>89187</xdr:rowOff>
    </xdr:from>
    <xdr:ext cx="425198" cy="323023"/>
    <xdr:sp macro="" textlink="">
      <xdr:nvSpPr>
        <xdr:cNvPr id="117" name="Rectangle 116">
          <a:extLst>
            <a:ext uri="{FF2B5EF4-FFF2-40B4-BE49-F238E27FC236}">
              <a16:creationId xmlns:a16="http://schemas.microsoft.com/office/drawing/2014/main" id="{00000000-0008-0000-1600-000075000000}"/>
            </a:ext>
          </a:extLst>
        </xdr:cNvPr>
        <xdr:cNvSpPr/>
      </xdr:nvSpPr>
      <xdr:spPr>
        <a:xfrm rot="12360404">
          <a:off x="3282663" y="293716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twoCellAnchor>
    <xdr:from>
      <xdr:col>86</xdr:col>
      <xdr:colOff>76201</xdr:colOff>
      <xdr:row>24</xdr:row>
      <xdr:rowOff>57152</xdr:rowOff>
    </xdr:from>
    <xdr:to>
      <xdr:col>89</xdr:col>
      <xdr:colOff>25577</xdr:colOff>
      <xdr:row>25</xdr:row>
      <xdr:rowOff>64220</xdr:rowOff>
    </xdr:to>
    <xdr:sp macro="" textlink="">
      <xdr:nvSpPr>
        <xdr:cNvPr id="92" name="Freccia in giù 9">
          <a:extLst>
            <a:ext uri="{FF2B5EF4-FFF2-40B4-BE49-F238E27FC236}">
              <a16:creationId xmlns:a16="http://schemas.microsoft.com/office/drawing/2014/main" id="{00000000-0008-0000-1600-00005C000000}"/>
            </a:ext>
          </a:extLst>
        </xdr:cNvPr>
        <xdr:cNvSpPr/>
      </xdr:nvSpPr>
      <xdr:spPr>
        <a:xfrm rot="4265451">
          <a:off x="3057255" y="12173223"/>
          <a:ext cx="130893" cy="3208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71232</xdr:colOff>
      <xdr:row>31</xdr:row>
      <xdr:rowOff>76201</xdr:rowOff>
    </xdr:from>
    <xdr:to>
      <xdr:col>106</xdr:col>
      <xdr:colOff>67987</xdr:colOff>
      <xdr:row>34</xdr:row>
      <xdr:rowOff>42052</xdr:rowOff>
    </xdr:to>
    <xdr:sp macro="" textlink="">
      <xdr:nvSpPr>
        <xdr:cNvPr id="93" name="Freccia in giù 9">
          <a:extLst>
            <a:ext uri="{FF2B5EF4-FFF2-40B4-BE49-F238E27FC236}">
              <a16:creationId xmlns:a16="http://schemas.microsoft.com/office/drawing/2014/main" id="{00000000-0008-0000-1600-00005D000000}"/>
            </a:ext>
          </a:extLst>
        </xdr:cNvPr>
        <xdr:cNvSpPr/>
      </xdr:nvSpPr>
      <xdr:spPr>
        <a:xfrm rot="9723139">
          <a:off x="5309982" y="13154026"/>
          <a:ext cx="120580"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67501</xdr:colOff>
      <xdr:row>45</xdr:row>
      <xdr:rowOff>80342</xdr:rowOff>
    </xdr:from>
    <xdr:to>
      <xdr:col>79</xdr:col>
      <xdr:colOff>59709</xdr:colOff>
      <xdr:row>48</xdr:row>
      <xdr:rowOff>28816</xdr:rowOff>
    </xdr:to>
    <xdr:sp macro="" textlink="">
      <xdr:nvSpPr>
        <xdr:cNvPr id="94" name="Freccia in giù 9">
          <a:extLst>
            <a:ext uri="{FF2B5EF4-FFF2-40B4-BE49-F238E27FC236}">
              <a16:creationId xmlns:a16="http://schemas.microsoft.com/office/drawing/2014/main" id="{00000000-0008-0000-1600-00005E000000}"/>
            </a:ext>
          </a:extLst>
        </xdr:cNvPr>
        <xdr:cNvSpPr/>
      </xdr:nvSpPr>
      <xdr:spPr>
        <a:xfrm rot="20584512">
          <a:off x="1962976" y="14891717"/>
          <a:ext cx="116033"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99</xdr:col>
      <xdr:colOff>66261</xdr:colOff>
      <xdr:row>54</xdr:row>
      <xdr:rowOff>63776</xdr:rowOff>
    </xdr:from>
    <xdr:to>
      <xdr:col>102</xdr:col>
      <xdr:colOff>33112</xdr:colOff>
      <xdr:row>55</xdr:row>
      <xdr:rowOff>58482</xdr:rowOff>
    </xdr:to>
    <xdr:sp macro="" textlink="">
      <xdr:nvSpPr>
        <xdr:cNvPr id="95" name="Freccia in giù 9">
          <a:extLst>
            <a:ext uri="{FF2B5EF4-FFF2-40B4-BE49-F238E27FC236}">
              <a16:creationId xmlns:a16="http://schemas.microsoft.com/office/drawing/2014/main" id="{00000000-0008-0000-1600-00005F000000}"/>
            </a:ext>
          </a:extLst>
        </xdr:cNvPr>
        <xdr:cNvSpPr/>
      </xdr:nvSpPr>
      <xdr:spPr>
        <a:xfrm rot="15201463">
          <a:off x="4671958" y="15879679"/>
          <a:ext cx="118531" cy="338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85725</xdr:colOff>
      <xdr:row>26</xdr:row>
      <xdr:rowOff>47626</xdr:rowOff>
    </xdr:from>
    <xdr:to>
      <xdr:col>89</xdr:col>
      <xdr:colOff>35101</xdr:colOff>
      <xdr:row>27</xdr:row>
      <xdr:rowOff>54694</xdr:rowOff>
    </xdr:to>
    <xdr:sp macro="" textlink="">
      <xdr:nvSpPr>
        <xdr:cNvPr id="96" name="Freccia in giù 9">
          <a:extLst>
            <a:ext uri="{FF2B5EF4-FFF2-40B4-BE49-F238E27FC236}">
              <a16:creationId xmlns:a16="http://schemas.microsoft.com/office/drawing/2014/main" id="{00000000-0008-0000-1600-000060000000}"/>
            </a:ext>
          </a:extLst>
        </xdr:cNvPr>
        <xdr:cNvSpPr/>
      </xdr:nvSpPr>
      <xdr:spPr>
        <a:xfrm rot="4265451">
          <a:off x="3066779" y="12411347"/>
          <a:ext cx="130893" cy="3208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99</xdr:col>
      <xdr:colOff>75786</xdr:colOff>
      <xdr:row>52</xdr:row>
      <xdr:rowOff>82825</xdr:rowOff>
    </xdr:from>
    <xdr:to>
      <xdr:col>102</xdr:col>
      <xdr:colOff>42637</xdr:colOff>
      <xdr:row>53</xdr:row>
      <xdr:rowOff>77531</xdr:rowOff>
    </xdr:to>
    <xdr:sp macro="" textlink="">
      <xdr:nvSpPr>
        <xdr:cNvPr id="97" name="Freccia in giù 9">
          <a:extLst>
            <a:ext uri="{FF2B5EF4-FFF2-40B4-BE49-F238E27FC236}">
              <a16:creationId xmlns:a16="http://schemas.microsoft.com/office/drawing/2014/main" id="{00000000-0008-0000-1600-000061000000}"/>
            </a:ext>
          </a:extLst>
        </xdr:cNvPr>
        <xdr:cNvSpPr/>
      </xdr:nvSpPr>
      <xdr:spPr>
        <a:xfrm rot="15201463">
          <a:off x="4681483" y="15651078"/>
          <a:ext cx="118531" cy="338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76200</xdr:colOff>
      <xdr:row>37</xdr:row>
      <xdr:rowOff>47625</xdr:rowOff>
    </xdr:from>
    <xdr:to>
      <xdr:col>97</xdr:col>
      <xdr:colOff>28574</xdr:colOff>
      <xdr:row>41</xdr:row>
      <xdr:rowOff>28575</xdr:rowOff>
    </xdr:to>
    <xdr:sp macro="" textlink="">
      <xdr:nvSpPr>
        <xdr:cNvPr id="98" name="Right Arrow 97">
          <a:hlinkClick xmlns:r="http://schemas.openxmlformats.org/officeDocument/2006/relationships" r:id="rId2"/>
          <a:extLst>
            <a:ext uri="{FF2B5EF4-FFF2-40B4-BE49-F238E27FC236}">
              <a16:creationId xmlns:a16="http://schemas.microsoft.com/office/drawing/2014/main" id="{00000000-0008-0000-1600-000062000000}"/>
            </a:ext>
          </a:extLst>
        </xdr:cNvPr>
        <xdr:cNvSpPr/>
      </xdr:nvSpPr>
      <xdr:spPr>
        <a:xfrm>
          <a:off x="2857500" y="13868400"/>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103884</xdr:colOff>
      <xdr:row>29</xdr:row>
      <xdr:rowOff>120604</xdr:rowOff>
    </xdr:from>
    <xdr:to>
      <xdr:col>53</xdr:col>
      <xdr:colOff>41050</xdr:colOff>
      <xdr:row>52</xdr:row>
      <xdr:rowOff>10286</xdr:rowOff>
    </xdr:to>
    <xdr:pic>
      <xdr:nvPicPr>
        <xdr:cNvPr id="94" name="Picture 93" descr="2x1 Lane Roundabout-Model.jpg">
          <a:extLst>
            <a:ext uri="{FF2B5EF4-FFF2-40B4-BE49-F238E27FC236}">
              <a16:creationId xmlns:a16="http://schemas.microsoft.com/office/drawing/2014/main" id="{00000000-0008-0000-1700-00005E000000}"/>
            </a:ext>
          </a:extLst>
        </xdr:cNvPr>
        <xdr:cNvPicPr>
          <a:picLocks noChangeAspect="1"/>
        </xdr:cNvPicPr>
      </xdr:nvPicPr>
      <xdr:blipFill>
        <a:blip xmlns:r="http://schemas.openxmlformats.org/officeDocument/2006/relationships" r:embed="rId1" cstate="print"/>
        <a:srcRect l="27571" t="9347" r="26420" b="11599"/>
        <a:stretch>
          <a:fillRect/>
        </a:stretch>
      </xdr:blipFill>
      <xdr:spPr>
        <a:xfrm rot="5400000" flipH="1" flipV="1">
          <a:off x="2548370" y="2480435"/>
          <a:ext cx="2775060" cy="5331568"/>
        </a:xfrm>
        <a:prstGeom prst="rect">
          <a:avLst/>
        </a:prstGeom>
      </xdr:spPr>
    </xdr:pic>
    <xdr:clientData/>
  </xdr:twoCellAnchor>
  <xdr:twoCellAnchor editAs="oneCell">
    <xdr:from>
      <xdr:col>19</xdr:col>
      <xdr:colOff>21984</xdr:colOff>
      <xdr:row>17</xdr:row>
      <xdr:rowOff>35176</xdr:rowOff>
    </xdr:from>
    <xdr:to>
      <xdr:col>43</xdr:col>
      <xdr:colOff>8285</xdr:colOff>
      <xdr:row>63</xdr:row>
      <xdr:rowOff>102583</xdr:rowOff>
    </xdr:to>
    <xdr:pic>
      <xdr:nvPicPr>
        <xdr:cNvPr id="95" name="Picture 94" descr="2x1 Lane Roundabout-Model.jp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 cstate="print"/>
        <a:srcRect l="3087" t="24912" r="96" b="30646"/>
        <a:stretch>
          <a:fillRect/>
        </a:stretch>
      </xdr:blipFill>
      <xdr:spPr>
        <a:xfrm rot="5400000" flipH="1" flipV="1">
          <a:off x="892518" y="3554424"/>
          <a:ext cx="5782407" cy="2968041"/>
        </a:xfrm>
        <a:prstGeom prst="rect">
          <a:avLst/>
        </a:prstGeom>
      </xdr:spPr>
    </xdr:pic>
    <xdr:clientData/>
  </xdr:twoCellAnchor>
  <xdr:twoCellAnchor>
    <xdr:from>
      <xdr:col>90</xdr:col>
      <xdr:colOff>53688</xdr:colOff>
      <xdr:row>10</xdr:row>
      <xdr:rowOff>62470</xdr:rowOff>
    </xdr:from>
    <xdr:to>
      <xdr:col>92</xdr:col>
      <xdr:colOff>77017</xdr:colOff>
      <xdr:row>12</xdr:row>
      <xdr:rowOff>109538</xdr:rowOff>
    </xdr:to>
    <xdr:sp macro="" textlink="">
      <xdr:nvSpPr>
        <xdr:cNvPr id="3" name="Freccia curva 8">
          <a:extLst>
            <a:ext uri="{FF2B5EF4-FFF2-40B4-BE49-F238E27FC236}">
              <a16:creationId xmlns:a16="http://schemas.microsoft.com/office/drawing/2014/main" id="{00000000-0008-0000-1700-000003000000}"/>
            </a:ext>
          </a:extLst>
        </xdr:cNvPr>
        <xdr:cNvSpPr/>
      </xdr:nvSpPr>
      <xdr:spPr>
        <a:xfrm rot="10800000" flipH="1">
          <a:off x="3558888" y="102923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55058</xdr:colOff>
      <xdr:row>10</xdr:row>
      <xdr:rowOff>67264</xdr:rowOff>
    </xdr:from>
    <xdr:to>
      <xdr:col>95</xdr:col>
      <xdr:colOff>84922</xdr:colOff>
      <xdr:row>12</xdr:row>
      <xdr:rowOff>123518</xdr:rowOff>
    </xdr:to>
    <xdr:sp macro="" textlink="">
      <xdr:nvSpPr>
        <xdr:cNvPr id="4" name="Freccia a inversione 13">
          <a:extLst>
            <a:ext uri="{FF2B5EF4-FFF2-40B4-BE49-F238E27FC236}">
              <a16:creationId xmlns:a16="http://schemas.microsoft.com/office/drawing/2014/main" id="{00000000-0008-0000-1700-000004000000}"/>
            </a:ext>
          </a:extLst>
        </xdr:cNvPr>
        <xdr:cNvSpPr/>
      </xdr:nvSpPr>
      <xdr:spPr>
        <a:xfrm flipV="1">
          <a:off x="3931733" y="102971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101397</xdr:colOff>
      <xdr:row>10</xdr:row>
      <xdr:rowOff>51932</xdr:rowOff>
    </xdr:from>
    <xdr:to>
      <xdr:col>88</xdr:col>
      <xdr:colOff>114211</xdr:colOff>
      <xdr:row>12</xdr:row>
      <xdr:rowOff>95625</xdr:rowOff>
    </xdr:to>
    <xdr:sp macro="" textlink="">
      <xdr:nvSpPr>
        <xdr:cNvPr id="5" name="Freccia in giù 9">
          <a:extLst>
            <a:ext uri="{FF2B5EF4-FFF2-40B4-BE49-F238E27FC236}">
              <a16:creationId xmlns:a16="http://schemas.microsoft.com/office/drawing/2014/main" id="{00000000-0008-0000-1700-000005000000}"/>
            </a:ext>
          </a:extLst>
        </xdr:cNvPr>
        <xdr:cNvSpPr/>
      </xdr:nvSpPr>
      <xdr:spPr>
        <a:xfrm>
          <a:off x="3235122" y="102817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84</xdr:col>
      <xdr:colOff>32507</xdr:colOff>
      <xdr:row>10</xdr:row>
      <xdr:rowOff>111530</xdr:rowOff>
    </xdr:from>
    <xdr:to>
      <xdr:col>86</xdr:col>
      <xdr:colOff>65439</xdr:colOff>
      <xdr:row>13</xdr:row>
      <xdr:rowOff>9683</xdr:rowOff>
    </xdr:to>
    <xdr:sp macro="" textlink="">
      <xdr:nvSpPr>
        <xdr:cNvPr id="6" name="Freccia curva 7">
          <a:extLst>
            <a:ext uri="{FF2B5EF4-FFF2-40B4-BE49-F238E27FC236}">
              <a16:creationId xmlns:a16="http://schemas.microsoft.com/office/drawing/2014/main" id="{00000000-0008-0000-1700-000006000000}"/>
            </a:ext>
          </a:extLst>
        </xdr:cNvPr>
        <xdr:cNvSpPr/>
      </xdr:nvSpPr>
      <xdr:spPr>
        <a:xfrm rot="10800000">
          <a:off x="2794757" y="103413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66020</xdr:colOff>
      <xdr:row>39</xdr:row>
      <xdr:rowOff>58156</xdr:rowOff>
    </xdr:from>
    <xdr:to>
      <xdr:col>71</xdr:col>
      <xdr:colOff>24702</xdr:colOff>
      <xdr:row>41</xdr:row>
      <xdr:rowOff>69436</xdr:rowOff>
    </xdr:to>
    <xdr:sp macro="" textlink="">
      <xdr:nvSpPr>
        <xdr:cNvPr id="7" name="Freccia a inversione 13">
          <a:extLst>
            <a:ext uri="{FF2B5EF4-FFF2-40B4-BE49-F238E27FC236}">
              <a16:creationId xmlns:a16="http://schemas.microsoft.com/office/drawing/2014/main" id="{00000000-0008-0000-1700-000007000000}"/>
            </a:ext>
          </a:extLst>
        </xdr:cNvPr>
        <xdr:cNvSpPr/>
      </xdr:nvSpPr>
      <xdr:spPr>
        <a:xfrm rot="16200000" flipV="1">
          <a:off x="263559" y="138433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51289</xdr:colOff>
      <xdr:row>42</xdr:row>
      <xdr:rowOff>58615</xdr:rowOff>
    </xdr:from>
    <xdr:to>
      <xdr:col>70</xdr:col>
      <xdr:colOff>116943</xdr:colOff>
      <xdr:row>44</xdr:row>
      <xdr:rowOff>63358</xdr:rowOff>
    </xdr:to>
    <xdr:sp macro="" textlink="">
      <xdr:nvSpPr>
        <xdr:cNvPr id="8" name="Freccia curva 8">
          <a:extLst>
            <a:ext uri="{FF2B5EF4-FFF2-40B4-BE49-F238E27FC236}">
              <a16:creationId xmlns:a16="http://schemas.microsoft.com/office/drawing/2014/main" id="{00000000-0008-0000-1700-000008000000}"/>
            </a:ext>
          </a:extLst>
        </xdr:cNvPr>
        <xdr:cNvSpPr/>
      </xdr:nvSpPr>
      <xdr:spPr>
        <a:xfrm rot="5400000" flipH="1">
          <a:off x="243669" y="142204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73270</xdr:colOff>
      <xdr:row>48</xdr:row>
      <xdr:rowOff>80596</xdr:rowOff>
    </xdr:from>
    <xdr:to>
      <xdr:col>70</xdr:col>
      <xdr:colOff>134510</xdr:colOff>
      <xdr:row>50</xdr:row>
      <xdr:rowOff>94943</xdr:rowOff>
    </xdr:to>
    <xdr:sp macro="" textlink="">
      <xdr:nvSpPr>
        <xdr:cNvPr id="9" name="Freccia curva 7">
          <a:extLst>
            <a:ext uri="{FF2B5EF4-FFF2-40B4-BE49-F238E27FC236}">
              <a16:creationId xmlns:a16="http://schemas.microsoft.com/office/drawing/2014/main" id="{00000000-0008-0000-1700-000009000000}"/>
            </a:ext>
          </a:extLst>
        </xdr:cNvPr>
        <xdr:cNvSpPr/>
      </xdr:nvSpPr>
      <xdr:spPr>
        <a:xfrm rot="5400000">
          <a:off x="253879" y="149971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92</xdr:col>
      <xdr:colOff>105868</xdr:colOff>
      <xdr:row>47</xdr:row>
      <xdr:rowOff>17615</xdr:rowOff>
    </xdr:from>
    <xdr:ext cx="963800" cy="311715"/>
    <xdr:sp macro="" textlink="">
      <xdr:nvSpPr>
        <xdr:cNvPr id="10" name="Rectangle 9">
          <a:extLst>
            <a:ext uri="{FF2B5EF4-FFF2-40B4-BE49-F238E27FC236}">
              <a16:creationId xmlns:a16="http://schemas.microsoft.com/office/drawing/2014/main" id="{00000000-0008-0000-1700-00000A000000}"/>
            </a:ext>
          </a:extLst>
        </xdr:cNvPr>
        <xdr:cNvSpPr/>
      </xdr:nvSpPr>
      <xdr:spPr>
        <a:xfrm>
          <a:off x="3458668" y="1507664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68</xdr:col>
      <xdr:colOff>58937</xdr:colOff>
      <xdr:row>46</xdr:row>
      <xdr:rowOff>6397</xdr:rowOff>
    </xdr:from>
    <xdr:to>
      <xdr:col>71</xdr:col>
      <xdr:colOff>5058</xdr:colOff>
      <xdr:row>47</xdr:row>
      <xdr:rowOff>9918</xdr:rowOff>
    </xdr:to>
    <xdr:sp macro="" textlink="">
      <xdr:nvSpPr>
        <xdr:cNvPr id="11" name="Freccia in giù 9">
          <a:extLst>
            <a:ext uri="{FF2B5EF4-FFF2-40B4-BE49-F238E27FC236}">
              <a16:creationId xmlns:a16="http://schemas.microsoft.com/office/drawing/2014/main" id="{00000000-0008-0000-1700-00000B000000}"/>
            </a:ext>
          </a:extLst>
        </xdr:cNvPr>
        <xdr:cNvSpPr/>
      </xdr:nvSpPr>
      <xdr:spPr>
        <a:xfrm rot="16200000">
          <a:off x="315987" y="145988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31</xdr:row>
      <xdr:rowOff>136072</xdr:rowOff>
    </xdr:from>
    <xdr:to>
      <xdr:col>117</xdr:col>
      <xdr:colOff>55717</xdr:colOff>
      <xdr:row>33</xdr:row>
      <xdr:rowOff>82778</xdr:rowOff>
    </xdr:to>
    <xdr:sp macro="" textlink="">
      <xdr:nvSpPr>
        <xdr:cNvPr id="12" name="Freccia curva 66">
          <a:extLst>
            <a:ext uri="{FF2B5EF4-FFF2-40B4-BE49-F238E27FC236}">
              <a16:creationId xmlns:a16="http://schemas.microsoft.com/office/drawing/2014/main" id="{00000000-0008-0000-1700-00000C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31</xdr:row>
      <xdr:rowOff>136072</xdr:rowOff>
    </xdr:from>
    <xdr:to>
      <xdr:col>117</xdr:col>
      <xdr:colOff>55717</xdr:colOff>
      <xdr:row>33</xdr:row>
      <xdr:rowOff>82778</xdr:rowOff>
    </xdr:to>
    <xdr:sp macro="" textlink="">
      <xdr:nvSpPr>
        <xdr:cNvPr id="13" name="Freccia curva 66">
          <a:extLst>
            <a:ext uri="{FF2B5EF4-FFF2-40B4-BE49-F238E27FC236}">
              <a16:creationId xmlns:a16="http://schemas.microsoft.com/office/drawing/2014/main" id="{00000000-0008-0000-1700-00000D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31</xdr:row>
      <xdr:rowOff>136072</xdr:rowOff>
    </xdr:from>
    <xdr:to>
      <xdr:col>117</xdr:col>
      <xdr:colOff>55717</xdr:colOff>
      <xdr:row>33</xdr:row>
      <xdr:rowOff>82778</xdr:rowOff>
    </xdr:to>
    <xdr:sp macro="" textlink="">
      <xdr:nvSpPr>
        <xdr:cNvPr id="14" name="Freccia curva 66">
          <a:extLst>
            <a:ext uri="{FF2B5EF4-FFF2-40B4-BE49-F238E27FC236}">
              <a16:creationId xmlns:a16="http://schemas.microsoft.com/office/drawing/2014/main" id="{00000000-0008-0000-1700-00000E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31</xdr:row>
      <xdr:rowOff>136072</xdr:rowOff>
    </xdr:from>
    <xdr:to>
      <xdr:col>117</xdr:col>
      <xdr:colOff>55717</xdr:colOff>
      <xdr:row>33</xdr:row>
      <xdr:rowOff>82778</xdr:rowOff>
    </xdr:to>
    <xdr:sp macro="" textlink="">
      <xdr:nvSpPr>
        <xdr:cNvPr id="15" name="Freccia curva 66">
          <a:extLst>
            <a:ext uri="{FF2B5EF4-FFF2-40B4-BE49-F238E27FC236}">
              <a16:creationId xmlns:a16="http://schemas.microsoft.com/office/drawing/2014/main" id="{00000000-0008-0000-1700-00000F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96216</xdr:colOff>
      <xdr:row>62</xdr:row>
      <xdr:rowOff>91783</xdr:rowOff>
    </xdr:from>
    <xdr:to>
      <xdr:col>97</xdr:col>
      <xdr:colOff>109029</xdr:colOff>
      <xdr:row>65</xdr:row>
      <xdr:rowOff>10025</xdr:rowOff>
    </xdr:to>
    <xdr:sp macro="" textlink="">
      <xdr:nvSpPr>
        <xdr:cNvPr id="16" name="Freccia in giù 9">
          <a:extLst>
            <a:ext uri="{FF2B5EF4-FFF2-40B4-BE49-F238E27FC236}">
              <a16:creationId xmlns:a16="http://schemas.microsoft.com/office/drawing/2014/main" id="{00000000-0008-0000-1700-000010000000}"/>
            </a:ext>
          </a:extLst>
        </xdr:cNvPr>
        <xdr:cNvSpPr/>
      </xdr:nvSpPr>
      <xdr:spPr>
        <a:xfrm rot="10800000">
          <a:off x="4096716" y="175034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82</xdr:col>
      <xdr:colOff>18455</xdr:colOff>
      <xdr:row>45</xdr:row>
      <xdr:rowOff>66481</xdr:rowOff>
    </xdr:from>
    <xdr:ext cx="963800" cy="311715"/>
    <xdr:sp macro="" textlink="">
      <xdr:nvSpPr>
        <xdr:cNvPr id="17" name="Rectangle 16">
          <a:extLst>
            <a:ext uri="{FF2B5EF4-FFF2-40B4-BE49-F238E27FC236}">
              <a16:creationId xmlns:a16="http://schemas.microsoft.com/office/drawing/2014/main" id="{00000000-0008-0000-1700-000011000000}"/>
            </a:ext>
          </a:extLst>
        </xdr:cNvPr>
        <xdr:cNvSpPr/>
      </xdr:nvSpPr>
      <xdr:spPr>
        <a:xfrm>
          <a:off x="2228255" y="14877856"/>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90</xdr:col>
      <xdr:colOff>46691</xdr:colOff>
      <xdr:row>62</xdr:row>
      <xdr:rowOff>118493</xdr:rowOff>
    </xdr:from>
    <xdr:to>
      <xdr:col>92</xdr:col>
      <xdr:colOff>74536</xdr:colOff>
      <xdr:row>65</xdr:row>
      <xdr:rowOff>52529</xdr:rowOff>
    </xdr:to>
    <xdr:sp macro="" textlink="">
      <xdr:nvSpPr>
        <xdr:cNvPr id="18" name="Freccia a inversione 13">
          <a:extLst>
            <a:ext uri="{FF2B5EF4-FFF2-40B4-BE49-F238E27FC236}">
              <a16:creationId xmlns:a16="http://schemas.microsoft.com/office/drawing/2014/main" id="{00000000-0008-0000-1700-000012000000}"/>
            </a:ext>
          </a:extLst>
        </xdr:cNvPr>
        <xdr:cNvSpPr/>
      </xdr:nvSpPr>
      <xdr:spPr>
        <a:xfrm rot="10800000" flipV="1">
          <a:off x="3304241" y="1753019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36089</xdr:colOff>
      <xdr:row>63</xdr:row>
      <xdr:rowOff>3514</xdr:rowOff>
    </xdr:from>
    <xdr:to>
      <xdr:col>95</xdr:col>
      <xdr:colOff>59418</xdr:colOff>
      <xdr:row>65</xdr:row>
      <xdr:rowOff>50582</xdr:rowOff>
    </xdr:to>
    <xdr:sp macro="" textlink="">
      <xdr:nvSpPr>
        <xdr:cNvPr id="19" name="Freccia curva 8">
          <a:extLst>
            <a:ext uri="{FF2B5EF4-FFF2-40B4-BE49-F238E27FC236}">
              <a16:creationId xmlns:a16="http://schemas.microsoft.com/office/drawing/2014/main" id="{00000000-0008-0000-1700-000013000000}"/>
            </a:ext>
          </a:extLst>
        </xdr:cNvPr>
        <xdr:cNvSpPr/>
      </xdr:nvSpPr>
      <xdr:spPr>
        <a:xfrm flipH="1">
          <a:off x="3665114" y="175390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94989</xdr:colOff>
      <xdr:row>34</xdr:row>
      <xdr:rowOff>82275</xdr:rowOff>
    </xdr:from>
    <xdr:to>
      <xdr:col>117</xdr:col>
      <xdr:colOff>56903</xdr:colOff>
      <xdr:row>36</xdr:row>
      <xdr:rowOff>91535</xdr:rowOff>
    </xdr:to>
    <xdr:sp macro="" textlink="">
      <xdr:nvSpPr>
        <xdr:cNvPr id="20" name="Freccia a inversione 13">
          <a:extLst>
            <a:ext uri="{FF2B5EF4-FFF2-40B4-BE49-F238E27FC236}">
              <a16:creationId xmlns:a16="http://schemas.microsoft.com/office/drawing/2014/main" id="{00000000-0008-0000-1700-000014000000}"/>
            </a:ext>
          </a:extLst>
        </xdr:cNvPr>
        <xdr:cNvSpPr/>
      </xdr:nvSpPr>
      <xdr:spPr>
        <a:xfrm rot="5400000" flipV="1">
          <a:off x="6981704" y="137409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97574</xdr:colOff>
      <xdr:row>29</xdr:row>
      <xdr:rowOff>4645</xdr:rowOff>
    </xdr:from>
    <xdr:to>
      <xdr:col>117</xdr:col>
      <xdr:colOff>43694</xdr:colOff>
      <xdr:row>30</xdr:row>
      <xdr:rowOff>8166</xdr:rowOff>
    </xdr:to>
    <xdr:sp macro="" textlink="">
      <xdr:nvSpPr>
        <xdr:cNvPr id="22" name="Freccia in giù 9">
          <a:extLst>
            <a:ext uri="{FF2B5EF4-FFF2-40B4-BE49-F238E27FC236}">
              <a16:creationId xmlns:a16="http://schemas.microsoft.com/office/drawing/2014/main" id="{00000000-0008-0000-1700-000016000000}"/>
            </a:ext>
          </a:extLst>
        </xdr:cNvPr>
        <xdr:cNvSpPr/>
      </xdr:nvSpPr>
      <xdr:spPr>
        <a:xfrm rot="5400000">
          <a:off x="7041174" y="129873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99</xdr:col>
      <xdr:colOff>41799</xdr:colOff>
      <xdr:row>63</xdr:row>
      <xdr:rowOff>18603</xdr:rowOff>
    </xdr:from>
    <xdr:to>
      <xdr:col>101</xdr:col>
      <xdr:colOff>74730</xdr:colOff>
      <xdr:row>65</xdr:row>
      <xdr:rowOff>42207</xdr:rowOff>
    </xdr:to>
    <xdr:sp macro="" textlink="">
      <xdr:nvSpPr>
        <xdr:cNvPr id="23" name="Freccia curva 7">
          <a:extLst>
            <a:ext uri="{FF2B5EF4-FFF2-40B4-BE49-F238E27FC236}">
              <a16:creationId xmlns:a16="http://schemas.microsoft.com/office/drawing/2014/main" id="{00000000-0008-0000-1700-000017000000}"/>
            </a:ext>
          </a:extLst>
        </xdr:cNvPr>
        <xdr:cNvSpPr/>
      </xdr:nvSpPr>
      <xdr:spPr>
        <a:xfrm>
          <a:off x="4413774" y="175541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107674</xdr:colOff>
      <xdr:row>25</xdr:row>
      <xdr:rowOff>57978</xdr:rowOff>
    </xdr:from>
    <xdr:to>
      <xdr:col>117</xdr:col>
      <xdr:colOff>7038</xdr:colOff>
      <xdr:row>27</xdr:row>
      <xdr:rowOff>90910</xdr:rowOff>
    </xdr:to>
    <xdr:sp macro="" textlink="">
      <xdr:nvSpPr>
        <xdr:cNvPr id="24" name="Freccia curva 7">
          <a:extLst>
            <a:ext uri="{FF2B5EF4-FFF2-40B4-BE49-F238E27FC236}">
              <a16:creationId xmlns:a16="http://schemas.microsoft.com/office/drawing/2014/main" id="{00000000-0008-0000-1700-000018000000}"/>
            </a:ext>
          </a:extLst>
        </xdr:cNvPr>
        <xdr:cNvSpPr/>
      </xdr:nvSpPr>
      <xdr:spPr>
        <a:xfrm rot="16200000">
          <a:off x="6951278" y="126453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95</xdr:col>
      <xdr:colOff>47252</xdr:colOff>
      <xdr:row>28</xdr:row>
      <xdr:rowOff>22010</xdr:rowOff>
    </xdr:from>
    <xdr:ext cx="963800" cy="311715"/>
    <xdr:sp macro="" textlink="">
      <xdr:nvSpPr>
        <xdr:cNvPr id="25" name="Rectangle 24">
          <a:extLst>
            <a:ext uri="{FF2B5EF4-FFF2-40B4-BE49-F238E27FC236}">
              <a16:creationId xmlns:a16="http://schemas.microsoft.com/office/drawing/2014/main" id="{00000000-0008-0000-1700-000019000000}"/>
            </a:ext>
          </a:extLst>
        </xdr:cNvPr>
        <xdr:cNvSpPr/>
      </xdr:nvSpPr>
      <xdr:spPr>
        <a:xfrm>
          <a:off x="4047752" y="1260453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84</xdr:col>
      <xdr:colOff>75095</xdr:colOff>
      <xdr:row>26</xdr:row>
      <xdr:rowOff>35327</xdr:rowOff>
    </xdr:from>
    <xdr:ext cx="963800" cy="311715"/>
    <xdr:sp macro="" textlink="">
      <xdr:nvSpPr>
        <xdr:cNvPr id="26" name="Rectangle 25">
          <a:extLst>
            <a:ext uri="{FF2B5EF4-FFF2-40B4-BE49-F238E27FC236}">
              <a16:creationId xmlns:a16="http://schemas.microsoft.com/office/drawing/2014/main" id="{00000000-0008-0000-1700-00001A000000}"/>
            </a:ext>
          </a:extLst>
        </xdr:cNvPr>
        <xdr:cNvSpPr/>
      </xdr:nvSpPr>
      <xdr:spPr>
        <a:xfrm>
          <a:off x="2513495" y="1249402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102</xdr:col>
      <xdr:colOff>96216</xdr:colOff>
      <xdr:row>49</xdr:row>
      <xdr:rowOff>91783</xdr:rowOff>
    </xdr:from>
    <xdr:to>
      <xdr:col>103</xdr:col>
      <xdr:colOff>109029</xdr:colOff>
      <xdr:row>52</xdr:row>
      <xdr:rowOff>10025</xdr:rowOff>
    </xdr:to>
    <xdr:sp macro="" textlink="">
      <xdr:nvSpPr>
        <xdr:cNvPr id="27" name="Freccia in giù 9">
          <a:extLst>
            <a:ext uri="{FF2B5EF4-FFF2-40B4-BE49-F238E27FC236}">
              <a16:creationId xmlns:a16="http://schemas.microsoft.com/office/drawing/2014/main" id="{00000000-0008-0000-1700-00001B000000}"/>
            </a:ext>
          </a:extLst>
        </xdr:cNvPr>
        <xdr:cNvSpPr/>
      </xdr:nvSpPr>
      <xdr:spPr>
        <a:xfrm rot="10800000">
          <a:off x="4839666" y="157699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25</xdr:row>
      <xdr:rowOff>4645</xdr:rowOff>
    </xdr:from>
    <xdr:to>
      <xdr:col>108</xdr:col>
      <xdr:colOff>43694</xdr:colOff>
      <xdr:row>26</xdr:row>
      <xdr:rowOff>8166</xdr:rowOff>
    </xdr:to>
    <xdr:sp macro="" textlink="">
      <xdr:nvSpPr>
        <xdr:cNvPr id="28" name="Freccia in giù 9">
          <a:extLst>
            <a:ext uri="{FF2B5EF4-FFF2-40B4-BE49-F238E27FC236}">
              <a16:creationId xmlns:a16="http://schemas.microsoft.com/office/drawing/2014/main" id="{00000000-0008-0000-1700-00001C000000}"/>
            </a:ext>
          </a:extLst>
        </xdr:cNvPr>
        <xdr:cNvSpPr/>
      </xdr:nvSpPr>
      <xdr:spPr>
        <a:xfrm rot="5400000">
          <a:off x="5307624" y="124920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81</xdr:col>
      <xdr:colOff>123377</xdr:colOff>
      <xdr:row>23</xdr:row>
      <xdr:rowOff>95893</xdr:rowOff>
    </xdr:from>
    <xdr:to>
      <xdr:col>83</xdr:col>
      <xdr:colOff>11633</xdr:colOff>
      <xdr:row>26</xdr:row>
      <xdr:rowOff>15028</xdr:rowOff>
    </xdr:to>
    <xdr:sp macro="" textlink="">
      <xdr:nvSpPr>
        <xdr:cNvPr id="29" name="Freccia in giù 9">
          <a:extLst>
            <a:ext uri="{FF2B5EF4-FFF2-40B4-BE49-F238E27FC236}">
              <a16:creationId xmlns:a16="http://schemas.microsoft.com/office/drawing/2014/main" id="{00000000-0008-0000-1700-00001D000000}"/>
            </a:ext>
          </a:extLst>
        </xdr:cNvPr>
        <xdr:cNvSpPr/>
      </xdr:nvSpPr>
      <xdr:spPr>
        <a:xfrm>
          <a:off x="2390327" y="1205929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39782</xdr:colOff>
      <xdr:row>31</xdr:row>
      <xdr:rowOff>35859</xdr:rowOff>
    </xdr:from>
    <xdr:to>
      <xdr:col>99</xdr:col>
      <xdr:colOff>118223</xdr:colOff>
      <xdr:row>45</xdr:row>
      <xdr:rowOff>2241</xdr:rowOff>
    </xdr:to>
    <xdr:sp macro="" textlink="">
      <xdr:nvSpPr>
        <xdr:cNvPr id="31" name="Oval 30">
          <a:extLst>
            <a:ext uri="{FF2B5EF4-FFF2-40B4-BE49-F238E27FC236}">
              <a16:creationId xmlns:a16="http://schemas.microsoft.com/office/drawing/2014/main" id="{00000000-0008-0000-1700-00001F000000}"/>
            </a:ext>
          </a:extLst>
        </xdr:cNvPr>
        <xdr:cNvSpPr/>
      </xdr:nvSpPr>
      <xdr:spPr>
        <a:xfrm>
          <a:off x="2925857" y="12989859"/>
          <a:ext cx="1688166"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78</xdr:col>
      <xdr:colOff>123377</xdr:colOff>
      <xdr:row>23</xdr:row>
      <xdr:rowOff>95893</xdr:rowOff>
    </xdr:from>
    <xdr:to>
      <xdr:col>80</xdr:col>
      <xdr:colOff>11633</xdr:colOff>
      <xdr:row>26</xdr:row>
      <xdr:rowOff>15028</xdr:rowOff>
    </xdr:to>
    <xdr:sp macro="" textlink="">
      <xdr:nvSpPr>
        <xdr:cNvPr id="33" name="Freccia in giù 9">
          <a:extLst>
            <a:ext uri="{FF2B5EF4-FFF2-40B4-BE49-F238E27FC236}">
              <a16:creationId xmlns:a16="http://schemas.microsoft.com/office/drawing/2014/main" id="{00000000-0008-0000-1700-000021000000}"/>
            </a:ext>
          </a:extLst>
        </xdr:cNvPr>
        <xdr:cNvSpPr/>
      </xdr:nvSpPr>
      <xdr:spPr>
        <a:xfrm>
          <a:off x="2018852" y="1205929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36132</xdr:colOff>
      <xdr:row>14</xdr:row>
      <xdr:rowOff>32229</xdr:rowOff>
    </xdr:from>
    <xdr:to>
      <xdr:col>74</xdr:col>
      <xdr:colOff>44135</xdr:colOff>
      <xdr:row>17</xdr:row>
      <xdr:rowOff>99809</xdr:rowOff>
    </xdr:to>
    <xdr:sp macro="" textlink="">
      <xdr:nvSpPr>
        <xdr:cNvPr id="34" name="Freccia in giù 9">
          <a:extLst>
            <a:ext uri="{FF2B5EF4-FFF2-40B4-BE49-F238E27FC236}">
              <a16:creationId xmlns:a16="http://schemas.microsoft.com/office/drawing/2014/main" id="{00000000-0008-0000-1700-000022000000}"/>
            </a:ext>
          </a:extLst>
        </xdr:cNvPr>
        <xdr:cNvSpPr/>
      </xdr:nvSpPr>
      <xdr:spPr>
        <a:xfrm>
          <a:off x="693357" y="10757379"/>
          <a:ext cx="131828"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59531</xdr:colOff>
      <xdr:row>14</xdr:row>
      <xdr:rowOff>35721</xdr:rowOff>
    </xdr:from>
    <xdr:to>
      <xdr:col>77</xdr:col>
      <xdr:colOff>65212</xdr:colOff>
      <xdr:row>17</xdr:row>
      <xdr:rowOff>89298</xdr:rowOff>
    </xdr:to>
    <xdr:sp macro="" textlink="">
      <xdr:nvSpPr>
        <xdr:cNvPr id="35" name="Freccia in giù 9">
          <a:extLst>
            <a:ext uri="{FF2B5EF4-FFF2-40B4-BE49-F238E27FC236}">
              <a16:creationId xmlns:a16="http://schemas.microsoft.com/office/drawing/2014/main" id="{00000000-0008-0000-1700-000023000000}"/>
            </a:ext>
          </a:extLst>
        </xdr:cNvPr>
        <xdr:cNvSpPr/>
      </xdr:nvSpPr>
      <xdr:spPr>
        <a:xfrm>
          <a:off x="1088231" y="10760871"/>
          <a:ext cx="129506" cy="4250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44134</xdr:colOff>
      <xdr:row>14</xdr:row>
      <xdr:rowOff>41672</xdr:rowOff>
    </xdr:from>
    <xdr:to>
      <xdr:col>74</xdr:col>
      <xdr:colOff>5953</xdr:colOff>
      <xdr:row>16</xdr:row>
      <xdr:rowOff>117626</xdr:rowOff>
    </xdr:to>
    <xdr:sp macro="" textlink="">
      <xdr:nvSpPr>
        <xdr:cNvPr id="36" name="Freccia curva 7">
          <a:extLst>
            <a:ext uri="{FF2B5EF4-FFF2-40B4-BE49-F238E27FC236}">
              <a16:creationId xmlns:a16="http://schemas.microsoft.com/office/drawing/2014/main" id="{00000000-0008-0000-1700-000024000000}"/>
            </a:ext>
          </a:extLst>
        </xdr:cNvPr>
        <xdr:cNvSpPr/>
      </xdr:nvSpPr>
      <xdr:spPr>
        <a:xfrm rot="10800000">
          <a:off x="577534" y="10766822"/>
          <a:ext cx="209469" cy="3236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89296</xdr:colOff>
      <xdr:row>14</xdr:row>
      <xdr:rowOff>47623</xdr:rowOff>
    </xdr:from>
    <xdr:to>
      <xdr:col>78</xdr:col>
      <xdr:colOff>65484</xdr:colOff>
      <xdr:row>16</xdr:row>
      <xdr:rowOff>83343</xdr:rowOff>
    </xdr:to>
    <xdr:sp macro="" textlink="">
      <xdr:nvSpPr>
        <xdr:cNvPr id="37" name="Freccia curva 8">
          <a:extLst>
            <a:ext uri="{FF2B5EF4-FFF2-40B4-BE49-F238E27FC236}">
              <a16:creationId xmlns:a16="http://schemas.microsoft.com/office/drawing/2014/main" id="{00000000-0008-0000-1700-000025000000}"/>
            </a:ext>
          </a:extLst>
        </xdr:cNvPr>
        <xdr:cNvSpPr/>
      </xdr:nvSpPr>
      <xdr:spPr>
        <a:xfrm rot="10800000" flipH="1">
          <a:off x="1117996" y="10772773"/>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108149</xdr:colOff>
      <xdr:row>59</xdr:row>
      <xdr:rowOff>11205</xdr:rowOff>
    </xdr:from>
    <xdr:to>
      <xdr:col>112</xdr:col>
      <xdr:colOff>69967</xdr:colOff>
      <xdr:row>61</xdr:row>
      <xdr:rowOff>87930</xdr:rowOff>
    </xdr:to>
    <xdr:sp macro="" textlink="">
      <xdr:nvSpPr>
        <xdr:cNvPr id="40" name="Freccia curva 7">
          <a:extLst>
            <a:ext uri="{FF2B5EF4-FFF2-40B4-BE49-F238E27FC236}">
              <a16:creationId xmlns:a16="http://schemas.microsoft.com/office/drawing/2014/main" id="{00000000-0008-0000-1700-000028000000}"/>
            </a:ext>
          </a:extLst>
        </xdr:cNvPr>
        <xdr:cNvSpPr/>
      </xdr:nvSpPr>
      <xdr:spPr>
        <a:xfrm>
          <a:off x="6708974" y="17051430"/>
          <a:ext cx="209468" cy="32437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29138</xdr:colOff>
      <xdr:row>59</xdr:row>
      <xdr:rowOff>22557</xdr:rowOff>
    </xdr:from>
    <xdr:to>
      <xdr:col>108</xdr:col>
      <xdr:colOff>5326</xdr:colOff>
      <xdr:row>61</xdr:row>
      <xdr:rowOff>58277</xdr:rowOff>
    </xdr:to>
    <xdr:sp macro="" textlink="">
      <xdr:nvSpPr>
        <xdr:cNvPr id="41" name="Freccia curva 8">
          <a:extLst>
            <a:ext uri="{FF2B5EF4-FFF2-40B4-BE49-F238E27FC236}">
              <a16:creationId xmlns:a16="http://schemas.microsoft.com/office/drawing/2014/main" id="{00000000-0008-0000-1700-000029000000}"/>
            </a:ext>
          </a:extLst>
        </xdr:cNvPr>
        <xdr:cNvSpPr/>
      </xdr:nvSpPr>
      <xdr:spPr>
        <a:xfrm flipH="1">
          <a:off x="6134663" y="17062782"/>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35052</xdr:colOff>
      <xdr:row>58</xdr:row>
      <xdr:rowOff>19581</xdr:rowOff>
    </xdr:from>
    <xdr:to>
      <xdr:col>108</xdr:col>
      <xdr:colOff>43054</xdr:colOff>
      <xdr:row>61</xdr:row>
      <xdr:rowOff>87161</xdr:rowOff>
    </xdr:to>
    <xdr:sp macro="" textlink="">
      <xdr:nvSpPr>
        <xdr:cNvPr id="44" name="Freccia in giù 9">
          <a:extLst>
            <a:ext uri="{FF2B5EF4-FFF2-40B4-BE49-F238E27FC236}">
              <a16:creationId xmlns:a16="http://schemas.microsoft.com/office/drawing/2014/main" id="{00000000-0008-0000-1700-00002C000000}"/>
            </a:ext>
          </a:extLst>
        </xdr:cNvPr>
        <xdr:cNvSpPr/>
      </xdr:nvSpPr>
      <xdr:spPr>
        <a:xfrm rot="10800000">
          <a:off x="6264402" y="16935981"/>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68138</xdr:colOff>
      <xdr:row>58</xdr:row>
      <xdr:rowOff>27603</xdr:rowOff>
    </xdr:from>
    <xdr:to>
      <xdr:col>111</xdr:col>
      <xdr:colOff>76140</xdr:colOff>
      <xdr:row>61</xdr:row>
      <xdr:rowOff>95183</xdr:rowOff>
    </xdr:to>
    <xdr:sp macro="" textlink="">
      <xdr:nvSpPr>
        <xdr:cNvPr id="45" name="Freccia in giù 9">
          <a:extLst>
            <a:ext uri="{FF2B5EF4-FFF2-40B4-BE49-F238E27FC236}">
              <a16:creationId xmlns:a16="http://schemas.microsoft.com/office/drawing/2014/main" id="{00000000-0008-0000-1700-00002D000000}"/>
            </a:ext>
          </a:extLst>
        </xdr:cNvPr>
        <xdr:cNvSpPr/>
      </xdr:nvSpPr>
      <xdr:spPr>
        <a:xfrm rot="10800000">
          <a:off x="6668963" y="16944003"/>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96216</xdr:colOff>
      <xdr:row>49</xdr:row>
      <xdr:rowOff>91783</xdr:rowOff>
    </xdr:from>
    <xdr:to>
      <xdr:col>106</xdr:col>
      <xdr:colOff>109029</xdr:colOff>
      <xdr:row>52</xdr:row>
      <xdr:rowOff>10025</xdr:rowOff>
    </xdr:to>
    <xdr:sp macro="" textlink="">
      <xdr:nvSpPr>
        <xdr:cNvPr id="55" name="Freccia in giù 9">
          <a:extLst>
            <a:ext uri="{FF2B5EF4-FFF2-40B4-BE49-F238E27FC236}">
              <a16:creationId xmlns:a16="http://schemas.microsoft.com/office/drawing/2014/main" id="{00000000-0008-0000-1700-000037000000}"/>
            </a:ext>
          </a:extLst>
        </xdr:cNvPr>
        <xdr:cNvSpPr/>
      </xdr:nvSpPr>
      <xdr:spPr>
        <a:xfrm rot="10800000">
          <a:off x="5211141" y="157699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50</xdr:row>
      <xdr:rowOff>6397</xdr:rowOff>
    </xdr:from>
    <xdr:to>
      <xdr:col>80</xdr:col>
      <xdr:colOff>5058</xdr:colOff>
      <xdr:row>51</xdr:row>
      <xdr:rowOff>9918</xdr:rowOff>
    </xdr:to>
    <xdr:sp macro="" textlink="">
      <xdr:nvSpPr>
        <xdr:cNvPr id="56" name="Freccia in giù 9">
          <a:extLst>
            <a:ext uri="{FF2B5EF4-FFF2-40B4-BE49-F238E27FC236}">
              <a16:creationId xmlns:a16="http://schemas.microsoft.com/office/drawing/2014/main" id="{00000000-0008-0000-1700-000038000000}"/>
            </a:ext>
          </a:extLst>
        </xdr:cNvPr>
        <xdr:cNvSpPr/>
      </xdr:nvSpPr>
      <xdr:spPr>
        <a:xfrm rot="16200000">
          <a:off x="1925712" y="153417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16</xdr:col>
      <xdr:colOff>48301</xdr:colOff>
      <xdr:row>41</xdr:row>
      <xdr:rowOff>56586</xdr:rowOff>
    </xdr:from>
    <xdr:ext cx="323023" cy="425198"/>
    <xdr:sp macro="" textlink="">
      <xdr:nvSpPr>
        <xdr:cNvPr id="58" name="Rectangle 57">
          <a:extLst>
            <a:ext uri="{FF2B5EF4-FFF2-40B4-BE49-F238E27FC236}">
              <a16:creationId xmlns:a16="http://schemas.microsoft.com/office/drawing/2014/main" id="{00000000-0008-0000-1700-00003A000000}"/>
            </a:ext>
          </a:extLst>
        </xdr:cNvPr>
        <xdr:cNvSpPr/>
      </xdr:nvSpPr>
      <xdr:spPr>
        <a:xfrm rot="6871470">
          <a:off x="1892689" y="51844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15</xdr:col>
      <xdr:colOff>13516</xdr:colOff>
      <xdr:row>44</xdr:row>
      <xdr:rowOff>63211</xdr:rowOff>
    </xdr:from>
    <xdr:ext cx="323023" cy="425198"/>
    <xdr:sp macro="" textlink="">
      <xdr:nvSpPr>
        <xdr:cNvPr id="59" name="Rectangle 58">
          <a:extLst>
            <a:ext uri="{FF2B5EF4-FFF2-40B4-BE49-F238E27FC236}">
              <a16:creationId xmlns:a16="http://schemas.microsoft.com/office/drawing/2014/main" id="{00000000-0008-0000-1700-00003B000000}"/>
            </a:ext>
          </a:extLst>
        </xdr:cNvPr>
        <xdr:cNvSpPr/>
      </xdr:nvSpPr>
      <xdr:spPr>
        <a:xfrm rot="6871470">
          <a:off x="1734079" y="55625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30</xdr:col>
      <xdr:colOff>64866</xdr:colOff>
      <xdr:row>55</xdr:row>
      <xdr:rowOff>34520</xdr:rowOff>
    </xdr:from>
    <xdr:ext cx="425198" cy="323023"/>
    <xdr:sp macro="" textlink="">
      <xdr:nvSpPr>
        <xdr:cNvPr id="60" name="Rectangle 59">
          <a:extLst>
            <a:ext uri="{FF2B5EF4-FFF2-40B4-BE49-F238E27FC236}">
              <a16:creationId xmlns:a16="http://schemas.microsoft.com/office/drawing/2014/main" id="{00000000-0008-0000-1700-00003C000000}"/>
            </a:ext>
          </a:extLst>
        </xdr:cNvPr>
        <xdr:cNvSpPr/>
      </xdr:nvSpPr>
      <xdr:spPr>
        <a:xfrm rot="1373632">
          <a:off x="3693891" y="684489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29</xdr:col>
      <xdr:colOff>30081</xdr:colOff>
      <xdr:row>54</xdr:row>
      <xdr:rowOff>99125</xdr:rowOff>
    </xdr:from>
    <xdr:ext cx="425198" cy="323023"/>
    <xdr:sp macro="" textlink="">
      <xdr:nvSpPr>
        <xdr:cNvPr id="61" name="Rectangle 60">
          <a:extLst>
            <a:ext uri="{FF2B5EF4-FFF2-40B4-BE49-F238E27FC236}">
              <a16:creationId xmlns:a16="http://schemas.microsoft.com/office/drawing/2014/main" id="{00000000-0008-0000-1700-00003D000000}"/>
            </a:ext>
          </a:extLst>
        </xdr:cNvPr>
        <xdr:cNvSpPr/>
      </xdr:nvSpPr>
      <xdr:spPr>
        <a:xfrm rot="1373632">
          <a:off x="3535281" y="678567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51085</xdr:colOff>
      <xdr:row>41</xdr:row>
      <xdr:rowOff>40021</xdr:rowOff>
    </xdr:from>
    <xdr:ext cx="323023" cy="425198"/>
    <xdr:sp macro="" textlink="">
      <xdr:nvSpPr>
        <xdr:cNvPr id="62" name="Rectangle 61">
          <a:extLst>
            <a:ext uri="{FF2B5EF4-FFF2-40B4-BE49-F238E27FC236}">
              <a16:creationId xmlns:a16="http://schemas.microsoft.com/office/drawing/2014/main" id="{00000000-0008-0000-1700-00003E000000}"/>
            </a:ext>
          </a:extLst>
        </xdr:cNvPr>
        <xdr:cNvSpPr/>
      </xdr:nvSpPr>
      <xdr:spPr>
        <a:xfrm rot="17271780">
          <a:off x="5114923" y="5167933"/>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28</xdr:col>
      <xdr:colOff>99238</xdr:colOff>
      <xdr:row>28</xdr:row>
      <xdr:rowOff>67103</xdr:rowOff>
    </xdr:from>
    <xdr:ext cx="430055" cy="323023"/>
    <xdr:sp macro="" textlink="">
      <xdr:nvSpPr>
        <xdr:cNvPr id="63" name="Rectangle 62">
          <a:extLst>
            <a:ext uri="{FF2B5EF4-FFF2-40B4-BE49-F238E27FC236}">
              <a16:creationId xmlns:a16="http://schemas.microsoft.com/office/drawing/2014/main" id="{00000000-0008-0000-1700-00003F000000}"/>
            </a:ext>
          </a:extLst>
        </xdr:cNvPr>
        <xdr:cNvSpPr/>
      </xdr:nvSpPr>
      <xdr:spPr>
        <a:xfrm rot="12020088">
          <a:off x="3480613" y="3534203"/>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43</xdr:col>
      <xdr:colOff>46116</xdr:colOff>
      <xdr:row>38</xdr:row>
      <xdr:rowOff>26769</xdr:rowOff>
    </xdr:from>
    <xdr:ext cx="323023" cy="425198"/>
    <xdr:sp macro="" textlink="">
      <xdr:nvSpPr>
        <xdr:cNvPr id="64" name="Rectangle 63">
          <a:extLst>
            <a:ext uri="{FF2B5EF4-FFF2-40B4-BE49-F238E27FC236}">
              <a16:creationId xmlns:a16="http://schemas.microsoft.com/office/drawing/2014/main" id="{00000000-0008-0000-1700-000040000000}"/>
            </a:ext>
          </a:extLst>
        </xdr:cNvPr>
        <xdr:cNvSpPr/>
      </xdr:nvSpPr>
      <xdr:spPr>
        <a:xfrm rot="17271780">
          <a:off x="5233779" y="4783206"/>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107408</xdr:colOff>
      <xdr:row>39</xdr:row>
      <xdr:rowOff>96340</xdr:rowOff>
    </xdr:from>
    <xdr:ext cx="323023" cy="425198"/>
    <xdr:sp macro="" textlink="">
      <xdr:nvSpPr>
        <xdr:cNvPr id="65" name="Rectangle 64">
          <a:extLst>
            <a:ext uri="{FF2B5EF4-FFF2-40B4-BE49-F238E27FC236}">
              <a16:creationId xmlns:a16="http://schemas.microsoft.com/office/drawing/2014/main" id="{00000000-0008-0000-1700-000041000000}"/>
            </a:ext>
          </a:extLst>
        </xdr:cNvPr>
        <xdr:cNvSpPr/>
      </xdr:nvSpPr>
      <xdr:spPr>
        <a:xfrm rot="17271780">
          <a:off x="5171246" y="4976602"/>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25</xdr:col>
      <xdr:colOff>110833</xdr:colOff>
      <xdr:row>27</xdr:row>
      <xdr:rowOff>62134</xdr:rowOff>
    </xdr:from>
    <xdr:ext cx="430055" cy="323023"/>
    <xdr:sp macro="" textlink="">
      <xdr:nvSpPr>
        <xdr:cNvPr id="66" name="Rectangle 65">
          <a:extLst>
            <a:ext uri="{FF2B5EF4-FFF2-40B4-BE49-F238E27FC236}">
              <a16:creationId xmlns:a16="http://schemas.microsoft.com/office/drawing/2014/main" id="{00000000-0008-0000-1700-000042000000}"/>
            </a:ext>
          </a:extLst>
        </xdr:cNvPr>
        <xdr:cNvSpPr/>
      </xdr:nvSpPr>
      <xdr:spPr>
        <a:xfrm rot="12020088">
          <a:off x="3120733" y="3405409"/>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twoCellAnchor>
    <xdr:from>
      <xdr:col>42</xdr:col>
      <xdr:colOff>33206</xdr:colOff>
      <xdr:row>24</xdr:row>
      <xdr:rowOff>16565</xdr:rowOff>
    </xdr:from>
    <xdr:to>
      <xdr:col>44</xdr:col>
      <xdr:colOff>115957</xdr:colOff>
      <xdr:row>36</xdr:row>
      <xdr:rowOff>66462</xdr:rowOff>
    </xdr:to>
    <xdr:cxnSp macro="">
      <xdr:nvCxnSpPr>
        <xdr:cNvPr id="69" name="Straight Connector 68">
          <a:extLst>
            <a:ext uri="{FF2B5EF4-FFF2-40B4-BE49-F238E27FC236}">
              <a16:creationId xmlns:a16="http://schemas.microsoft.com/office/drawing/2014/main" id="{00000000-0008-0000-1700-000045000000}"/>
            </a:ext>
          </a:extLst>
        </xdr:cNvPr>
        <xdr:cNvCxnSpPr>
          <a:stCxn id="83" idx="0"/>
        </xdr:cNvCxnSpPr>
      </xdr:nvCxnSpPr>
      <xdr:spPr>
        <a:xfrm rot="5400000" flipH="1" flipV="1">
          <a:off x="4563654" y="3603073"/>
          <a:ext cx="1540767" cy="33123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70247</xdr:colOff>
      <xdr:row>51</xdr:row>
      <xdr:rowOff>4444</xdr:rowOff>
    </xdr:from>
    <xdr:to>
      <xdr:col>44</xdr:col>
      <xdr:colOff>99394</xdr:colOff>
      <xdr:row>57</xdr:row>
      <xdr:rowOff>115960</xdr:rowOff>
    </xdr:to>
    <xdr:cxnSp macro="">
      <xdr:nvCxnSpPr>
        <xdr:cNvPr id="70" name="Straight Connector 69">
          <a:extLst>
            <a:ext uri="{FF2B5EF4-FFF2-40B4-BE49-F238E27FC236}">
              <a16:creationId xmlns:a16="http://schemas.microsoft.com/office/drawing/2014/main" id="{00000000-0008-0000-1700-000046000000}"/>
            </a:ext>
          </a:extLst>
        </xdr:cNvPr>
        <xdr:cNvCxnSpPr>
          <a:stCxn id="84" idx="5"/>
        </xdr:cNvCxnSpPr>
      </xdr:nvCxnSpPr>
      <xdr:spPr>
        <a:xfrm rot="16200000" flipH="1">
          <a:off x="4667324" y="6381824"/>
          <a:ext cx="856950" cy="774582"/>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16568</xdr:colOff>
      <xdr:row>21</xdr:row>
      <xdr:rowOff>0</xdr:rowOff>
    </xdr:from>
    <xdr:to>
      <xdr:col>31</xdr:col>
      <xdr:colOff>33130</xdr:colOff>
      <xdr:row>25</xdr:row>
      <xdr:rowOff>99394</xdr:rowOff>
    </xdr:to>
    <xdr:cxnSp macro="">
      <xdr:nvCxnSpPr>
        <xdr:cNvPr id="71" name="Straight Arrow Connector 70">
          <a:extLst>
            <a:ext uri="{FF2B5EF4-FFF2-40B4-BE49-F238E27FC236}">
              <a16:creationId xmlns:a16="http://schemas.microsoft.com/office/drawing/2014/main" id="{00000000-0008-0000-1700-000047000000}"/>
            </a:ext>
          </a:extLst>
        </xdr:cNvPr>
        <xdr:cNvCxnSpPr/>
      </xdr:nvCxnSpPr>
      <xdr:spPr>
        <a:xfrm rot="5400000">
          <a:off x="3371022" y="2774677"/>
          <a:ext cx="596350" cy="265040"/>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36202</xdr:colOff>
      <xdr:row>30</xdr:row>
      <xdr:rowOff>91108</xdr:rowOff>
    </xdr:from>
    <xdr:to>
      <xdr:col>34</xdr:col>
      <xdr:colOff>24848</xdr:colOff>
      <xdr:row>30</xdr:row>
      <xdr:rowOff>121595</xdr:rowOff>
    </xdr:to>
    <xdr:cxnSp macro="">
      <xdr:nvCxnSpPr>
        <xdr:cNvPr id="72" name="Straight Arrow Connector 71">
          <a:extLst>
            <a:ext uri="{FF2B5EF4-FFF2-40B4-BE49-F238E27FC236}">
              <a16:creationId xmlns:a16="http://schemas.microsoft.com/office/drawing/2014/main" id="{00000000-0008-0000-1700-000048000000}"/>
            </a:ext>
          </a:extLst>
        </xdr:cNvPr>
        <xdr:cNvCxnSpPr/>
      </xdr:nvCxnSpPr>
      <xdr:spPr>
        <a:xfrm rot="10800000" flipV="1">
          <a:off x="3432072" y="3818282"/>
          <a:ext cx="734080" cy="30487"/>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86967</xdr:colOff>
      <xdr:row>16</xdr:row>
      <xdr:rowOff>20293</xdr:rowOff>
    </xdr:from>
    <xdr:ext cx="963800" cy="311715"/>
    <xdr:sp macro="" textlink="">
      <xdr:nvSpPr>
        <xdr:cNvPr id="73" name="Rectangle 72">
          <a:extLst>
            <a:ext uri="{FF2B5EF4-FFF2-40B4-BE49-F238E27FC236}">
              <a16:creationId xmlns:a16="http://schemas.microsoft.com/office/drawing/2014/main" id="{00000000-0008-0000-1700-000049000000}"/>
            </a:ext>
          </a:extLst>
        </xdr:cNvPr>
        <xdr:cNvSpPr/>
      </xdr:nvSpPr>
      <xdr:spPr>
        <a:xfrm>
          <a:off x="749576" y="200811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5604</xdr:colOff>
      <xdr:row>16</xdr:row>
      <xdr:rowOff>28575</xdr:rowOff>
    </xdr:from>
    <xdr:ext cx="963800" cy="311715"/>
    <xdr:sp macro="" textlink="">
      <xdr:nvSpPr>
        <xdr:cNvPr id="74" name="Rectangle 73">
          <a:extLst>
            <a:ext uri="{FF2B5EF4-FFF2-40B4-BE49-F238E27FC236}">
              <a16:creationId xmlns:a16="http://schemas.microsoft.com/office/drawing/2014/main" id="{00000000-0008-0000-1700-00004A000000}"/>
            </a:ext>
          </a:extLst>
        </xdr:cNvPr>
        <xdr:cNvSpPr/>
      </xdr:nvSpPr>
      <xdr:spPr>
        <a:xfrm>
          <a:off x="5709398" y="200081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xdr:col>
      <xdr:colOff>112303</xdr:colOff>
      <xdr:row>55</xdr:row>
      <xdr:rowOff>20292</xdr:rowOff>
    </xdr:from>
    <xdr:ext cx="963800" cy="311715"/>
    <xdr:sp macro="" textlink="">
      <xdr:nvSpPr>
        <xdr:cNvPr id="75" name="Rectangle 74">
          <a:extLst>
            <a:ext uri="{FF2B5EF4-FFF2-40B4-BE49-F238E27FC236}">
              <a16:creationId xmlns:a16="http://schemas.microsoft.com/office/drawing/2014/main" id="{00000000-0008-0000-1700-00004B000000}"/>
            </a:ext>
          </a:extLst>
        </xdr:cNvPr>
        <xdr:cNvSpPr/>
      </xdr:nvSpPr>
      <xdr:spPr>
        <a:xfrm>
          <a:off x="762244" y="6799851"/>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13885</xdr:colOff>
      <xdr:row>55</xdr:row>
      <xdr:rowOff>17368</xdr:rowOff>
    </xdr:from>
    <xdr:ext cx="963800" cy="311715"/>
    <xdr:sp macro="" textlink="">
      <xdr:nvSpPr>
        <xdr:cNvPr id="76" name="Rectangle 75">
          <a:extLst>
            <a:ext uri="{FF2B5EF4-FFF2-40B4-BE49-F238E27FC236}">
              <a16:creationId xmlns:a16="http://schemas.microsoft.com/office/drawing/2014/main" id="{00000000-0008-0000-1700-00004C000000}"/>
            </a:ext>
          </a:extLst>
        </xdr:cNvPr>
        <xdr:cNvSpPr/>
      </xdr:nvSpPr>
      <xdr:spPr>
        <a:xfrm>
          <a:off x="5717679" y="679692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47</xdr:col>
      <xdr:colOff>65434</xdr:colOff>
      <xdr:row>41</xdr:row>
      <xdr:rowOff>2996</xdr:rowOff>
    </xdr:from>
    <xdr:to>
      <xdr:col>52</xdr:col>
      <xdr:colOff>57978</xdr:colOff>
      <xdr:row>42</xdr:row>
      <xdr:rowOff>91109</xdr:rowOff>
    </xdr:to>
    <xdr:cxnSp macro="">
      <xdr:nvCxnSpPr>
        <xdr:cNvPr id="77" name="Straight Arrow Connector 76">
          <a:extLst>
            <a:ext uri="{FF2B5EF4-FFF2-40B4-BE49-F238E27FC236}">
              <a16:creationId xmlns:a16="http://schemas.microsoft.com/office/drawing/2014/main" id="{00000000-0008-0000-1700-00004D000000}"/>
            </a:ext>
          </a:extLst>
        </xdr:cNvPr>
        <xdr:cNvCxnSpPr/>
      </xdr:nvCxnSpPr>
      <xdr:spPr>
        <a:xfrm rot="10800000">
          <a:off x="5821847" y="5096800"/>
          <a:ext cx="613740" cy="212352"/>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57979</xdr:colOff>
      <xdr:row>40</xdr:row>
      <xdr:rowOff>89997</xdr:rowOff>
    </xdr:from>
    <xdr:to>
      <xdr:col>42</xdr:col>
      <xdr:colOff>64607</xdr:colOff>
      <xdr:row>47</xdr:row>
      <xdr:rowOff>66262</xdr:rowOff>
    </xdr:to>
    <xdr:cxnSp macro="">
      <xdr:nvCxnSpPr>
        <xdr:cNvPr id="78" name="Straight Arrow Connector 77">
          <a:extLst>
            <a:ext uri="{FF2B5EF4-FFF2-40B4-BE49-F238E27FC236}">
              <a16:creationId xmlns:a16="http://schemas.microsoft.com/office/drawing/2014/main" id="{00000000-0008-0000-1700-00004E000000}"/>
            </a:ext>
          </a:extLst>
        </xdr:cNvPr>
        <xdr:cNvCxnSpPr/>
      </xdr:nvCxnSpPr>
      <xdr:spPr>
        <a:xfrm rot="5400000" flipH="1" flipV="1">
          <a:off x="4711421" y="5417098"/>
          <a:ext cx="845939" cy="130867"/>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56</xdr:row>
      <xdr:rowOff>49696</xdr:rowOff>
    </xdr:from>
    <xdr:to>
      <xdr:col>34</xdr:col>
      <xdr:colOff>16566</xdr:colOff>
      <xdr:row>61</xdr:row>
      <xdr:rowOff>49696</xdr:rowOff>
    </xdr:to>
    <xdr:cxnSp macro="">
      <xdr:nvCxnSpPr>
        <xdr:cNvPr id="79" name="Straight Arrow Connector 78">
          <a:extLst>
            <a:ext uri="{FF2B5EF4-FFF2-40B4-BE49-F238E27FC236}">
              <a16:creationId xmlns:a16="http://schemas.microsoft.com/office/drawing/2014/main" id="{00000000-0008-0000-1700-00004F000000}"/>
            </a:ext>
          </a:extLst>
        </xdr:cNvPr>
        <xdr:cNvCxnSpPr/>
      </xdr:nvCxnSpPr>
      <xdr:spPr>
        <a:xfrm rot="5400000" flipH="1" flipV="1">
          <a:off x="3714750" y="7185163"/>
          <a:ext cx="621196" cy="265044"/>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99391</xdr:colOff>
      <xdr:row>51</xdr:row>
      <xdr:rowOff>107675</xdr:rowOff>
    </xdr:from>
    <xdr:to>
      <xdr:col>34</xdr:col>
      <xdr:colOff>74544</xdr:colOff>
      <xdr:row>52</xdr:row>
      <xdr:rowOff>8282</xdr:rowOff>
    </xdr:to>
    <xdr:cxnSp macro="">
      <xdr:nvCxnSpPr>
        <xdr:cNvPr id="80" name="Straight Arrow Connector 79">
          <a:extLst>
            <a:ext uri="{FF2B5EF4-FFF2-40B4-BE49-F238E27FC236}">
              <a16:creationId xmlns:a16="http://schemas.microsoft.com/office/drawing/2014/main" id="{00000000-0008-0000-1700-000050000000}"/>
            </a:ext>
          </a:extLst>
        </xdr:cNvPr>
        <xdr:cNvCxnSpPr/>
      </xdr:nvCxnSpPr>
      <xdr:spPr>
        <a:xfrm flipV="1">
          <a:off x="3495261" y="6443871"/>
          <a:ext cx="720587" cy="2484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82826</xdr:colOff>
      <xdr:row>40</xdr:row>
      <xdr:rowOff>74544</xdr:rowOff>
    </xdr:from>
    <xdr:to>
      <xdr:col>15</xdr:col>
      <xdr:colOff>16980</xdr:colOff>
      <xdr:row>41</xdr:row>
      <xdr:rowOff>110669</xdr:rowOff>
    </xdr:to>
    <xdr:cxnSp macro="">
      <xdr:nvCxnSpPr>
        <xdr:cNvPr id="81" name="Straight Arrow Connector 80">
          <a:extLst>
            <a:ext uri="{FF2B5EF4-FFF2-40B4-BE49-F238E27FC236}">
              <a16:creationId xmlns:a16="http://schemas.microsoft.com/office/drawing/2014/main" id="{00000000-0008-0000-1700-000051000000}"/>
            </a:ext>
          </a:extLst>
        </xdr:cNvPr>
        <xdr:cNvCxnSpPr/>
      </xdr:nvCxnSpPr>
      <xdr:spPr>
        <a:xfrm>
          <a:off x="1366630" y="5044109"/>
          <a:ext cx="431111" cy="160364"/>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46387</xdr:colOff>
      <xdr:row>36</xdr:row>
      <xdr:rowOff>91112</xdr:rowOff>
    </xdr:from>
    <xdr:to>
      <xdr:col>20</xdr:col>
      <xdr:colOff>107676</xdr:colOff>
      <xdr:row>42</xdr:row>
      <xdr:rowOff>75086</xdr:rowOff>
    </xdr:to>
    <xdr:cxnSp macro="">
      <xdr:nvCxnSpPr>
        <xdr:cNvPr id="82" name="Straight Arrow Connector 81">
          <a:extLst>
            <a:ext uri="{FF2B5EF4-FFF2-40B4-BE49-F238E27FC236}">
              <a16:creationId xmlns:a16="http://schemas.microsoft.com/office/drawing/2014/main" id="{00000000-0008-0000-1700-000052000000}"/>
            </a:ext>
          </a:extLst>
        </xdr:cNvPr>
        <xdr:cNvCxnSpPr/>
      </xdr:nvCxnSpPr>
      <xdr:spPr>
        <a:xfrm rot="5400000">
          <a:off x="2114285" y="4897780"/>
          <a:ext cx="729408" cy="61289"/>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69680</xdr:colOff>
      <xdr:row>36</xdr:row>
      <xdr:rowOff>66462</xdr:rowOff>
    </xdr:from>
    <xdr:to>
      <xdr:col>42</xdr:col>
      <xdr:colOff>120968</xdr:colOff>
      <xdr:row>38</xdr:row>
      <xdr:rowOff>838</xdr:rowOff>
    </xdr:to>
    <xdr:sp macro="" textlink="">
      <xdr:nvSpPr>
        <xdr:cNvPr id="83" name="Oval 82">
          <a:extLst>
            <a:ext uri="{FF2B5EF4-FFF2-40B4-BE49-F238E27FC236}">
              <a16:creationId xmlns:a16="http://schemas.microsoft.com/office/drawing/2014/main" id="{00000000-0008-0000-1700-000053000000}"/>
            </a:ext>
          </a:extLst>
        </xdr:cNvPr>
        <xdr:cNvSpPr/>
      </xdr:nvSpPr>
      <xdr:spPr>
        <a:xfrm>
          <a:off x="5080658" y="4539071"/>
          <a:ext cx="175527" cy="182854"/>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37</xdr:col>
      <xdr:colOff>44311</xdr:colOff>
      <xdr:row>49</xdr:row>
      <xdr:rowOff>96493</xdr:rowOff>
    </xdr:from>
    <xdr:to>
      <xdr:col>38</xdr:col>
      <xdr:colOff>96013</xdr:colOff>
      <xdr:row>51</xdr:row>
      <xdr:rowOff>31283</xdr:rowOff>
    </xdr:to>
    <xdr:sp macro="" textlink="">
      <xdr:nvSpPr>
        <xdr:cNvPr id="84" name="Oval 83">
          <a:extLst>
            <a:ext uri="{FF2B5EF4-FFF2-40B4-BE49-F238E27FC236}">
              <a16:creationId xmlns:a16="http://schemas.microsoft.com/office/drawing/2014/main" id="{00000000-0008-0000-1700-000054000000}"/>
            </a:ext>
          </a:extLst>
        </xdr:cNvPr>
        <xdr:cNvSpPr/>
      </xdr:nvSpPr>
      <xdr:spPr>
        <a:xfrm>
          <a:off x="4558333" y="6184210"/>
          <a:ext cx="175941" cy="183269"/>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20</xdr:col>
      <xdr:colOff>7454</xdr:colOff>
      <xdr:row>45</xdr:row>
      <xdr:rowOff>58393</xdr:rowOff>
    </xdr:from>
    <xdr:to>
      <xdr:col>21</xdr:col>
      <xdr:colOff>58742</xdr:colOff>
      <xdr:row>46</xdr:row>
      <xdr:rowOff>117422</xdr:rowOff>
    </xdr:to>
    <xdr:sp macro="" textlink="">
      <xdr:nvSpPr>
        <xdr:cNvPr id="85" name="Oval 84">
          <a:extLst>
            <a:ext uri="{FF2B5EF4-FFF2-40B4-BE49-F238E27FC236}">
              <a16:creationId xmlns:a16="http://schemas.microsoft.com/office/drawing/2014/main" id="{00000000-0008-0000-1700-000055000000}"/>
            </a:ext>
          </a:extLst>
        </xdr:cNvPr>
        <xdr:cNvSpPr/>
      </xdr:nvSpPr>
      <xdr:spPr>
        <a:xfrm>
          <a:off x="2409411" y="5649154"/>
          <a:ext cx="175527" cy="183268"/>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23</xdr:col>
      <xdr:colOff>32301</xdr:colOff>
      <xdr:row>31</xdr:row>
      <xdr:rowOff>99392</xdr:rowOff>
    </xdr:from>
    <xdr:to>
      <xdr:col>24</xdr:col>
      <xdr:colOff>83589</xdr:colOff>
      <xdr:row>33</xdr:row>
      <xdr:rowOff>33768</xdr:rowOff>
    </xdr:to>
    <xdr:sp macro="" textlink="">
      <xdr:nvSpPr>
        <xdr:cNvPr id="86" name="Oval 85">
          <a:extLst>
            <a:ext uri="{FF2B5EF4-FFF2-40B4-BE49-F238E27FC236}">
              <a16:creationId xmlns:a16="http://schemas.microsoft.com/office/drawing/2014/main" id="{00000000-0008-0000-1700-000056000000}"/>
            </a:ext>
          </a:extLst>
        </xdr:cNvPr>
        <xdr:cNvSpPr/>
      </xdr:nvSpPr>
      <xdr:spPr>
        <a:xfrm>
          <a:off x="2806975" y="3950805"/>
          <a:ext cx="175527" cy="182854"/>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1</xdr:colOff>
      <xdr:row>26</xdr:row>
      <xdr:rowOff>8283</xdr:rowOff>
    </xdr:from>
    <xdr:to>
      <xdr:col>23</xdr:col>
      <xdr:colOff>58007</xdr:colOff>
      <xdr:row>32</xdr:row>
      <xdr:rowOff>1931</xdr:rowOff>
    </xdr:to>
    <xdr:cxnSp macro="">
      <xdr:nvCxnSpPr>
        <xdr:cNvPr id="87" name="Straight Connector 86">
          <a:extLst>
            <a:ext uri="{FF2B5EF4-FFF2-40B4-BE49-F238E27FC236}">
              <a16:creationId xmlns:a16="http://schemas.microsoft.com/office/drawing/2014/main" id="{00000000-0008-0000-1700-000057000000}"/>
            </a:ext>
          </a:extLst>
        </xdr:cNvPr>
        <xdr:cNvCxnSpPr>
          <a:stCxn id="86" idx="1"/>
        </xdr:cNvCxnSpPr>
      </xdr:nvCxnSpPr>
      <xdr:spPr>
        <a:xfrm rot="16200000" flipV="1">
          <a:off x="2061419" y="3206321"/>
          <a:ext cx="739083" cy="80344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115957</xdr:colOff>
      <xdr:row>46</xdr:row>
      <xdr:rowOff>117422</xdr:rowOff>
    </xdr:from>
    <xdr:to>
      <xdr:col>20</xdr:col>
      <xdr:colOff>95218</xdr:colOff>
      <xdr:row>58</xdr:row>
      <xdr:rowOff>0</xdr:rowOff>
    </xdr:to>
    <xdr:cxnSp macro="">
      <xdr:nvCxnSpPr>
        <xdr:cNvPr id="88" name="Straight Connector 87">
          <a:extLst>
            <a:ext uri="{FF2B5EF4-FFF2-40B4-BE49-F238E27FC236}">
              <a16:creationId xmlns:a16="http://schemas.microsoft.com/office/drawing/2014/main" id="{00000000-0008-0000-1700-000058000000}"/>
            </a:ext>
          </a:extLst>
        </xdr:cNvPr>
        <xdr:cNvCxnSpPr>
          <a:endCxn id="85" idx="4"/>
        </xdr:cNvCxnSpPr>
      </xdr:nvCxnSpPr>
      <xdr:spPr>
        <a:xfrm rot="5400000" flipH="1" flipV="1">
          <a:off x="1572342" y="6281037"/>
          <a:ext cx="1373448" cy="476218"/>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40023</xdr:colOff>
      <xdr:row>26</xdr:row>
      <xdr:rowOff>109065</xdr:rowOff>
    </xdr:from>
    <xdr:ext cx="425198" cy="323023"/>
    <xdr:sp macro="" textlink="">
      <xdr:nvSpPr>
        <xdr:cNvPr id="99" name="Rectangle 98">
          <a:extLst>
            <a:ext uri="{FF2B5EF4-FFF2-40B4-BE49-F238E27FC236}">
              <a16:creationId xmlns:a16="http://schemas.microsoft.com/office/drawing/2014/main" id="{00000000-0008-0000-1700-000063000000}"/>
            </a:ext>
          </a:extLst>
        </xdr:cNvPr>
        <xdr:cNvSpPr/>
      </xdr:nvSpPr>
      <xdr:spPr>
        <a:xfrm rot="12402296">
          <a:off x="3311653" y="333928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25</xdr:col>
      <xdr:colOff>68184</xdr:colOff>
      <xdr:row>26</xdr:row>
      <xdr:rowOff>4706</xdr:rowOff>
    </xdr:from>
    <xdr:ext cx="425198" cy="323023"/>
    <xdr:sp macro="" textlink="">
      <xdr:nvSpPr>
        <xdr:cNvPr id="100" name="Rectangle 99">
          <a:extLst>
            <a:ext uri="{FF2B5EF4-FFF2-40B4-BE49-F238E27FC236}">
              <a16:creationId xmlns:a16="http://schemas.microsoft.com/office/drawing/2014/main" id="{00000000-0008-0000-1700-000064000000}"/>
            </a:ext>
          </a:extLst>
        </xdr:cNvPr>
        <xdr:cNvSpPr/>
      </xdr:nvSpPr>
      <xdr:spPr>
        <a:xfrm rot="12402296">
          <a:off x="3091336" y="3234923"/>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32</xdr:col>
      <xdr:colOff>74545</xdr:colOff>
      <xdr:row>53</xdr:row>
      <xdr:rowOff>16561</xdr:rowOff>
    </xdr:from>
    <xdr:ext cx="425198" cy="323023"/>
    <xdr:sp macro="" textlink="">
      <xdr:nvSpPr>
        <xdr:cNvPr id="104" name="Rectangle 103">
          <a:extLst>
            <a:ext uri="{FF2B5EF4-FFF2-40B4-BE49-F238E27FC236}">
              <a16:creationId xmlns:a16="http://schemas.microsoft.com/office/drawing/2014/main" id="{00000000-0008-0000-1700-000068000000}"/>
            </a:ext>
          </a:extLst>
        </xdr:cNvPr>
        <xdr:cNvSpPr/>
      </xdr:nvSpPr>
      <xdr:spPr>
        <a:xfrm rot="1928974">
          <a:off x="3967371" y="6601235"/>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34</xdr:col>
      <xdr:colOff>28162</xdr:colOff>
      <xdr:row>53</xdr:row>
      <xdr:rowOff>110983</xdr:rowOff>
    </xdr:from>
    <xdr:ext cx="425198" cy="323023"/>
    <xdr:sp macro="" textlink="">
      <xdr:nvSpPr>
        <xdr:cNvPr id="105" name="Rectangle 104">
          <a:extLst>
            <a:ext uri="{FF2B5EF4-FFF2-40B4-BE49-F238E27FC236}">
              <a16:creationId xmlns:a16="http://schemas.microsoft.com/office/drawing/2014/main" id="{00000000-0008-0000-1700-000069000000}"/>
            </a:ext>
          </a:extLst>
        </xdr:cNvPr>
        <xdr:cNvSpPr/>
      </xdr:nvSpPr>
      <xdr:spPr>
        <a:xfrm rot="1928974">
          <a:off x="4169466" y="6695657"/>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15</xdr:col>
      <xdr:colOff>51085</xdr:colOff>
      <xdr:row>41</xdr:row>
      <xdr:rowOff>15173</xdr:rowOff>
    </xdr:from>
    <xdr:ext cx="323023" cy="425198"/>
    <xdr:sp macro="" textlink="">
      <xdr:nvSpPr>
        <xdr:cNvPr id="131" name="Rectangle 130">
          <a:extLst>
            <a:ext uri="{FF2B5EF4-FFF2-40B4-BE49-F238E27FC236}">
              <a16:creationId xmlns:a16="http://schemas.microsoft.com/office/drawing/2014/main" id="{00000000-0008-0000-1700-000083000000}"/>
            </a:ext>
          </a:extLst>
        </xdr:cNvPr>
        <xdr:cNvSpPr/>
      </xdr:nvSpPr>
      <xdr:spPr>
        <a:xfrm rot="7075519">
          <a:off x="1780759" y="5160064"/>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44</xdr:col>
      <xdr:colOff>117346</xdr:colOff>
      <xdr:row>38</xdr:row>
      <xdr:rowOff>89718</xdr:rowOff>
    </xdr:from>
    <xdr:ext cx="323023" cy="425198"/>
    <xdr:sp macro="" textlink="">
      <xdr:nvSpPr>
        <xdr:cNvPr id="135" name="Rectangle 134">
          <a:extLst>
            <a:ext uri="{FF2B5EF4-FFF2-40B4-BE49-F238E27FC236}">
              <a16:creationId xmlns:a16="http://schemas.microsoft.com/office/drawing/2014/main" id="{00000000-0008-0000-1700-000087000000}"/>
            </a:ext>
          </a:extLst>
        </xdr:cNvPr>
        <xdr:cNvSpPr/>
      </xdr:nvSpPr>
      <xdr:spPr>
        <a:xfrm rot="17936206">
          <a:off x="5449955" y="486189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twoCellAnchor>
    <xdr:from>
      <xdr:col>89</xdr:col>
      <xdr:colOff>85725</xdr:colOff>
      <xdr:row>24</xdr:row>
      <xdr:rowOff>47626</xdr:rowOff>
    </xdr:from>
    <xdr:to>
      <xdr:col>92</xdr:col>
      <xdr:colOff>35101</xdr:colOff>
      <xdr:row>25</xdr:row>
      <xdr:rowOff>54694</xdr:rowOff>
    </xdr:to>
    <xdr:sp macro="" textlink="">
      <xdr:nvSpPr>
        <xdr:cNvPr id="89" name="Freccia in giù 9">
          <a:extLst>
            <a:ext uri="{FF2B5EF4-FFF2-40B4-BE49-F238E27FC236}">
              <a16:creationId xmlns:a16="http://schemas.microsoft.com/office/drawing/2014/main" id="{00000000-0008-0000-1700-000059000000}"/>
            </a:ext>
          </a:extLst>
        </xdr:cNvPr>
        <xdr:cNvSpPr/>
      </xdr:nvSpPr>
      <xdr:spPr>
        <a:xfrm rot="4265451">
          <a:off x="3438254" y="12163697"/>
          <a:ext cx="130893" cy="3208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71231</xdr:colOff>
      <xdr:row>28</xdr:row>
      <xdr:rowOff>76200</xdr:rowOff>
    </xdr:from>
    <xdr:to>
      <xdr:col>107</xdr:col>
      <xdr:colOff>67986</xdr:colOff>
      <xdr:row>31</xdr:row>
      <xdr:rowOff>42051</xdr:rowOff>
    </xdr:to>
    <xdr:sp macro="" textlink="">
      <xdr:nvSpPr>
        <xdr:cNvPr id="90" name="Freccia in giù 9">
          <a:extLst>
            <a:ext uri="{FF2B5EF4-FFF2-40B4-BE49-F238E27FC236}">
              <a16:creationId xmlns:a16="http://schemas.microsoft.com/office/drawing/2014/main" id="{00000000-0008-0000-1700-00005A000000}"/>
            </a:ext>
          </a:extLst>
        </xdr:cNvPr>
        <xdr:cNvSpPr/>
      </xdr:nvSpPr>
      <xdr:spPr>
        <a:xfrm rot="9723139">
          <a:off x="5433806" y="12782550"/>
          <a:ext cx="120580"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77027</xdr:colOff>
      <xdr:row>44</xdr:row>
      <xdr:rowOff>89867</xdr:rowOff>
    </xdr:from>
    <xdr:to>
      <xdr:col>79</xdr:col>
      <xdr:colOff>69235</xdr:colOff>
      <xdr:row>47</xdr:row>
      <xdr:rowOff>38341</xdr:rowOff>
    </xdr:to>
    <xdr:sp macro="" textlink="">
      <xdr:nvSpPr>
        <xdr:cNvPr id="91" name="Freccia in giù 9">
          <a:extLst>
            <a:ext uri="{FF2B5EF4-FFF2-40B4-BE49-F238E27FC236}">
              <a16:creationId xmlns:a16="http://schemas.microsoft.com/office/drawing/2014/main" id="{00000000-0008-0000-1700-00005B000000}"/>
            </a:ext>
          </a:extLst>
        </xdr:cNvPr>
        <xdr:cNvSpPr/>
      </xdr:nvSpPr>
      <xdr:spPr>
        <a:xfrm rot="20584512">
          <a:off x="1972502" y="14777417"/>
          <a:ext cx="116033"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66262</xdr:colOff>
      <xdr:row>50</xdr:row>
      <xdr:rowOff>73301</xdr:rowOff>
    </xdr:from>
    <xdr:to>
      <xdr:col>100</xdr:col>
      <xdr:colOff>33113</xdr:colOff>
      <xdr:row>51</xdr:row>
      <xdr:rowOff>68007</xdr:rowOff>
    </xdr:to>
    <xdr:sp macro="" textlink="">
      <xdr:nvSpPr>
        <xdr:cNvPr id="93" name="Freccia in giù 9">
          <a:extLst>
            <a:ext uri="{FF2B5EF4-FFF2-40B4-BE49-F238E27FC236}">
              <a16:creationId xmlns:a16="http://schemas.microsoft.com/office/drawing/2014/main" id="{00000000-0008-0000-1700-00005D000000}"/>
            </a:ext>
          </a:extLst>
        </xdr:cNvPr>
        <xdr:cNvSpPr/>
      </xdr:nvSpPr>
      <xdr:spPr>
        <a:xfrm rot="15201463">
          <a:off x="4424309" y="15393904"/>
          <a:ext cx="118531" cy="338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67502</xdr:colOff>
      <xdr:row>44</xdr:row>
      <xdr:rowOff>108916</xdr:rowOff>
    </xdr:from>
    <xdr:to>
      <xdr:col>81</xdr:col>
      <xdr:colOff>59710</xdr:colOff>
      <xdr:row>47</xdr:row>
      <xdr:rowOff>57390</xdr:rowOff>
    </xdr:to>
    <xdr:sp macro="" textlink="">
      <xdr:nvSpPr>
        <xdr:cNvPr id="96" name="Freccia in giù 9">
          <a:extLst>
            <a:ext uri="{FF2B5EF4-FFF2-40B4-BE49-F238E27FC236}">
              <a16:creationId xmlns:a16="http://schemas.microsoft.com/office/drawing/2014/main" id="{00000000-0008-0000-1700-000060000000}"/>
            </a:ext>
          </a:extLst>
        </xdr:cNvPr>
        <xdr:cNvSpPr/>
      </xdr:nvSpPr>
      <xdr:spPr>
        <a:xfrm rot="20584512">
          <a:off x="2210627" y="14796466"/>
          <a:ext cx="116033" cy="3199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80756</xdr:colOff>
      <xdr:row>28</xdr:row>
      <xdr:rowOff>76199</xdr:rowOff>
    </xdr:from>
    <xdr:to>
      <xdr:col>105</xdr:col>
      <xdr:colOff>77511</xdr:colOff>
      <xdr:row>31</xdr:row>
      <xdr:rowOff>42050</xdr:rowOff>
    </xdr:to>
    <xdr:sp macro="" textlink="">
      <xdr:nvSpPr>
        <xdr:cNvPr id="97" name="Freccia in giù 9">
          <a:extLst>
            <a:ext uri="{FF2B5EF4-FFF2-40B4-BE49-F238E27FC236}">
              <a16:creationId xmlns:a16="http://schemas.microsoft.com/office/drawing/2014/main" id="{00000000-0008-0000-1700-000061000000}"/>
            </a:ext>
          </a:extLst>
        </xdr:cNvPr>
        <xdr:cNvSpPr/>
      </xdr:nvSpPr>
      <xdr:spPr>
        <a:xfrm rot="9723139">
          <a:off x="5195681" y="12782549"/>
          <a:ext cx="120580" cy="3373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38100</xdr:colOff>
      <xdr:row>36</xdr:row>
      <xdr:rowOff>38100</xdr:rowOff>
    </xdr:from>
    <xdr:to>
      <xdr:col>97</xdr:col>
      <xdr:colOff>104774</xdr:colOff>
      <xdr:row>40</xdr:row>
      <xdr:rowOff>19050</xdr:rowOff>
    </xdr:to>
    <xdr:sp macro="" textlink="">
      <xdr:nvSpPr>
        <xdr:cNvPr id="98" name="Right Arrow 97">
          <a:hlinkClick xmlns:r="http://schemas.openxmlformats.org/officeDocument/2006/relationships" r:id="rId2"/>
          <a:extLst>
            <a:ext uri="{FF2B5EF4-FFF2-40B4-BE49-F238E27FC236}">
              <a16:creationId xmlns:a16="http://schemas.microsoft.com/office/drawing/2014/main" id="{00000000-0008-0000-1700-000062000000}"/>
            </a:ext>
          </a:extLst>
        </xdr:cNvPr>
        <xdr:cNvSpPr/>
      </xdr:nvSpPr>
      <xdr:spPr>
        <a:xfrm>
          <a:off x="2933700" y="13735050"/>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90</xdr:col>
      <xdr:colOff>53688</xdr:colOff>
      <xdr:row>10</xdr:row>
      <xdr:rowOff>62470</xdr:rowOff>
    </xdr:from>
    <xdr:to>
      <xdr:col>92</xdr:col>
      <xdr:colOff>77017</xdr:colOff>
      <xdr:row>12</xdr:row>
      <xdr:rowOff>109538</xdr:rowOff>
    </xdr:to>
    <xdr:sp macro="" textlink="">
      <xdr:nvSpPr>
        <xdr:cNvPr id="5" name="Freccia curva 8">
          <a:extLst>
            <a:ext uri="{FF2B5EF4-FFF2-40B4-BE49-F238E27FC236}">
              <a16:creationId xmlns:a16="http://schemas.microsoft.com/office/drawing/2014/main" id="{00000000-0008-0000-1800-000005000000}"/>
            </a:ext>
          </a:extLst>
        </xdr:cNvPr>
        <xdr:cNvSpPr/>
      </xdr:nvSpPr>
      <xdr:spPr>
        <a:xfrm rot="10800000" flipH="1">
          <a:off x="3558888" y="97970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55058</xdr:colOff>
      <xdr:row>10</xdr:row>
      <xdr:rowOff>67264</xdr:rowOff>
    </xdr:from>
    <xdr:to>
      <xdr:col>95</xdr:col>
      <xdr:colOff>84922</xdr:colOff>
      <xdr:row>12</xdr:row>
      <xdr:rowOff>123518</xdr:rowOff>
    </xdr:to>
    <xdr:sp macro="" textlink="">
      <xdr:nvSpPr>
        <xdr:cNvPr id="6" name="Freccia a inversione 13">
          <a:extLst>
            <a:ext uri="{FF2B5EF4-FFF2-40B4-BE49-F238E27FC236}">
              <a16:creationId xmlns:a16="http://schemas.microsoft.com/office/drawing/2014/main" id="{00000000-0008-0000-1800-000006000000}"/>
            </a:ext>
          </a:extLst>
        </xdr:cNvPr>
        <xdr:cNvSpPr/>
      </xdr:nvSpPr>
      <xdr:spPr>
        <a:xfrm flipV="1">
          <a:off x="3931733" y="98018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101397</xdr:colOff>
      <xdr:row>10</xdr:row>
      <xdr:rowOff>51932</xdr:rowOff>
    </xdr:from>
    <xdr:to>
      <xdr:col>88</xdr:col>
      <xdr:colOff>114211</xdr:colOff>
      <xdr:row>12</xdr:row>
      <xdr:rowOff>95625</xdr:rowOff>
    </xdr:to>
    <xdr:sp macro="" textlink="">
      <xdr:nvSpPr>
        <xdr:cNvPr id="7" name="Freccia in giù 9">
          <a:extLst>
            <a:ext uri="{FF2B5EF4-FFF2-40B4-BE49-F238E27FC236}">
              <a16:creationId xmlns:a16="http://schemas.microsoft.com/office/drawing/2014/main" id="{00000000-0008-0000-1800-000007000000}"/>
            </a:ext>
          </a:extLst>
        </xdr:cNvPr>
        <xdr:cNvSpPr/>
      </xdr:nvSpPr>
      <xdr:spPr>
        <a:xfrm>
          <a:off x="3235122" y="97864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84</xdr:col>
      <xdr:colOff>32507</xdr:colOff>
      <xdr:row>10</xdr:row>
      <xdr:rowOff>111530</xdr:rowOff>
    </xdr:from>
    <xdr:to>
      <xdr:col>86</xdr:col>
      <xdr:colOff>65439</xdr:colOff>
      <xdr:row>13</xdr:row>
      <xdr:rowOff>9683</xdr:rowOff>
    </xdr:to>
    <xdr:sp macro="" textlink="">
      <xdr:nvSpPr>
        <xdr:cNvPr id="8" name="Freccia curva 7">
          <a:extLst>
            <a:ext uri="{FF2B5EF4-FFF2-40B4-BE49-F238E27FC236}">
              <a16:creationId xmlns:a16="http://schemas.microsoft.com/office/drawing/2014/main" id="{00000000-0008-0000-1800-000008000000}"/>
            </a:ext>
          </a:extLst>
        </xdr:cNvPr>
        <xdr:cNvSpPr/>
      </xdr:nvSpPr>
      <xdr:spPr>
        <a:xfrm rot="10800000">
          <a:off x="2794757" y="98460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66020</xdr:colOff>
      <xdr:row>38</xdr:row>
      <xdr:rowOff>58156</xdr:rowOff>
    </xdr:from>
    <xdr:to>
      <xdr:col>67</xdr:col>
      <xdr:colOff>24702</xdr:colOff>
      <xdr:row>40</xdr:row>
      <xdr:rowOff>69436</xdr:rowOff>
    </xdr:to>
    <xdr:sp macro="" textlink="">
      <xdr:nvSpPr>
        <xdr:cNvPr id="9" name="Freccia a inversione 13">
          <a:extLst>
            <a:ext uri="{FF2B5EF4-FFF2-40B4-BE49-F238E27FC236}">
              <a16:creationId xmlns:a16="http://schemas.microsoft.com/office/drawing/2014/main" id="{00000000-0008-0000-1800-000009000000}"/>
            </a:ext>
          </a:extLst>
        </xdr:cNvPr>
        <xdr:cNvSpPr/>
      </xdr:nvSpPr>
      <xdr:spPr>
        <a:xfrm rot="16200000" flipV="1">
          <a:off x="263559" y="1384331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51289</xdr:colOff>
      <xdr:row>41</xdr:row>
      <xdr:rowOff>58615</xdr:rowOff>
    </xdr:from>
    <xdr:to>
      <xdr:col>66</xdr:col>
      <xdr:colOff>116943</xdr:colOff>
      <xdr:row>43</xdr:row>
      <xdr:rowOff>63358</xdr:rowOff>
    </xdr:to>
    <xdr:sp macro="" textlink="">
      <xdr:nvSpPr>
        <xdr:cNvPr id="10" name="Freccia curva 8">
          <a:extLst>
            <a:ext uri="{FF2B5EF4-FFF2-40B4-BE49-F238E27FC236}">
              <a16:creationId xmlns:a16="http://schemas.microsoft.com/office/drawing/2014/main" id="{00000000-0008-0000-1800-00000A000000}"/>
            </a:ext>
          </a:extLst>
        </xdr:cNvPr>
        <xdr:cNvSpPr/>
      </xdr:nvSpPr>
      <xdr:spPr>
        <a:xfrm rot="5400000" flipH="1">
          <a:off x="243669" y="142204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73270</xdr:colOff>
      <xdr:row>47</xdr:row>
      <xdr:rowOff>80596</xdr:rowOff>
    </xdr:from>
    <xdr:to>
      <xdr:col>66</xdr:col>
      <xdr:colOff>134510</xdr:colOff>
      <xdr:row>49</xdr:row>
      <xdr:rowOff>94943</xdr:rowOff>
    </xdr:to>
    <xdr:sp macro="" textlink="">
      <xdr:nvSpPr>
        <xdr:cNvPr id="11" name="Freccia curva 7">
          <a:extLst>
            <a:ext uri="{FF2B5EF4-FFF2-40B4-BE49-F238E27FC236}">
              <a16:creationId xmlns:a16="http://schemas.microsoft.com/office/drawing/2014/main" id="{00000000-0008-0000-1800-00000B000000}"/>
            </a:ext>
          </a:extLst>
        </xdr:cNvPr>
        <xdr:cNvSpPr/>
      </xdr:nvSpPr>
      <xdr:spPr>
        <a:xfrm rot="5400000">
          <a:off x="253879" y="149971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92</xdr:col>
      <xdr:colOff>96343</xdr:colOff>
      <xdr:row>49</xdr:row>
      <xdr:rowOff>8090</xdr:rowOff>
    </xdr:from>
    <xdr:ext cx="963800" cy="311715"/>
    <xdr:sp macro="" textlink="">
      <xdr:nvSpPr>
        <xdr:cNvPr id="12" name="Rectangle 11">
          <a:extLst>
            <a:ext uri="{FF2B5EF4-FFF2-40B4-BE49-F238E27FC236}">
              <a16:creationId xmlns:a16="http://schemas.microsoft.com/office/drawing/2014/main" id="{00000000-0008-0000-1800-00000C000000}"/>
            </a:ext>
          </a:extLst>
        </xdr:cNvPr>
        <xdr:cNvSpPr/>
      </xdr:nvSpPr>
      <xdr:spPr>
        <a:xfrm>
          <a:off x="3449143" y="1531476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64</xdr:col>
      <xdr:colOff>58937</xdr:colOff>
      <xdr:row>45</xdr:row>
      <xdr:rowOff>6397</xdr:rowOff>
    </xdr:from>
    <xdr:to>
      <xdr:col>67</xdr:col>
      <xdr:colOff>5058</xdr:colOff>
      <xdr:row>46</xdr:row>
      <xdr:rowOff>9918</xdr:rowOff>
    </xdr:to>
    <xdr:sp macro="" textlink="">
      <xdr:nvSpPr>
        <xdr:cNvPr id="13" name="Freccia in giù 9">
          <a:extLst>
            <a:ext uri="{FF2B5EF4-FFF2-40B4-BE49-F238E27FC236}">
              <a16:creationId xmlns:a16="http://schemas.microsoft.com/office/drawing/2014/main" id="{00000000-0008-0000-1800-00000D000000}"/>
            </a:ext>
          </a:extLst>
        </xdr:cNvPr>
        <xdr:cNvSpPr/>
      </xdr:nvSpPr>
      <xdr:spPr>
        <a:xfrm rot="16200000">
          <a:off x="315987" y="145988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5" name="Freccia curva 66">
          <a:extLst>
            <a:ext uri="{FF2B5EF4-FFF2-40B4-BE49-F238E27FC236}">
              <a16:creationId xmlns:a16="http://schemas.microsoft.com/office/drawing/2014/main" id="{00000000-0008-0000-1800-00000F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6" name="Freccia curva 66">
          <a:extLst>
            <a:ext uri="{FF2B5EF4-FFF2-40B4-BE49-F238E27FC236}">
              <a16:creationId xmlns:a16="http://schemas.microsoft.com/office/drawing/2014/main" id="{00000000-0008-0000-1800-000010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7" name="Freccia curva 66">
          <a:extLst>
            <a:ext uri="{FF2B5EF4-FFF2-40B4-BE49-F238E27FC236}">
              <a16:creationId xmlns:a16="http://schemas.microsoft.com/office/drawing/2014/main" id="{00000000-0008-0000-1800-000011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0</xdr:colOff>
      <xdr:row>35</xdr:row>
      <xdr:rowOff>136072</xdr:rowOff>
    </xdr:from>
    <xdr:to>
      <xdr:col>120</xdr:col>
      <xdr:colOff>55717</xdr:colOff>
      <xdr:row>37</xdr:row>
      <xdr:rowOff>82778</xdr:rowOff>
    </xdr:to>
    <xdr:sp macro="" textlink="">
      <xdr:nvSpPr>
        <xdr:cNvPr id="18" name="Freccia curva 66">
          <a:extLst>
            <a:ext uri="{FF2B5EF4-FFF2-40B4-BE49-F238E27FC236}">
              <a16:creationId xmlns:a16="http://schemas.microsoft.com/office/drawing/2014/main" id="{00000000-0008-0000-1800-000012000000}"/>
            </a:ext>
          </a:extLst>
        </xdr:cNvPr>
        <xdr:cNvSpPr/>
      </xdr:nvSpPr>
      <xdr:spPr>
        <a:xfrm rot="16200000" flipH="1">
          <a:off x="7022043" y="13402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66</xdr:row>
      <xdr:rowOff>91783</xdr:rowOff>
    </xdr:from>
    <xdr:to>
      <xdr:col>96</xdr:col>
      <xdr:colOff>109029</xdr:colOff>
      <xdr:row>69</xdr:row>
      <xdr:rowOff>10025</xdr:rowOff>
    </xdr:to>
    <xdr:sp macro="" textlink="">
      <xdr:nvSpPr>
        <xdr:cNvPr id="19" name="Freccia in giù 9">
          <a:extLst>
            <a:ext uri="{FF2B5EF4-FFF2-40B4-BE49-F238E27FC236}">
              <a16:creationId xmlns:a16="http://schemas.microsoft.com/office/drawing/2014/main" id="{00000000-0008-0000-1800-000013000000}"/>
            </a:ext>
          </a:extLst>
        </xdr:cNvPr>
        <xdr:cNvSpPr/>
      </xdr:nvSpPr>
      <xdr:spPr>
        <a:xfrm rot="10800000">
          <a:off x="4096716" y="176273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80</xdr:col>
      <xdr:colOff>17213</xdr:colOff>
      <xdr:row>46</xdr:row>
      <xdr:rowOff>65238</xdr:rowOff>
    </xdr:from>
    <xdr:ext cx="963800" cy="311715"/>
    <xdr:sp macro="" textlink="">
      <xdr:nvSpPr>
        <xdr:cNvPr id="20" name="Rectangle 19">
          <a:extLst>
            <a:ext uri="{FF2B5EF4-FFF2-40B4-BE49-F238E27FC236}">
              <a16:creationId xmlns:a16="http://schemas.microsoft.com/office/drawing/2014/main" id="{00000000-0008-0000-1800-000014000000}"/>
            </a:ext>
          </a:extLst>
        </xdr:cNvPr>
        <xdr:cNvSpPr/>
      </xdr:nvSpPr>
      <xdr:spPr>
        <a:xfrm>
          <a:off x="1998413" y="1500043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46691</xdr:colOff>
      <xdr:row>66</xdr:row>
      <xdr:rowOff>118493</xdr:rowOff>
    </xdr:from>
    <xdr:to>
      <xdr:col>91</xdr:col>
      <xdr:colOff>74536</xdr:colOff>
      <xdr:row>69</xdr:row>
      <xdr:rowOff>52529</xdr:rowOff>
    </xdr:to>
    <xdr:sp macro="" textlink="">
      <xdr:nvSpPr>
        <xdr:cNvPr id="21" name="Freccia a inversione 13">
          <a:extLst>
            <a:ext uri="{FF2B5EF4-FFF2-40B4-BE49-F238E27FC236}">
              <a16:creationId xmlns:a16="http://schemas.microsoft.com/office/drawing/2014/main" id="{00000000-0008-0000-1800-000015000000}"/>
            </a:ext>
          </a:extLst>
        </xdr:cNvPr>
        <xdr:cNvSpPr/>
      </xdr:nvSpPr>
      <xdr:spPr>
        <a:xfrm rot="10800000" flipV="1">
          <a:off x="3304241" y="176540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67</xdr:row>
      <xdr:rowOff>3514</xdr:rowOff>
    </xdr:from>
    <xdr:to>
      <xdr:col>94</xdr:col>
      <xdr:colOff>59418</xdr:colOff>
      <xdr:row>69</xdr:row>
      <xdr:rowOff>50582</xdr:rowOff>
    </xdr:to>
    <xdr:sp macro="" textlink="">
      <xdr:nvSpPr>
        <xdr:cNvPr id="22" name="Freccia curva 8">
          <a:extLst>
            <a:ext uri="{FF2B5EF4-FFF2-40B4-BE49-F238E27FC236}">
              <a16:creationId xmlns:a16="http://schemas.microsoft.com/office/drawing/2014/main" id="{00000000-0008-0000-1800-000016000000}"/>
            </a:ext>
          </a:extLst>
        </xdr:cNvPr>
        <xdr:cNvSpPr/>
      </xdr:nvSpPr>
      <xdr:spPr>
        <a:xfrm flipH="1">
          <a:off x="3665114" y="176628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94989</xdr:colOff>
      <xdr:row>38</xdr:row>
      <xdr:rowOff>82275</xdr:rowOff>
    </xdr:from>
    <xdr:to>
      <xdr:col>120</xdr:col>
      <xdr:colOff>56903</xdr:colOff>
      <xdr:row>40</xdr:row>
      <xdr:rowOff>91535</xdr:rowOff>
    </xdr:to>
    <xdr:sp macro="" textlink="">
      <xdr:nvSpPr>
        <xdr:cNvPr id="23" name="Freccia a inversione 13">
          <a:extLst>
            <a:ext uri="{FF2B5EF4-FFF2-40B4-BE49-F238E27FC236}">
              <a16:creationId xmlns:a16="http://schemas.microsoft.com/office/drawing/2014/main" id="{00000000-0008-0000-1800-000017000000}"/>
            </a:ext>
          </a:extLst>
        </xdr:cNvPr>
        <xdr:cNvSpPr/>
      </xdr:nvSpPr>
      <xdr:spPr>
        <a:xfrm rot="5400000" flipV="1">
          <a:off x="6981704" y="137409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97574</xdr:colOff>
      <xdr:row>33</xdr:row>
      <xdr:rowOff>4645</xdr:rowOff>
    </xdr:from>
    <xdr:to>
      <xdr:col>120</xdr:col>
      <xdr:colOff>43694</xdr:colOff>
      <xdr:row>34</xdr:row>
      <xdr:rowOff>8166</xdr:rowOff>
    </xdr:to>
    <xdr:sp macro="" textlink="">
      <xdr:nvSpPr>
        <xdr:cNvPr id="25" name="Freccia in giù 9">
          <a:extLst>
            <a:ext uri="{FF2B5EF4-FFF2-40B4-BE49-F238E27FC236}">
              <a16:creationId xmlns:a16="http://schemas.microsoft.com/office/drawing/2014/main" id="{00000000-0008-0000-1800-000019000000}"/>
            </a:ext>
          </a:extLst>
        </xdr:cNvPr>
        <xdr:cNvSpPr/>
      </xdr:nvSpPr>
      <xdr:spPr>
        <a:xfrm rot="5400000">
          <a:off x="7041174" y="129873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67</xdr:row>
      <xdr:rowOff>18603</xdr:rowOff>
    </xdr:from>
    <xdr:to>
      <xdr:col>100</xdr:col>
      <xdr:colOff>74730</xdr:colOff>
      <xdr:row>69</xdr:row>
      <xdr:rowOff>42207</xdr:rowOff>
    </xdr:to>
    <xdr:sp macro="" textlink="">
      <xdr:nvSpPr>
        <xdr:cNvPr id="26" name="Freccia curva 7">
          <a:extLst>
            <a:ext uri="{FF2B5EF4-FFF2-40B4-BE49-F238E27FC236}">
              <a16:creationId xmlns:a16="http://schemas.microsoft.com/office/drawing/2014/main" id="{00000000-0008-0000-1800-00001A000000}"/>
            </a:ext>
          </a:extLst>
        </xdr:cNvPr>
        <xdr:cNvSpPr/>
      </xdr:nvSpPr>
      <xdr:spPr>
        <a:xfrm>
          <a:off x="4413774" y="176779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107674</xdr:colOff>
      <xdr:row>29</xdr:row>
      <xdr:rowOff>57978</xdr:rowOff>
    </xdr:from>
    <xdr:to>
      <xdr:col>120</xdr:col>
      <xdr:colOff>7038</xdr:colOff>
      <xdr:row>31</xdr:row>
      <xdr:rowOff>90910</xdr:rowOff>
    </xdr:to>
    <xdr:sp macro="" textlink="">
      <xdr:nvSpPr>
        <xdr:cNvPr id="27" name="Freccia curva 7">
          <a:extLst>
            <a:ext uri="{FF2B5EF4-FFF2-40B4-BE49-F238E27FC236}">
              <a16:creationId xmlns:a16="http://schemas.microsoft.com/office/drawing/2014/main" id="{00000000-0008-0000-1800-00001B000000}"/>
            </a:ext>
          </a:extLst>
        </xdr:cNvPr>
        <xdr:cNvSpPr/>
      </xdr:nvSpPr>
      <xdr:spPr>
        <a:xfrm rot="16200000">
          <a:off x="6951278" y="126453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95</xdr:col>
      <xdr:colOff>123452</xdr:colOff>
      <xdr:row>30</xdr:row>
      <xdr:rowOff>117260</xdr:rowOff>
    </xdr:from>
    <xdr:ext cx="963800" cy="311715"/>
    <xdr:sp macro="" textlink="">
      <xdr:nvSpPr>
        <xdr:cNvPr id="28" name="Rectangle 27">
          <a:extLst>
            <a:ext uri="{FF2B5EF4-FFF2-40B4-BE49-F238E27FC236}">
              <a16:creationId xmlns:a16="http://schemas.microsoft.com/office/drawing/2014/main" id="{00000000-0008-0000-1800-00001C000000}"/>
            </a:ext>
          </a:extLst>
        </xdr:cNvPr>
        <xdr:cNvSpPr/>
      </xdr:nvSpPr>
      <xdr:spPr>
        <a:xfrm>
          <a:off x="4123952" y="1307126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83</xdr:col>
      <xdr:colOff>8420</xdr:colOff>
      <xdr:row>28</xdr:row>
      <xdr:rowOff>121052</xdr:rowOff>
    </xdr:from>
    <xdr:ext cx="963800" cy="311715"/>
    <xdr:sp macro="" textlink="">
      <xdr:nvSpPr>
        <xdr:cNvPr id="29" name="Rectangle 28">
          <a:extLst>
            <a:ext uri="{FF2B5EF4-FFF2-40B4-BE49-F238E27FC236}">
              <a16:creationId xmlns:a16="http://schemas.microsoft.com/office/drawing/2014/main" id="{00000000-0008-0000-1800-00001D000000}"/>
            </a:ext>
          </a:extLst>
        </xdr:cNvPr>
        <xdr:cNvSpPr/>
      </xdr:nvSpPr>
      <xdr:spPr>
        <a:xfrm>
          <a:off x="2523020" y="1282740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102</xdr:col>
      <xdr:colOff>96216</xdr:colOff>
      <xdr:row>53</xdr:row>
      <xdr:rowOff>91783</xdr:rowOff>
    </xdr:from>
    <xdr:to>
      <xdr:col>103</xdr:col>
      <xdr:colOff>109029</xdr:colOff>
      <xdr:row>56</xdr:row>
      <xdr:rowOff>10025</xdr:rowOff>
    </xdr:to>
    <xdr:sp macro="" textlink="">
      <xdr:nvSpPr>
        <xdr:cNvPr id="30" name="Freccia in giù 9">
          <a:extLst>
            <a:ext uri="{FF2B5EF4-FFF2-40B4-BE49-F238E27FC236}">
              <a16:creationId xmlns:a16="http://schemas.microsoft.com/office/drawing/2014/main" id="{00000000-0008-0000-1800-00001E000000}"/>
            </a:ext>
          </a:extLst>
        </xdr:cNvPr>
        <xdr:cNvSpPr/>
      </xdr:nvSpPr>
      <xdr:spPr>
        <a:xfrm rot="10800000">
          <a:off x="4839666" y="160175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28</xdr:row>
      <xdr:rowOff>4645</xdr:rowOff>
    </xdr:from>
    <xdr:to>
      <xdr:col>108</xdr:col>
      <xdr:colOff>43694</xdr:colOff>
      <xdr:row>29</xdr:row>
      <xdr:rowOff>8166</xdr:rowOff>
    </xdr:to>
    <xdr:sp macro="" textlink="">
      <xdr:nvSpPr>
        <xdr:cNvPr id="31" name="Freccia in giù 9">
          <a:extLst>
            <a:ext uri="{FF2B5EF4-FFF2-40B4-BE49-F238E27FC236}">
              <a16:creationId xmlns:a16="http://schemas.microsoft.com/office/drawing/2014/main" id="{00000000-0008-0000-1800-00001F000000}"/>
            </a:ext>
          </a:extLst>
        </xdr:cNvPr>
        <xdr:cNvSpPr/>
      </xdr:nvSpPr>
      <xdr:spPr>
        <a:xfrm rot="5400000">
          <a:off x="5431449" y="122443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123377</xdr:colOff>
      <xdr:row>23</xdr:row>
      <xdr:rowOff>95893</xdr:rowOff>
    </xdr:from>
    <xdr:to>
      <xdr:col>81</xdr:col>
      <xdr:colOff>11633</xdr:colOff>
      <xdr:row>26</xdr:row>
      <xdr:rowOff>15028</xdr:rowOff>
    </xdr:to>
    <xdr:sp macro="" textlink="">
      <xdr:nvSpPr>
        <xdr:cNvPr id="32" name="Freccia in giù 9">
          <a:extLst>
            <a:ext uri="{FF2B5EF4-FFF2-40B4-BE49-F238E27FC236}">
              <a16:creationId xmlns:a16="http://schemas.microsoft.com/office/drawing/2014/main" id="{00000000-0008-0000-1800-000020000000}"/>
            </a:ext>
          </a:extLst>
        </xdr:cNvPr>
        <xdr:cNvSpPr/>
      </xdr:nvSpPr>
      <xdr:spPr>
        <a:xfrm>
          <a:off x="2514152" y="1156399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58937</xdr:colOff>
      <xdr:row>54</xdr:row>
      <xdr:rowOff>6397</xdr:rowOff>
    </xdr:from>
    <xdr:to>
      <xdr:col>78</xdr:col>
      <xdr:colOff>5058</xdr:colOff>
      <xdr:row>55</xdr:row>
      <xdr:rowOff>9918</xdr:rowOff>
    </xdr:to>
    <xdr:sp macro="" textlink="">
      <xdr:nvSpPr>
        <xdr:cNvPr id="33" name="Freccia in giù 9">
          <a:extLst>
            <a:ext uri="{FF2B5EF4-FFF2-40B4-BE49-F238E27FC236}">
              <a16:creationId xmlns:a16="http://schemas.microsoft.com/office/drawing/2014/main" id="{00000000-0008-0000-1800-000021000000}"/>
            </a:ext>
          </a:extLst>
        </xdr:cNvPr>
        <xdr:cNvSpPr/>
      </xdr:nvSpPr>
      <xdr:spPr>
        <a:xfrm rot="16200000">
          <a:off x="1925712" y="157132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68357</xdr:colOff>
      <xdr:row>33</xdr:row>
      <xdr:rowOff>7284</xdr:rowOff>
    </xdr:from>
    <xdr:to>
      <xdr:col>99</xdr:col>
      <xdr:colOff>22973</xdr:colOff>
      <xdr:row>46</xdr:row>
      <xdr:rowOff>97491</xdr:rowOff>
    </xdr:to>
    <xdr:sp macro="" textlink="">
      <xdr:nvSpPr>
        <xdr:cNvPr id="34" name="Oval 33">
          <a:extLst>
            <a:ext uri="{FF2B5EF4-FFF2-40B4-BE49-F238E27FC236}">
              <a16:creationId xmlns:a16="http://schemas.microsoft.com/office/drawing/2014/main" id="{00000000-0008-0000-1800-000022000000}"/>
            </a:ext>
          </a:extLst>
        </xdr:cNvPr>
        <xdr:cNvSpPr/>
      </xdr:nvSpPr>
      <xdr:spPr>
        <a:xfrm>
          <a:off x="2830607" y="13208934"/>
          <a:ext cx="1688166"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76</xdr:col>
      <xdr:colOff>123377</xdr:colOff>
      <xdr:row>23</xdr:row>
      <xdr:rowOff>95893</xdr:rowOff>
    </xdr:from>
    <xdr:to>
      <xdr:col>78</xdr:col>
      <xdr:colOff>11633</xdr:colOff>
      <xdr:row>26</xdr:row>
      <xdr:rowOff>15028</xdr:rowOff>
    </xdr:to>
    <xdr:sp macro="" textlink="">
      <xdr:nvSpPr>
        <xdr:cNvPr id="36" name="Freccia in giù 9">
          <a:extLst>
            <a:ext uri="{FF2B5EF4-FFF2-40B4-BE49-F238E27FC236}">
              <a16:creationId xmlns:a16="http://schemas.microsoft.com/office/drawing/2014/main" id="{00000000-0008-0000-1800-000024000000}"/>
            </a:ext>
          </a:extLst>
        </xdr:cNvPr>
        <xdr:cNvSpPr/>
      </xdr:nvSpPr>
      <xdr:spPr>
        <a:xfrm>
          <a:off x="2142677" y="11563993"/>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36132</xdr:colOff>
      <xdr:row>14</xdr:row>
      <xdr:rowOff>32229</xdr:rowOff>
    </xdr:from>
    <xdr:to>
      <xdr:col>74</xdr:col>
      <xdr:colOff>44135</xdr:colOff>
      <xdr:row>17</xdr:row>
      <xdr:rowOff>99809</xdr:rowOff>
    </xdr:to>
    <xdr:sp macro="" textlink="">
      <xdr:nvSpPr>
        <xdr:cNvPr id="38" name="Freccia in giù 9">
          <a:extLst>
            <a:ext uri="{FF2B5EF4-FFF2-40B4-BE49-F238E27FC236}">
              <a16:creationId xmlns:a16="http://schemas.microsoft.com/office/drawing/2014/main" id="{00000000-0008-0000-1800-000026000000}"/>
            </a:ext>
          </a:extLst>
        </xdr:cNvPr>
        <xdr:cNvSpPr/>
      </xdr:nvSpPr>
      <xdr:spPr>
        <a:xfrm>
          <a:off x="693357" y="10509729"/>
          <a:ext cx="131828"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59531</xdr:colOff>
      <xdr:row>14</xdr:row>
      <xdr:rowOff>35721</xdr:rowOff>
    </xdr:from>
    <xdr:to>
      <xdr:col>77</xdr:col>
      <xdr:colOff>65212</xdr:colOff>
      <xdr:row>17</xdr:row>
      <xdr:rowOff>89298</xdr:rowOff>
    </xdr:to>
    <xdr:sp macro="" textlink="">
      <xdr:nvSpPr>
        <xdr:cNvPr id="39" name="Freccia in giù 9">
          <a:extLst>
            <a:ext uri="{FF2B5EF4-FFF2-40B4-BE49-F238E27FC236}">
              <a16:creationId xmlns:a16="http://schemas.microsoft.com/office/drawing/2014/main" id="{00000000-0008-0000-1800-000027000000}"/>
            </a:ext>
          </a:extLst>
        </xdr:cNvPr>
        <xdr:cNvSpPr/>
      </xdr:nvSpPr>
      <xdr:spPr>
        <a:xfrm>
          <a:off x="1088231" y="10513221"/>
          <a:ext cx="129506" cy="4250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44134</xdr:colOff>
      <xdr:row>14</xdr:row>
      <xdr:rowOff>41672</xdr:rowOff>
    </xdr:from>
    <xdr:to>
      <xdr:col>74</xdr:col>
      <xdr:colOff>5953</xdr:colOff>
      <xdr:row>16</xdr:row>
      <xdr:rowOff>117626</xdr:rowOff>
    </xdr:to>
    <xdr:sp macro="" textlink="">
      <xdr:nvSpPr>
        <xdr:cNvPr id="40" name="Freccia curva 7">
          <a:extLst>
            <a:ext uri="{FF2B5EF4-FFF2-40B4-BE49-F238E27FC236}">
              <a16:creationId xmlns:a16="http://schemas.microsoft.com/office/drawing/2014/main" id="{00000000-0008-0000-1800-000028000000}"/>
            </a:ext>
          </a:extLst>
        </xdr:cNvPr>
        <xdr:cNvSpPr/>
      </xdr:nvSpPr>
      <xdr:spPr>
        <a:xfrm rot="10800000">
          <a:off x="577534" y="10519172"/>
          <a:ext cx="209469" cy="3236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89296</xdr:colOff>
      <xdr:row>14</xdr:row>
      <xdr:rowOff>47623</xdr:rowOff>
    </xdr:from>
    <xdr:to>
      <xdr:col>78</xdr:col>
      <xdr:colOff>65484</xdr:colOff>
      <xdr:row>16</xdr:row>
      <xdr:rowOff>83343</xdr:rowOff>
    </xdr:to>
    <xdr:sp macro="" textlink="">
      <xdr:nvSpPr>
        <xdr:cNvPr id="41" name="Freccia curva 8">
          <a:extLst>
            <a:ext uri="{FF2B5EF4-FFF2-40B4-BE49-F238E27FC236}">
              <a16:creationId xmlns:a16="http://schemas.microsoft.com/office/drawing/2014/main" id="{00000000-0008-0000-1800-000029000000}"/>
            </a:ext>
          </a:extLst>
        </xdr:cNvPr>
        <xdr:cNvSpPr/>
      </xdr:nvSpPr>
      <xdr:spPr>
        <a:xfrm rot="10800000" flipH="1">
          <a:off x="1117996" y="10525123"/>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109</xdr:col>
      <xdr:colOff>108149</xdr:colOff>
      <xdr:row>63</xdr:row>
      <xdr:rowOff>11205</xdr:rowOff>
    </xdr:from>
    <xdr:to>
      <xdr:col>111</xdr:col>
      <xdr:colOff>69967</xdr:colOff>
      <xdr:row>65</xdr:row>
      <xdr:rowOff>87930</xdr:rowOff>
    </xdr:to>
    <xdr:sp macro="" textlink="">
      <xdr:nvSpPr>
        <xdr:cNvPr id="46" name="Freccia curva 7">
          <a:extLst>
            <a:ext uri="{FF2B5EF4-FFF2-40B4-BE49-F238E27FC236}">
              <a16:creationId xmlns:a16="http://schemas.microsoft.com/office/drawing/2014/main" id="{00000000-0008-0000-1800-00002E000000}"/>
            </a:ext>
          </a:extLst>
        </xdr:cNvPr>
        <xdr:cNvSpPr/>
      </xdr:nvSpPr>
      <xdr:spPr>
        <a:xfrm>
          <a:off x="6708974" y="16927605"/>
          <a:ext cx="209468" cy="32437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29138</xdr:colOff>
      <xdr:row>63</xdr:row>
      <xdr:rowOff>22557</xdr:rowOff>
    </xdr:from>
    <xdr:to>
      <xdr:col>107</xdr:col>
      <xdr:colOff>5326</xdr:colOff>
      <xdr:row>65</xdr:row>
      <xdr:rowOff>58277</xdr:rowOff>
    </xdr:to>
    <xdr:sp macro="" textlink="">
      <xdr:nvSpPr>
        <xdr:cNvPr id="47" name="Freccia curva 8">
          <a:extLst>
            <a:ext uri="{FF2B5EF4-FFF2-40B4-BE49-F238E27FC236}">
              <a16:creationId xmlns:a16="http://schemas.microsoft.com/office/drawing/2014/main" id="{00000000-0008-0000-1800-00002F000000}"/>
            </a:ext>
          </a:extLst>
        </xdr:cNvPr>
        <xdr:cNvSpPr/>
      </xdr:nvSpPr>
      <xdr:spPr>
        <a:xfrm flipH="1">
          <a:off x="6134663" y="16938957"/>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42607</xdr:colOff>
      <xdr:row>59</xdr:row>
      <xdr:rowOff>54431</xdr:rowOff>
    </xdr:from>
    <xdr:to>
      <xdr:col>71</xdr:col>
      <xdr:colOff>97971</xdr:colOff>
      <xdr:row>60</xdr:row>
      <xdr:rowOff>48986</xdr:rowOff>
    </xdr:to>
    <xdr:sp macro="" textlink="">
      <xdr:nvSpPr>
        <xdr:cNvPr id="50" name="Freccia in giù 9">
          <a:extLst>
            <a:ext uri="{FF2B5EF4-FFF2-40B4-BE49-F238E27FC236}">
              <a16:creationId xmlns:a16="http://schemas.microsoft.com/office/drawing/2014/main" id="{00000000-0008-0000-1800-000032000000}"/>
            </a:ext>
          </a:extLst>
        </xdr:cNvPr>
        <xdr:cNvSpPr/>
      </xdr:nvSpPr>
      <xdr:spPr>
        <a:xfrm rot="16200000">
          <a:off x="1101712" y="17064251"/>
          <a:ext cx="118380"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37165</xdr:colOff>
      <xdr:row>56</xdr:row>
      <xdr:rowOff>32656</xdr:rowOff>
    </xdr:from>
    <xdr:to>
      <xdr:col>71</xdr:col>
      <xdr:colOff>92529</xdr:colOff>
      <xdr:row>57</xdr:row>
      <xdr:rowOff>54429</xdr:rowOff>
    </xdr:to>
    <xdr:sp macro="" textlink="">
      <xdr:nvSpPr>
        <xdr:cNvPr id="51" name="Freccia in giù 9">
          <a:extLst>
            <a:ext uri="{FF2B5EF4-FFF2-40B4-BE49-F238E27FC236}">
              <a16:creationId xmlns:a16="http://schemas.microsoft.com/office/drawing/2014/main" id="{00000000-0008-0000-1800-000033000000}"/>
            </a:ext>
          </a:extLst>
        </xdr:cNvPr>
        <xdr:cNvSpPr/>
      </xdr:nvSpPr>
      <xdr:spPr>
        <a:xfrm rot="16200000">
          <a:off x="1082661" y="16684610"/>
          <a:ext cx="145598"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35052</xdr:colOff>
      <xdr:row>62</xdr:row>
      <xdr:rowOff>19581</xdr:rowOff>
    </xdr:from>
    <xdr:to>
      <xdr:col>107</xdr:col>
      <xdr:colOff>43054</xdr:colOff>
      <xdr:row>65</xdr:row>
      <xdr:rowOff>87161</xdr:rowOff>
    </xdr:to>
    <xdr:sp macro="" textlink="">
      <xdr:nvSpPr>
        <xdr:cNvPr id="52" name="Freccia in giù 9">
          <a:extLst>
            <a:ext uri="{FF2B5EF4-FFF2-40B4-BE49-F238E27FC236}">
              <a16:creationId xmlns:a16="http://schemas.microsoft.com/office/drawing/2014/main" id="{00000000-0008-0000-1800-000034000000}"/>
            </a:ext>
          </a:extLst>
        </xdr:cNvPr>
        <xdr:cNvSpPr/>
      </xdr:nvSpPr>
      <xdr:spPr>
        <a:xfrm rot="10800000">
          <a:off x="6264402" y="16812156"/>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109</xdr:col>
      <xdr:colOff>68138</xdr:colOff>
      <xdr:row>62</xdr:row>
      <xdr:rowOff>27603</xdr:rowOff>
    </xdr:from>
    <xdr:to>
      <xdr:col>110</xdr:col>
      <xdr:colOff>76140</xdr:colOff>
      <xdr:row>65</xdr:row>
      <xdr:rowOff>95183</xdr:rowOff>
    </xdr:to>
    <xdr:sp macro="" textlink="">
      <xdr:nvSpPr>
        <xdr:cNvPr id="53" name="Freccia in giù 9">
          <a:extLst>
            <a:ext uri="{FF2B5EF4-FFF2-40B4-BE49-F238E27FC236}">
              <a16:creationId xmlns:a16="http://schemas.microsoft.com/office/drawing/2014/main" id="{00000000-0008-0000-1800-000035000000}"/>
            </a:ext>
          </a:extLst>
        </xdr:cNvPr>
        <xdr:cNvSpPr/>
      </xdr:nvSpPr>
      <xdr:spPr>
        <a:xfrm rot="10800000">
          <a:off x="6668963" y="16820178"/>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120316</xdr:colOff>
      <xdr:row>18</xdr:row>
      <xdr:rowOff>40104</xdr:rowOff>
    </xdr:from>
    <xdr:to>
      <xdr:col>116</xdr:col>
      <xdr:colOff>90239</xdr:colOff>
      <xdr:row>20</xdr:row>
      <xdr:rowOff>25063</xdr:rowOff>
    </xdr:to>
    <xdr:sp macro="" textlink="">
      <xdr:nvSpPr>
        <xdr:cNvPr id="54" name="Freccia curva 7">
          <a:extLst>
            <a:ext uri="{FF2B5EF4-FFF2-40B4-BE49-F238E27FC236}">
              <a16:creationId xmlns:a16="http://schemas.microsoft.com/office/drawing/2014/main" id="{00000000-0008-0000-1800-000036000000}"/>
            </a:ext>
          </a:extLst>
        </xdr:cNvPr>
        <xdr:cNvSpPr/>
      </xdr:nvSpPr>
      <xdr:spPr>
        <a:xfrm rot="16200000">
          <a:off x="6280235" y="10339385"/>
          <a:ext cx="232609" cy="34139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35092</xdr:colOff>
      <xdr:row>19</xdr:row>
      <xdr:rowOff>60159</xdr:rowOff>
    </xdr:from>
    <xdr:to>
      <xdr:col>116</xdr:col>
      <xdr:colOff>100263</xdr:colOff>
      <xdr:row>20</xdr:row>
      <xdr:rowOff>65174</xdr:rowOff>
    </xdr:to>
    <xdr:sp macro="" textlink="">
      <xdr:nvSpPr>
        <xdr:cNvPr id="55" name="Freccia in giù 9">
          <a:extLst>
            <a:ext uri="{FF2B5EF4-FFF2-40B4-BE49-F238E27FC236}">
              <a16:creationId xmlns:a16="http://schemas.microsoft.com/office/drawing/2014/main" id="{00000000-0008-0000-1800-000037000000}"/>
            </a:ext>
          </a:extLst>
        </xdr:cNvPr>
        <xdr:cNvSpPr/>
      </xdr:nvSpPr>
      <xdr:spPr>
        <a:xfrm rot="5400000">
          <a:off x="6294520" y="10383756"/>
          <a:ext cx="128840" cy="43664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46675</xdr:colOff>
      <xdr:row>22</xdr:row>
      <xdr:rowOff>65692</xdr:rowOff>
    </xdr:from>
    <xdr:to>
      <xdr:col>116</xdr:col>
      <xdr:colOff>91554</xdr:colOff>
      <xdr:row>23</xdr:row>
      <xdr:rowOff>83326</xdr:rowOff>
    </xdr:to>
    <xdr:sp macro="" textlink="">
      <xdr:nvSpPr>
        <xdr:cNvPr id="56" name="Freccia in giù 9">
          <a:extLst>
            <a:ext uri="{FF2B5EF4-FFF2-40B4-BE49-F238E27FC236}">
              <a16:creationId xmlns:a16="http://schemas.microsoft.com/office/drawing/2014/main" id="{00000000-0008-0000-1800-000038000000}"/>
            </a:ext>
          </a:extLst>
        </xdr:cNvPr>
        <xdr:cNvSpPr/>
      </xdr:nvSpPr>
      <xdr:spPr>
        <a:xfrm rot="5400000">
          <a:off x="6289647" y="10777220"/>
          <a:ext cx="141459" cy="41635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48984</xdr:colOff>
      <xdr:row>59</xdr:row>
      <xdr:rowOff>87088</xdr:rowOff>
    </xdr:from>
    <xdr:to>
      <xdr:col>70</xdr:col>
      <xdr:colOff>114299</xdr:colOff>
      <xdr:row>61</xdr:row>
      <xdr:rowOff>81643</xdr:rowOff>
    </xdr:to>
    <xdr:sp macro="" textlink="">
      <xdr:nvSpPr>
        <xdr:cNvPr id="59" name="Freccia curva 7">
          <a:extLst>
            <a:ext uri="{FF2B5EF4-FFF2-40B4-BE49-F238E27FC236}">
              <a16:creationId xmlns:a16="http://schemas.microsoft.com/office/drawing/2014/main" id="{00000000-0008-0000-1800-00003B000000}"/>
            </a:ext>
          </a:extLst>
        </xdr:cNvPr>
        <xdr:cNvSpPr/>
      </xdr:nvSpPr>
      <xdr:spPr>
        <a:xfrm rot="5400000">
          <a:off x="989239" y="17215758"/>
          <a:ext cx="242205" cy="3129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43543</xdr:colOff>
      <xdr:row>55</xdr:row>
      <xdr:rowOff>43542</xdr:rowOff>
    </xdr:from>
    <xdr:to>
      <xdr:col>70</xdr:col>
      <xdr:colOff>87086</xdr:colOff>
      <xdr:row>57</xdr:row>
      <xdr:rowOff>15627</xdr:rowOff>
    </xdr:to>
    <xdr:sp macro="" textlink="">
      <xdr:nvSpPr>
        <xdr:cNvPr id="61" name="Freccia curva 8">
          <a:extLst>
            <a:ext uri="{FF2B5EF4-FFF2-40B4-BE49-F238E27FC236}">
              <a16:creationId xmlns:a16="http://schemas.microsoft.com/office/drawing/2014/main" id="{00000000-0008-0000-1800-00003D000000}"/>
            </a:ext>
          </a:extLst>
        </xdr:cNvPr>
        <xdr:cNvSpPr/>
      </xdr:nvSpPr>
      <xdr:spPr>
        <a:xfrm rot="5400000" flipH="1">
          <a:off x="984147" y="16676563"/>
          <a:ext cx="219735" cy="29119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32848</xdr:colOff>
      <xdr:row>22</xdr:row>
      <xdr:rowOff>105103</xdr:rowOff>
    </xdr:from>
    <xdr:to>
      <xdr:col>116</xdr:col>
      <xdr:colOff>115304</xdr:colOff>
      <xdr:row>24</xdr:row>
      <xdr:rowOff>70186</xdr:rowOff>
    </xdr:to>
    <xdr:sp macro="" textlink="">
      <xdr:nvSpPr>
        <xdr:cNvPr id="63" name="Freccia curva 66">
          <a:extLst>
            <a:ext uri="{FF2B5EF4-FFF2-40B4-BE49-F238E27FC236}">
              <a16:creationId xmlns:a16="http://schemas.microsoft.com/office/drawing/2014/main" id="{00000000-0008-0000-1800-00003F000000}"/>
            </a:ext>
          </a:extLst>
        </xdr:cNvPr>
        <xdr:cNvSpPr/>
      </xdr:nvSpPr>
      <xdr:spPr>
        <a:xfrm rot="16200000" flipH="1">
          <a:off x="6320884" y="10895392"/>
          <a:ext cx="212733" cy="330106"/>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96216</xdr:colOff>
      <xdr:row>53</xdr:row>
      <xdr:rowOff>91783</xdr:rowOff>
    </xdr:from>
    <xdr:to>
      <xdr:col>106</xdr:col>
      <xdr:colOff>109029</xdr:colOff>
      <xdr:row>56</xdr:row>
      <xdr:rowOff>10025</xdr:rowOff>
    </xdr:to>
    <xdr:sp macro="" textlink="">
      <xdr:nvSpPr>
        <xdr:cNvPr id="70" name="Freccia in giù 9">
          <a:extLst>
            <a:ext uri="{FF2B5EF4-FFF2-40B4-BE49-F238E27FC236}">
              <a16:creationId xmlns:a16="http://schemas.microsoft.com/office/drawing/2014/main" id="{00000000-0008-0000-1800-000046000000}"/>
            </a:ext>
          </a:extLst>
        </xdr:cNvPr>
        <xdr:cNvSpPr/>
      </xdr:nvSpPr>
      <xdr:spPr>
        <a:xfrm rot="10800000">
          <a:off x="5211141" y="160175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58937</xdr:colOff>
      <xdr:row>51</xdr:row>
      <xdr:rowOff>6397</xdr:rowOff>
    </xdr:from>
    <xdr:to>
      <xdr:col>78</xdr:col>
      <xdr:colOff>5058</xdr:colOff>
      <xdr:row>52</xdr:row>
      <xdr:rowOff>9918</xdr:rowOff>
    </xdr:to>
    <xdr:sp macro="" textlink="">
      <xdr:nvSpPr>
        <xdr:cNvPr id="72" name="Freccia in giù 9">
          <a:extLst>
            <a:ext uri="{FF2B5EF4-FFF2-40B4-BE49-F238E27FC236}">
              <a16:creationId xmlns:a16="http://schemas.microsoft.com/office/drawing/2014/main" id="{00000000-0008-0000-1800-000048000000}"/>
            </a:ext>
          </a:extLst>
        </xdr:cNvPr>
        <xdr:cNvSpPr/>
      </xdr:nvSpPr>
      <xdr:spPr>
        <a:xfrm rot="16200000">
          <a:off x="1925712" y="153417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25</xdr:row>
      <xdr:rowOff>4645</xdr:rowOff>
    </xdr:from>
    <xdr:to>
      <xdr:col>108</xdr:col>
      <xdr:colOff>43694</xdr:colOff>
      <xdr:row>26</xdr:row>
      <xdr:rowOff>8166</xdr:rowOff>
    </xdr:to>
    <xdr:sp macro="" textlink="">
      <xdr:nvSpPr>
        <xdr:cNvPr id="74" name="Freccia in giù 9">
          <a:extLst>
            <a:ext uri="{FF2B5EF4-FFF2-40B4-BE49-F238E27FC236}">
              <a16:creationId xmlns:a16="http://schemas.microsoft.com/office/drawing/2014/main" id="{00000000-0008-0000-1800-00004A000000}"/>
            </a:ext>
          </a:extLst>
        </xdr:cNvPr>
        <xdr:cNvSpPr/>
      </xdr:nvSpPr>
      <xdr:spPr>
        <a:xfrm rot="5400000">
          <a:off x="5431449" y="118729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16</xdr:col>
      <xdr:colOff>48301</xdr:colOff>
      <xdr:row>41</xdr:row>
      <xdr:rowOff>56586</xdr:rowOff>
    </xdr:from>
    <xdr:ext cx="323023" cy="425198"/>
    <xdr:sp macro="" textlink="">
      <xdr:nvSpPr>
        <xdr:cNvPr id="88" name="Rectangle 87">
          <a:extLst>
            <a:ext uri="{FF2B5EF4-FFF2-40B4-BE49-F238E27FC236}">
              <a16:creationId xmlns:a16="http://schemas.microsoft.com/office/drawing/2014/main" id="{00000000-0008-0000-1800-000058000000}"/>
            </a:ext>
          </a:extLst>
        </xdr:cNvPr>
        <xdr:cNvSpPr/>
      </xdr:nvSpPr>
      <xdr:spPr>
        <a:xfrm rot="6871470">
          <a:off x="1892689" y="51844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15</xdr:col>
      <xdr:colOff>13516</xdr:colOff>
      <xdr:row>44</xdr:row>
      <xdr:rowOff>63211</xdr:rowOff>
    </xdr:from>
    <xdr:ext cx="323023" cy="425198"/>
    <xdr:sp macro="" textlink="">
      <xdr:nvSpPr>
        <xdr:cNvPr id="90" name="Rectangle 89">
          <a:extLst>
            <a:ext uri="{FF2B5EF4-FFF2-40B4-BE49-F238E27FC236}">
              <a16:creationId xmlns:a16="http://schemas.microsoft.com/office/drawing/2014/main" id="{00000000-0008-0000-1800-00005A000000}"/>
            </a:ext>
          </a:extLst>
        </xdr:cNvPr>
        <xdr:cNvSpPr/>
      </xdr:nvSpPr>
      <xdr:spPr>
        <a:xfrm rot="6871470">
          <a:off x="1734079" y="5562598"/>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30</xdr:col>
      <xdr:colOff>64866</xdr:colOff>
      <xdr:row>55</xdr:row>
      <xdr:rowOff>34520</xdr:rowOff>
    </xdr:from>
    <xdr:ext cx="425198" cy="323023"/>
    <xdr:sp macro="" textlink="">
      <xdr:nvSpPr>
        <xdr:cNvPr id="91" name="Rectangle 90">
          <a:extLst>
            <a:ext uri="{FF2B5EF4-FFF2-40B4-BE49-F238E27FC236}">
              <a16:creationId xmlns:a16="http://schemas.microsoft.com/office/drawing/2014/main" id="{00000000-0008-0000-1800-00005B000000}"/>
            </a:ext>
          </a:extLst>
        </xdr:cNvPr>
        <xdr:cNvSpPr/>
      </xdr:nvSpPr>
      <xdr:spPr>
        <a:xfrm rot="1373632">
          <a:off x="3693891" y="684489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29</xdr:col>
      <xdr:colOff>30081</xdr:colOff>
      <xdr:row>54</xdr:row>
      <xdr:rowOff>99125</xdr:rowOff>
    </xdr:from>
    <xdr:ext cx="425198" cy="323023"/>
    <xdr:sp macro="" textlink="">
      <xdr:nvSpPr>
        <xdr:cNvPr id="93" name="Rectangle 92">
          <a:extLst>
            <a:ext uri="{FF2B5EF4-FFF2-40B4-BE49-F238E27FC236}">
              <a16:creationId xmlns:a16="http://schemas.microsoft.com/office/drawing/2014/main" id="{00000000-0008-0000-1800-00005D000000}"/>
            </a:ext>
          </a:extLst>
        </xdr:cNvPr>
        <xdr:cNvSpPr/>
      </xdr:nvSpPr>
      <xdr:spPr>
        <a:xfrm rot="1373632">
          <a:off x="3535281" y="6785675"/>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51085</xdr:colOff>
      <xdr:row>41</xdr:row>
      <xdr:rowOff>40021</xdr:rowOff>
    </xdr:from>
    <xdr:ext cx="323023" cy="425198"/>
    <xdr:sp macro="" textlink="">
      <xdr:nvSpPr>
        <xdr:cNvPr id="94" name="Rectangle 93">
          <a:extLst>
            <a:ext uri="{FF2B5EF4-FFF2-40B4-BE49-F238E27FC236}">
              <a16:creationId xmlns:a16="http://schemas.microsoft.com/office/drawing/2014/main" id="{00000000-0008-0000-1800-00005E000000}"/>
            </a:ext>
          </a:extLst>
        </xdr:cNvPr>
        <xdr:cNvSpPr/>
      </xdr:nvSpPr>
      <xdr:spPr>
        <a:xfrm rot="17271780">
          <a:off x="5114923" y="5167933"/>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28</xdr:col>
      <xdr:colOff>99238</xdr:colOff>
      <xdr:row>28</xdr:row>
      <xdr:rowOff>67103</xdr:rowOff>
    </xdr:from>
    <xdr:ext cx="430055" cy="323023"/>
    <xdr:sp macro="" textlink="">
      <xdr:nvSpPr>
        <xdr:cNvPr id="95" name="Rectangle 94">
          <a:extLst>
            <a:ext uri="{FF2B5EF4-FFF2-40B4-BE49-F238E27FC236}">
              <a16:creationId xmlns:a16="http://schemas.microsoft.com/office/drawing/2014/main" id="{00000000-0008-0000-1800-00005F000000}"/>
            </a:ext>
          </a:extLst>
        </xdr:cNvPr>
        <xdr:cNvSpPr/>
      </xdr:nvSpPr>
      <xdr:spPr>
        <a:xfrm rot="12020088">
          <a:off x="3480613" y="3534203"/>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43</xdr:col>
      <xdr:colOff>46116</xdr:colOff>
      <xdr:row>38</xdr:row>
      <xdr:rowOff>26769</xdr:rowOff>
    </xdr:from>
    <xdr:ext cx="323023" cy="425198"/>
    <xdr:sp macro="" textlink="">
      <xdr:nvSpPr>
        <xdr:cNvPr id="96" name="Rectangle 95">
          <a:extLst>
            <a:ext uri="{FF2B5EF4-FFF2-40B4-BE49-F238E27FC236}">
              <a16:creationId xmlns:a16="http://schemas.microsoft.com/office/drawing/2014/main" id="{00000000-0008-0000-1800-000060000000}"/>
            </a:ext>
          </a:extLst>
        </xdr:cNvPr>
        <xdr:cNvSpPr/>
      </xdr:nvSpPr>
      <xdr:spPr>
        <a:xfrm rot="17271780">
          <a:off x="5233779" y="4783206"/>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42</xdr:col>
      <xdr:colOff>107408</xdr:colOff>
      <xdr:row>39</xdr:row>
      <xdr:rowOff>96340</xdr:rowOff>
    </xdr:from>
    <xdr:ext cx="323023" cy="425198"/>
    <xdr:sp macro="" textlink="">
      <xdr:nvSpPr>
        <xdr:cNvPr id="97" name="Rectangle 96">
          <a:extLst>
            <a:ext uri="{FF2B5EF4-FFF2-40B4-BE49-F238E27FC236}">
              <a16:creationId xmlns:a16="http://schemas.microsoft.com/office/drawing/2014/main" id="{00000000-0008-0000-1800-000061000000}"/>
            </a:ext>
          </a:extLst>
        </xdr:cNvPr>
        <xdr:cNvSpPr/>
      </xdr:nvSpPr>
      <xdr:spPr>
        <a:xfrm rot="17271780">
          <a:off x="5171246" y="4976602"/>
          <a:ext cx="425198"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oneCellAnchor>
    <xdr:from>
      <xdr:col>25</xdr:col>
      <xdr:colOff>110833</xdr:colOff>
      <xdr:row>27</xdr:row>
      <xdr:rowOff>62134</xdr:rowOff>
    </xdr:from>
    <xdr:ext cx="430055" cy="323023"/>
    <xdr:sp macro="" textlink="">
      <xdr:nvSpPr>
        <xdr:cNvPr id="98" name="Rectangle 97">
          <a:extLst>
            <a:ext uri="{FF2B5EF4-FFF2-40B4-BE49-F238E27FC236}">
              <a16:creationId xmlns:a16="http://schemas.microsoft.com/office/drawing/2014/main" id="{00000000-0008-0000-1800-000062000000}"/>
            </a:ext>
          </a:extLst>
        </xdr:cNvPr>
        <xdr:cNvSpPr/>
      </xdr:nvSpPr>
      <xdr:spPr>
        <a:xfrm rot="12020088">
          <a:off x="3120733" y="3405409"/>
          <a:ext cx="430055" cy="323023"/>
        </a:xfrm>
        <a:prstGeom prst="rect">
          <a:avLst/>
        </a:prstGeom>
        <a:noFill/>
      </xdr:spPr>
      <xdr:txBody>
        <a:bodyPr wrap="square" lIns="91440" tIns="45720" rIns="91440" bIns="45720">
          <a:noAutofit/>
        </a:bodyPr>
        <a:lstStyle/>
        <a:p>
          <a:pPr algn="ctr"/>
          <a:endPar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endParaRPr>
        </a:p>
      </xdr:txBody>
    </xdr:sp>
    <xdr:clientData/>
  </xdr:oneCellAnchor>
  <xdr:twoCellAnchor editAs="oneCell">
    <xdr:from>
      <xdr:col>8</xdr:col>
      <xdr:colOff>103192</xdr:colOff>
      <xdr:row>28</xdr:row>
      <xdr:rowOff>77971</xdr:rowOff>
    </xdr:from>
    <xdr:to>
      <xdr:col>52</xdr:col>
      <xdr:colOff>88343</xdr:colOff>
      <xdr:row>51</xdr:row>
      <xdr:rowOff>100633</xdr:rowOff>
    </xdr:to>
    <xdr:pic>
      <xdr:nvPicPr>
        <xdr:cNvPr id="108" name="Picture 107" descr="2 Lane Roundabout-Model.jpg">
          <a:extLst>
            <a:ext uri="{FF2B5EF4-FFF2-40B4-BE49-F238E27FC236}">
              <a16:creationId xmlns:a16="http://schemas.microsoft.com/office/drawing/2014/main" id="{00000000-0008-0000-1800-00006C000000}"/>
            </a:ext>
          </a:extLst>
        </xdr:cNvPr>
        <xdr:cNvPicPr>
          <a:picLocks noChangeAspect="1"/>
        </xdr:cNvPicPr>
      </xdr:nvPicPr>
      <xdr:blipFill>
        <a:blip xmlns:r="http://schemas.openxmlformats.org/officeDocument/2006/relationships" r:embed="rId1" cstate="print"/>
        <a:srcRect t="21528" b="25174"/>
        <a:stretch>
          <a:fillRect/>
        </a:stretch>
      </xdr:blipFill>
      <xdr:spPr>
        <a:xfrm>
          <a:off x="1008067" y="3545071"/>
          <a:ext cx="5433451" cy="2870637"/>
        </a:xfrm>
        <a:prstGeom prst="rect">
          <a:avLst/>
        </a:prstGeom>
      </xdr:spPr>
    </xdr:pic>
    <xdr:clientData/>
  </xdr:twoCellAnchor>
  <xdr:twoCellAnchor editAs="oneCell">
    <xdr:from>
      <xdr:col>19</xdr:col>
      <xdr:colOff>121277</xdr:colOff>
      <xdr:row>19</xdr:row>
      <xdr:rowOff>57654</xdr:rowOff>
    </xdr:from>
    <xdr:to>
      <xdr:col>40</xdr:col>
      <xdr:colOff>46691</xdr:colOff>
      <xdr:row>62</xdr:row>
      <xdr:rowOff>90725</xdr:rowOff>
    </xdr:to>
    <xdr:pic>
      <xdr:nvPicPr>
        <xdr:cNvPr id="109" name="Picture 108" descr="2 Lane Roundabout-Model.jpg">
          <a:extLst>
            <a:ext uri="{FF2B5EF4-FFF2-40B4-BE49-F238E27FC236}">
              <a16:creationId xmlns:a16="http://schemas.microsoft.com/office/drawing/2014/main" id="{00000000-0008-0000-1800-00006D000000}"/>
            </a:ext>
          </a:extLst>
        </xdr:cNvPr>
        <xdr:cNvPicPr>
          <a:picLocks noChangeAspect="1"/>
        </xdr:cNvPicPr>
      </xdr:nvPicPr>
      <xdr:blipFill>
        <a:blip xmlns:r="http://schemas.openxmlformats.org/officeDocument/2006/relationships" r:embed="rId1" cstate="print"/>
        <a:srcRect l="25573" t="522" r="27950" b="1"/>
        <a:stretch>
          <a:fillRect/>
        </a:stretch>
      </xdr:blipFill>
      <xdr:spPr>
        <a:xfrm>
          <a:off x="2388227" y="2410329"/>
          <a:ext cx="2525739" cy="5357546"/>
        </a:xfrm>
        <a:prstGeom prst="rect">
          <a:avLst/>
        </a:prstGeom>
      </xdr:spPr>
    </xdr:pic>
    <xdr:clientData/>
  </xdr:twoCellAnchor>
  <xdr:twoCellAnchor>
    <xdr:from>
      <xdr:col>40</xdr:col>
      <xdr:colOff>41488</xdr:colOff>
      <xdr:row>25</xdr:row>
      <xdr:rowOff>114300</xdr:rowOff>
    </xdr:from>
    <xdr:to>
      <xdr:col>44</xdr:col>
      <xdr:colOff>104776</xdr:colOff>
      <xdr:row>37</xdr:row>
      <xdr:rowOff>201</xdr:rowOff>
    </xdr:to>
    <xdr:cxnSp macro="">
      <xdr:nvCxnSpPr>
        <xdr:cNvPr id="110" name="Straight Connector 109">
          <a:extLst>
            <a:ext uri="{FF2B5EF4-FFF2-40B4-BE49-F238E27FC236}">
              <a16:creationId xmlns:a16="http://schemas.microsoft.com/office/drawing/2014/main" id="{00000000-0008-0000-1800-00006E000000}"/>
            </a:ext>
          </a:extLst>
        </xdr:cNvPr>
        <xdr:cNvCxnSpPr>
          <a:stCxn id="124" idx="0"/>
        </xdr:cNvCxnSpPr>
      </xdr:nvCxnSpPr>
      <xdr:spPr>
        <a:xfrm rot="5400000" flipH="1" flipV="1">
          <a:off x="4502156" y="3616532"/>
          <a:ext cx="1371801" cy="558588"/>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111367</xdr:colOff>
      <xdr:row>50</xdr:row>
      <xdr:rowOff>12847</xdr:rowOff>
    </xdr:from>
    <xdr:to>
      <xdr:col>44</xdr:col>
      <xdr:colOff>95252</xdr:colOff>
      <xdr:row>58</xdr:row>
      <xdr:rowOff>95253</xdr:rowOff>
    </xdr:to>
    <xdr:cxnSp macro="">
      <xdr:nvCxnSpPr>
        <xdr:cNvPr id="111" name="Straight Connector 110">
          <a:extLst>
            <a:ext uri="{FF2B5EF4-FFF2-40B4-BE49-F238E27FC236}">
              <a16:creationId xmlns:a16="http://schemas.microsoft.com/office/drawing/2014/main" id="{00000000-0008-0000-1800-00006F000000}"/>
            </a:ext>
          </a:extLst>
        </xdr:cNvPr>
        <xdr:cNvCxnSpPr>
          <a:stCxn id="125" idx="5"/>
        </xdr:cNvCxnSpPr>
      </xdr:nvCxnSpPr>
      <xdr:spPr>
        <a:xfrm rot="16200000" flipH="1">
          <a:off x="4310257" y="6129532"/>
          <a:ext cx="1073006" cy="1222135"/>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95250</xdr:colOff>
      <xdr:row>21</xdr:row>
      <xdr:rowOff>76201</xdr:rowOff>
    </xdr:from>
    <xdr:to>
      <xdr:col>30</xdr:col>
      <xdr:colOff>114300</xdr:colOff>
      <xdr:row>25</xdr:row>
      <xdr:rowOff>95251</xdr:rowOff>
    </xdr:to>
    <xdr:cxnSp macro="">
      <xdr:nvCxnSpPr>
        <xdr:cNvPr id="112" name="Straight Arrow Connector 111">
          <a:extLst>
            <a:ext uri="{FF2B5EF4-FFF2-40B4-BE49-F238E27FC236}">
              <a16:creationId xmlns:a16="http://schemas.microsoft.com/office/drawing/2014/main" id="{00000000-0008-0000-1800-000070000000}"/>
            </a:ext>
          </a:extLst>
        </xdr:cNvPr>
        <xdr:cNvCxnSpPr/>
      </xdr:nvCxnSpPr>
      <xdr:spPr>
        <a:xfrm rot="5400000">
          <a:off x="3414713" y="2862263"/>
          <a:ext cx="514350" cy="142875"/>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73887</xdr:colOff>
      <xdr:row>31</xdr:row>
      <xdr:rowOff>12265</xdr:rowOff>
    </xdr:from>
    <xdr:to>
      <xdr:col>34</xdr:col>
      <xdr:colOff>57151</xdr:colOff>
      <xdr:row>31</xdr:row>
      <xdr:rowOff>85725</xdr:rowOff>
    </xdr:to>
    <xdr:cxnSp macro="">
      <xdr:nvCxnSpPr>
        <xdr:cNvPr id="113" name="Straight Arrow Connector 112">
          <a:extLst>
            <a:ext uri="{FF2B5EF4-FFF2-40B4-BE49-F238E27FC236}">
              <a16:creationId xmlns:a16="http://schemas.microsoft.com/office/drawing/2014/main" id="{00000000-0008-0000-1800-000071000000}"/>
            </a:ext>
          </a:extLst>
        </xdr:cNvPr>
        <xdr:cNvCxnSpPr/>
      </xdr:nvCxnSpPr>
      <xdr:spPr>
        <a:xfrm rot="10800000">
          <a:off x="3579087" y="3850840"/>
          <a:ext cx="602389" cy="73460"/>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19050</xdr:colOff>
      <xdr:row>16</xdr:row>
      <xdr:rowOff>9525</xdr:rowOff>
    </xdr:from>
    <xdr:ext cx="963800" cy="311715"/>
    <xdr:sp macro="" textlink="">
      <xdr:nvSpPr>
        <xdr:cNvPr id="114" name="Rectangle 113">
          <a:extLst>
            <a:ext uri="{FF2B5EF4-FFF2-40B4-BE49-F238E27FC236}">
              <a16:creationId xmlns:a16="http://schemas.microsoft.com/office/drawing/2014/main" id="{00000000-0008-0000-1800-000072000000}"/>
            </a:ext>
          </a:extLst>
        </xdr:cNvPr>
        <xdr:cNvSpPr/>
      </xdr:nvSpPr>
      <xdr:spPr>
        <a:xfrm>
          <a:off x="800100" y="199072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19050</xdr:colOff>
      <xdr:row>16</xdr:row>
      <xdr:rowOff>38100</xdr:rowOff>
    </xdr:from>
    <xdr:ext cx="963800" cy="311715"/>
    <xdr:sp macro="" textlink="">
      <xdr:nvSpPr>
        <xdr:cNvPr id="115" name="Rectangle 114">
          <a:extLst>
            <a:ext uri="{FF2B5EF4-FFF2-40B4-BE49-F238E27FC236}">
              <a16:creationId xmlns:a16="http://schemas.microsoft.com/office/drawing/2014/main" id="{00000000-0008-0000-1800-000073000000}"/>
            </a:ext>
          </a:extLst>
        </xdr:cNvPr>
        <xdr:cNvSpPr/>
      </xdr:nvSpPr>
      <xdr:spPr>
        <a:xfrm>
          <a:off x="5753100" y="201930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19050</xdr:colOff>
      <xdr:row>56</xdr:row>
      <xdr:rowOff>19050</xdr:rowOff>
    </xdr:from>
    <xdr:ext cx="963800" cy="311715"/>
    <xdr:sp macro="" textlink="">
      <xdr:nvSpPr>
        <xdr:cNvPr id="116" name="Rectangle 115">
          <a:extLst>
            <a:ext uri="{FF2B5EF4-FFF2-40B4-BE49-F238E27FC236}">
              <a16:creationId xmlns:a16="http://schemas.microsoft.com/office/drawing/2014/main" id="{00000000-0008-0000-1800-000074000000}"/>
            </a:ext>
          </a:extLst>
        </xdr:cNvPr>
        <xdr:cNvSpPr/>
      </xdr:nvSpPr>
      <xdr:spPr>
        <a:xfrm>
          <a:off x="5753100" y="695325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xdr:col>
      <xdr:colOff>28575</xdr:colOff>
      <xdr:row>56</xdr:row>
      <xdr:rowOff>28575</xdr:rowOff>
    </xdr:from>
    <xdr:ext cx="963800" cy="311715"/>
    <xdr:sp macro="" textlink="">
      <xdr:nvSpPr>
        <xdr:cNvPr id="117" name="Rectangle 116">
          <a:extLst>
            <a:ext uri="{FF2B5EF4-FFF2-40B4-BE49-F238E27FC236}">
              <a16:creationId xmlns:a16="http://schemas.microsoft.com/office/drawing/2014/main" id="{00000000-0008-0000-1800-000075000000}"/>
            </a:ext>
          </a:extLst>
        </xdr:cNvPr>
        <xdr:cNvSpPr/>
      </xdr:nvSpPr>
      <xdr:spPr>
        <a:xfrm>
          <a:off x="809625" y="696277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46</xdr:col>
      <xdr:colOff>6</xdr:colOff>
      <xdr:row>39</xdr:row>
      <xdr:rowOff>94522</xdr:rowOff>
    </xdr:from>
    <xdr:to>
      <xdr:col>49</xdr:col>
      <xdr:colOff>104776</xdr:colOff>
      <xdr:row>40</xdr:row>
      <xdr:rowOff>85726</xdr:rowOff>
    </xdr:to>
    <xdr:cxnSp macro="">
      <xdr:nvCxnSpPr>
        <xdr:cNvPr id="118" name="Straight Arrow Connector 117">
          <a:extLst>
            <a:ext uri="{FF2B5EF4-FFF2-40B4-BE49-F238E27FC236}">
              <a16:creationId xmlns:a16="http://schemas.microsoft.com/office/drawing/2014/main" id="{00000000-0008-0000-1800-000076000000}"/>
            </a:ext>
          </a:extLst>
        </xdr:cNvPr>
        <xdr:cNvCxnSpPr/>
      </xdr:nvCxnSpPr>
      <xdr:spPr>
        <a:xfrm rot="10800000">
          <a:off x="5610231" y="4923697"/>
          <a:ext cx="476245" cy="115029"/>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95253</xdr:colOff>
      <xdr:row>40</xdr:row>
      <xdr:rowOff>10068</xdr:rowOff>
    </xdr:from>
    <xdr:to>
      <xdr:col>40</xdr:col>
      <xdr:colOff>74134</xdr:colOff>
      <xdr:row>44</xdr:row>
      <xdr:rowOff>114300</xdr:rowOff>
    </xdr:to>
    <xdr:cxnSp macro="">
      <xdr:nvCxnSpPr>
        <xdr:cNvPr id="119" name="Straight Arrow Connector 118">
          <a:extLst>
            <a:ext uri="{FF2B5EF4-FFF2-40B4-BE49-F238E27FC236}">
              <a16:creationId xmlns:a16="http://schemas.microsoft.com/office/drawing/2014/main" id="{00000000-0008-0000-1800-000077000000}"/>
            </a:ext>
          </a:extLst>
        </xdr:cNvPr>
        <xdr:cNvCxnSpPr/>
      </xdr:nvCxnSpPr>
      <xdr:spPr>
        <a:xfrm rot="5400000" flipH="1" flipV="1">
          <a:off x="4590290" y="5211481"/>
          <a:ext cx="599532" cy="10270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57149</xdr:colOff>
      <xdr:row>55</xdr:row>
      <xdr:rowOff>114300</xdr:rowOff>
    </xdr:from>
    <xdr:to>
      <xdr:col>31</xdr:col>
      <xdr:colOff>66678</xdr:colOff>
      <xdr:row>60</xdr:row>
      <xdr:rowOff>114301</xdr:rowOff>
    </xdr:to>
    <xdr:cxnSp macro="">
      <xdr:nvCxnSpPr>
        <xdr:cNvPr id="120" name="Straight Arrow Connector 119">
          <a:extLst>
            <a:ext uri="{FF2B5EF4-FFF2-40B4-BE49-F238E27FC236}">
              <a16:creationId xmlns:a16="http://schemas.microsoft.com/office/drawing/2014/main" id="{00000000-0008-0000-1800-000078000000}"/>
            </a:ext>
          </a:extLst>
        </xdr:cNvPr>
        <xdr:cNvCxnSpPr/>
      </xdr:nvCxnSpPr>
      <xdr:spPr>
        <a:xfrm rot="5400000" flipH="1" flipV="1">
          <a:off x="3443288" y="7167561"/>
          <a:ext cx="619126" cy="133354"/>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xdr:colOff>
      <xdr:row>49</xdr:row>
      <xdr:rowOff>66675</xdr:rowOff>
    </xdr:from>
    <xdr:to>
      <xdr:col>32</xdr:col>
      <xdr:colOff>38099</xdr:colOff>
      <xdr:row>50</xdr:row>
      <xdr:rowOff>2195</xdr:rowOff>
    </xdr:to>
    <xdr:cxnSp macro="">
      <xdr:nvCxnSpPr>
        <xdr:cNvPr id="121" name="Straight Arrow Connector 120">
          <a:extLst>
            <a:ext uri="{FF2B5EF4-FFF2-40B4-BE49-F238E27FC236}">
              <a16:creationId xmlns:a16="http://schemas.microsoft.com/office/drawing/2014/main" id="{00000000-0008-0000-1800-000079000000}"/>
            </a:ext>
          </a:extLst>
        </xdr:cNvPr>
        <xdr:cNvCxnSpPr/>
      </xdr:nvCxnSpPr>
      <xdr:spPr>
        <a:xfrm>
          <a:off x="3267075" y="6134100"/>
          <a:ext cx="647699" cy="59345"/>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40</xdr:row>
      <xdr:rowOff>66675</xdr:rowOff>
    </xdr:from>
    <xdr:to>
      <xdr:col>15</xdr:col>
      <xdr:colOff>104775</xdr:colOff>
      <xdr:row>41</xdr:row>
      <xdr:rowOff>85725</xdr:rowOff>
    </xdr:to>
    <xdr:cxnSp macro="">
      <xdr:nvCxnSpPr>
        <xdr:cNvPr id="122" name="Straight Arrow Connector 121">
          <a:extLst>
            <a:ext uri="{FF2B5EF4-FFF2-40B4-BE49-F238E27FC236}">
              <a16:creationId xmlns:a16="http://schemas.microsoft.com/office/drawing/2014/main" id="{00000000-0008-0000-1800-00007A000000}"/>
            </a:ext>
          </a:extLst>
        </xdr:cNvPr>
        <xdr:cNvCxnSpPr/>
      </xdr:nvCxnSpPr>
      <xdr:spPr>
        <a:xfrm>
          <a:off x="1438275" y="5019675"/>
          <a:ext cx="438150" cy="142875"/>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25679</xdr:colOff>
      <xdr:row>36</xdr:row>
      <xdr:rowOff>85724</xdr:rowOff>
    </xdr:from>
    <xdr:to>
      <xdr:col>21</xdr:col>
      <xdr:colOff>95251</xdr:colOff>
      <xdr:row>41</xdr:row>
      <xdr:rowOff>73012</xdr:rowOff>
    </xdr:to>
    <xdr:cxnSp macro="">
      <xdr:nvCxnSpPr>
        <xdr:cNvPr id="123" name="Straight Arrow Connector 122">
          <a:extLst>
            <a:ext uri="{FF2B5EF4-FFF2-40B4-BE49-F238E27FC236}">
              <a16:creationId xmlns:a16="http://schemas.microsoft.com/office/drawing/2014/main" id="{00000000-0008-0000-1800-00007B000000}"/>
            </a:ext>
          </a:extLst>
        </xdr:cNvPr>
        <xdr:cNvCxnSpPr/>
      </xdr:nvCxnSpPr>
      <xdr:spPr>
        <a:xfrm rot="5400000">
          <a:off x="2271858" y="4811845"/>
          <a:ext cx="606413" cy="69572"/>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77962</xdr:colOff>
      <xdr:row>37</xdr:row>
      <xdr:rowOff>201</xdr:rowOff>
    </xdr:from>
    <xdr:to>
      <xdr:col>41</xdr:col>
      <xdr:colOff>5011</xdr:colOff>
      <xdr:row>38</xdr:row>
      <xdr:rowOff>58816</xdr:rowOff>
    </xdr:to>
    <xdr:sp macro="" textlink="">
      <xdr:nvSpPr>
        <xdr:cNvPr id="124" name="Oval 123">
          <a:extLst>
            <a:ext uri="{FF2B5EF4-FFF2-40B4-BE49-F238E27FC236}">
              <a16:creationId xmlns:a16="http://schemas.microsoft.com/office/drawing/2014/main" id="{00000000-0008-0000-1800-00007C000000}"/>
            </a:ext>
          </a:extLst>
        </xdr:cNvPr>
        <xdr:cNvSpPr/>
      </xdr:nvSpPr>
      <xdr:spPr>
        <a:xfrm>
          <a:off x="4821412" y="4581726"/>
          <a:ext cx="174699"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33</xdr:col>
      <xdr:colOff>85725</xdr:colOff>
      <xdr:row>48</xdr:row>
      <xdr:rowOff>104775</xdr:rowOff>
    </xdr:from>
    <xdr:to>
      <xdr:col>35</xdr:col>
      <xdr:colOff>13188</xdr:colOff>
      <xdr:row>50</xdr:row>
      <xdr:rowOff>39565</xdr:rowOff>
    </xdr:to>
    <xdr:sp macro="" textlink="">
      <xdr:nvSpPr>
        <xdr:cNvPr id="125" name="Oval 124">
          <a:extLst>
            <a:ext uri="{FF2B5EF4-FFF2-40B4-BE49-F238E27FC236}">
              <a16:creationId xmlns:a16="http://schemas.microsoft.com/office/drawing/2014/main" id="{00000000-0008-0000-1800-00007D000000}"/>
            </a:ext>
          </a:extLst>
        </xdr:cNvPr>
        <xdr:cNvSpPr/>
      </xdr:nvSpPr>
      <xdr:spPr>
        <a:xfrm>
          <a:off x="4086225" y="604837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20</xdr:col>
      <xdr:colOff>106845</xdr:colOff>
      <xdr:row>43</xdr:row>
      <xdr:rowOff>33545</xdr:rowOff>
    </xdr:from>
    <xdr:to>
      <xdr:col>22</xdr:col>
      <xdr:colOff>33894</xdr:colOff>
      <xdr:row>44</xdr:row>
      <xdr:rowOff>92574</xdr:rowOff>
    </xdr:to>
    <xdr:sp macro="" textlink="">
      <xdr:nvSpPr>
        <xdr:cNvPr id="126" name="Oval 125">
          <a:extLst>
            <a:ext uri="{FF2B5EF4-FFF2-40B4-BE49-F238E27FC236}">
              <a16:creationId xmlns:a16="http://schemas.microsoft.com/office/drawing/2014/main" id="{00000000-0008-0000-1800-00007E000000}"/>
            </a:ext>
          </a:extLst>
        </xdr:cNvPr>
        <xdr:cNvSpPr/>
      </xdr:nvSpPr>
      <xdr:spPr>
        <a:xfrm>
          <a:off x="2497620" y="5358020"/>
          <a:ext cx="174699" cy="182854"/>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65432</xdr:colOff>
      <xdr:row>30</xdr:row>
      <xdr:rowOff>41413</xdr:rowOff>
    </xdr:from>
    <xdr:to>
      <xdr:col>27</xdr:col>
      <xdr:colOff>116720</xdr:colOff>
      <xdr:row>31</xdr:row>
      <xdr:rowOff>100028</xdr:rowOff>
    </xdr:to>
    <xdr:sp macro="" textlink="">
      <xdr:nvSpPr>
        <xdr:cNvPr id="127" name="Oval 126">
          <a:extLst>
            <a:ext uri="{FF2B5EF4-FFF2-40B4-BE49-F238E27FC236}">
              <a16:creationId xmlns:a16="http://schemas.microsoft.com/office/drawing/2014/main" id="{00000000-0008-0000-1800-00007F000000}"/>
            </a:ext>
          </a:extLst>
        </xdr:cNvPr>
        <xdr:cNvSpPr/>
      </xdr:nvSpPr>
      <xdr:spPr>
        <a:xfrm>
          <a:off x="3199157" y="375616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1</xdr:colOff>
      <xdr:row>25</xdr:row>
      <xdr:rowOff>104775</xdr:rowOff>
    </xdr:from>
    <xdr:to>
      <xdr:col>26</xdr:col>
      <xdr:colOff>91078</xdr:colOff>
      <xdr:row>30</xdr:row>
      <xdr:rowOff>68131</xdr:rowOff>
    </xdr:to>
    <xdr:cxnSp macro="">
      <xdr:nvCxnSpPr>
        <xdr:cNvPr id="128" name="Straight Connector 127">
          <a:extLst>
            <a:ext uri="{FF2B5EF4-FFF2-40B4-BE49-F238E27FC236}">
              <a16:creationId xmlns:a16="http://schemas.microsoft.com/office/drawing/2014/main" id="{00000000-0008-0000-1800-000080000000}"/>
            </a:ext>
          </a:extLst>
        </xdr:cNvPr>
        <xdr:cNvCxnSpPr>
          <a:stCxn id="127" idx="1"/>
        </xdr:cNvCxnSpPr>
      </xdr:nvCxnSpPr>
      <xdr:spPr>
        <a:xfrm rot="16200000" flipV="1">
          <a:off x="2330811" y="2888890"/>
          <a:ext cx="582481" cy="1205502"/>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xdr:colOff>
      <xdr:row>44</xdr:row>
      <xdr:rowOff>92574</xdr:rowOff>
    </xdr:from>
    <xdr:to>
      <xdr:col>21</xdr:col>
      <xdr:colOff>70370</xdr:colOff>
      <xdr:row>58</xdr:row>
      <xdr:rowOff>107676</xdr:rowOff>
    </xdr:to>
    <xdr:cxnSp macro="">
      <xdr:nvCxnSpPr>
        <xdr:cNvPr id="129" name="Straight Connector 128">
          <a:extLst>
            <a:ext uri="{FF2B5EF4-FFF2-40B4-BE49-F238E27FC236}">
              <a16:creationId xmlns:a16="http://schemas.microsoft.com/office/drawing/2014/main" id="{00000000-0008-0000-1800-000081000000}"/>
            </a:ext>
          </a:extLst>
        </xdr:cNvPr>
        <xdr:cNvCxnSpPr>
          <a:endCxn id="126" idx="4"/>
        </xdr:cNvCxnSpPr>
      </xdr:nvCxnSpPr>
      <xdr:spPr>
        <a:xfrm rot="5400000" flipH="1" flipV="1">
          <a:off x="1427811" y="6132366"/>
          <a:ext cx="1748652" cy="565667"/>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104774</xdr:colOff>
      <xdr:row>41</xdr:row>
      <xdr:rowOff>76199</xdr:rowOff>
    </xdr:from>
    <xdr:ext cx="323023" cy="425198"/>
    <xdr:sp macro="" textlink="">
      <xdr:nvSpPr>
        <xdr:cNvPr id="100" name="Rectangle 99">
          <a:extLst>
            <a:ext uri="{FF2B5EF4-FFF2-40B4-BE49-F238E27FC236}">
              <a16:creationId xmlns:a16="http://schemas.microsoft.com/office/drawing/2014/main" id="{00000000-0008-0000-1800-000064000000}"/>
            </a:ext>
          </a:extLst>
        </xdr:cNvPr>
        <xdr:cNvSpPr/>
      </xdr:nvSpPr>
      <xdr:spPr>
        <a:xfrm rot="6871470">
          <a:off x="1825337" y="5204111"/>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16</xdr:col>
      <xdr:colOff>57151</xdr:colOff>
      <xdr:row>39</xdr:row>
      <xdr:rowOff>114300</xdr:rowOff>
    </xdr:from>
    <xdr:ext cx="323023" cy="425198"/>
    <xdr:sp macro="" textlink="">
      <xdr:nvSpPr>
        <xdr:cNvPr id="101" name="Rectangle 100">
          <a:extLst>
            <a:ext uri="{FF2B5EF4-FFF2-40B4-BE49-F238E27FC236}">
              <a16:creationId xmlns:a16="http://schemas.microsoft.com/office/drawing/2014/main" id="{00000000-0008-0000-1800-000065000000}"/>
            </a:ext>
          </a:extLst>
        </xdr:cNvPr>
        <xdr:cNvSpPr/>
      </xdr:nvSpPr>
      <xdr:spPr>
        <a:xfrm rot="6871470">
          <a:off x="1901539" y="499456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31</xdr:col>
      <xdr:colOff>66674</xdr:colOff>
      <xdr:row>53</xdr:row>
      <xdr:rowOff>28575</xdr:rowOff>
    </xdr:from>
    <xdr:ext cx="425198" cy="323023"/>
    <xdr:sp macro="" textlink="">
      <xdr:nvSpPr>
        <xdr:cNvPr id="105" name="Rectangle 104">
          <a:extLst>
            <a:ext uri="{FF2B5EF4-FFF2-40B4-BE49-F238E27FC236}">
              <a16:creationId xmlns:a16="http://schemas.microsoft.com/office/drawing/2014/main" id="{00000000-0008-0000-1800-000069000000}"/>
            </a:ext>
          </a:extLst>
        </xdr:cNvPr>
        <xdr:cNvSpPr/>
      </xdr:nvSpPr>
      <xdr:spPr>
        <a:xfrm rot="1373632">
          <a:off x="3819524" y="6591300"/>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29</xdr:col>
      <xdr:colOff>123823</xdr:colOff>
      <xdr:row>52</xdr:row>
      <xdr:rowOff>76200</xdr:rowOff>
    </xdr:from>
    <xdr:ext cx="425198" cy="323023"/>
    <xdr:sp macro="" textlink="">
      <xdr:nvSpPr>
        <xdr:cNvPr id="106" name="Rectangle 105">
          <a:extLst>
            <a:ext uri="{FF2B5EF4-FFF2-40B4-BE49-F238E27FC236}">
              <a16:creationId xmlns:a16="http://schemas.microsoft.com/office/drawing/2014/main" id="{00000000-0008-0000-1800-00006A000000}"/>
            </a:ext>
          </a:extLst>
        </xdr:cNvPr>
        <xdr:cNvSpPr/>
      </xdr:nvSpPr>
      <xdr:spPr>
        <a:xfrm rot="1373632">
          <a:off x="3629023" y="6515100"/>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42</xdr:col>
      <xdr:colOff>41560</xdr:colOff>
      <xdr:row>37</xdr:row>
      <xdr:rowOff>110837</xdr:rowOff>
    </xdr:from>
    <xdr:ext cx="323023" cy="425198"/>
    <xdr:sp macro="" textlink="">
      <xdr:nvSpPr>
        <xdr:cNvPr id="130" name="Rectangle 129">
          <a:extLst>
            <a:ext uri="{FF2B5EF4-FFF2-40B4-BE49-F238E27FC236}">
              <a16:creationId xmlns:a16="http://schemas.microsoft.com/office/drawing/2014/main" id="{00000000-0008-0000-1800-000082000000}"/>
            </a:ext>
          </a:extLst>
        </xdr:cNvPr>
        <xdr:cNvSpPr/>
      </xdr:nvSpPr>
      <xdr:spPr>
        <a:xfrm rot="17552104">
          <a:off x="5105398" y="4743449"/>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28</xdr:col>
      <xdr:colOff>19051</xdr:colOff>
      <xdr:row>25</xdr:row>
      <xdr:rowOff>114300</xdr:rowOff>
    </xdr:from>
    <xdr:ext cx="425198" cy="323023"/>
    <xdr:sp macro="" textlink="">
      <xdr:nvSpPr>
        <xdr:cNvPr id="131" name="Rectangle 130">
          <a:extLst>
            <a:ext uri="{FF2B5EF4-FFF2-40B4-BE49-F238E27FC236}">
              <a16:creationId xmlns:a16="http://schemas.microsoft.com/office/drawing/2014/main" id="{00000000-0008-0000-1800-000083000000}"/>
            </a:ext>
          </a:extLst>
        </xdr:cNvPr>
        <xdr:cNvSpPr/>
      </xdr:nvSpPr>
      <xdr:spPr>
        <a:xfrm rot="12290524">
          <a:off x="3400426" y="3209925"/>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43</xdr:col>
      <xdr:colOff>12987</xdr:colOff>
      <xdr:row>36</xdr:row>
      <xdr:rowOff>25112</xdr:rowOff>
    </xdr:from>
    <xdr:ext cx="323023" cy="425198"/>
    <xdr:sp macro="" textlink="">
      <xdr:nvSpPr>
        <xdr:cNvPr id="135" name="Rectangle 134">
          <a:extLst>
            <a:ext uri="{FF2B5EF4-FFF2-40B4-BE49-F238E27FC236}">
              <a16:creationId xmlns:a16="http://schemas.microsoft.com/office/drawing/2014/main" id="{00000000-0008-0000-1800-000087000000}"/>
            </a:ext>
          </a:extLst>
        </xdr:cNvPr>
        <xdr:cNvSpPr/>
      </xdr:nvSpPr>
      <xdr:spPr>
        <a:xfrm rot="17552104">
          <a:off x="5200650" y="4533899"/>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26</xdr:col>
      <xdr:colOff>47626</xdr:colOff>
      <xdr:row>25</xdr:row>
      <xdr:rowOff>38098</xdr:rowOff>
    </xdr:from>
    <xdr:ext cx="425198" cy="323023"/>
    <xdr:sp macro="" textlink="">
      <xdr:nvSpPr>
        <xdr:cNvPr id="137" name="Rectangle 136">
          <a:extLst>
            <a:ext uri="{FF2B5EF4-FFF2-40B4-BE49-F238E27FC236}">
              <a16:creationId xmlns:a16="http://schemas.microsoft.com/office/drawing/2014/main" id="{00000000-0008-0000-1800-000089000000}"/>
            </a:ext>
          </a:extLst>
        </xdr:cNvPr>
        <xdr:cNvSpPr/>
      </xdr:nvSpPr>
      <xdr:spPr>
        <a:xfrm rot="12251974">
          <a:off x="3181351" y="3133723"/>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twoCellAnchor>
    <xdr:from>
      <xdr:col>97</xdr:col>
      <xdr:colOff>74545</xdr:colOff>
      <xdr:row>54</xdr:row>
      <xdr:rowOff>74543</xdr:rowOff>
    </xdr:from>
    <xdr:to>
      <xdr:col>100</xdr:col>
      <xdr:colOff>41395</xdr:colOff>
      <xdr:row>55</xdr:row>
      <xdr:rowOff>69249</xdr:rowOff>
    </xdr:to>
    <xdr:sp macro="" textlink="">
      <xdr:nvSpPr>
        <xdr:cNvPr id="99" name="Freccia in giù 9">
          <a:extLst>
            <a:ext uri="{FF2B5EF4-FFF2-40B4-BE49-F238E27FC236}">
              <a16:creationId xmlns:a16="http://schemas.microsoft.com/office/drawing/2014/main" id="{00000000-0008-0000-1800-000063000000}"/>
            </a:ext>
          </a:extLst>
        </xdr:cNvPr>
        <xdr:cNvSpPr/>
      </xdr:nvSpPr>
      <xdr:spPr>
        <a:xfrm rot="15201463">
          <a:off x="4450399" y="15949667"/>
          <a:ext cx="118945" cy="3395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77857</xdr:colOff>
      <xdr:row>52</xdr:row>
      <xdr:rowOff>69573</xdr:rowOff>
    </xdr:from>
    <xdr:to>
      <xdr:col>100</xdr:col>
      <xdr:colOff>44707</xdr:colOff>
      <xdr:row>53</xdr:row>
      <xdr:rowOff>64279</xdr:rowOff>
    </xdr:to>
    <xdr:sp macro="" textlink="">
      <xdr:nvSpPr>
        <xdr:cNvPr id="102" name="Freccia in giù 9">
          <a:extLst>
            <a:ext uri="{FF2B5EF4-FFF2-40B4-BE49-F238E27FC236}">
              <a16:creationId xmlns:a16="http://schemas.microsoft.com/office/drawing/2014/main" id="{00000000-0008-0000-1800-000066000000}"/>
            </a:ext>
          </a:extLst>
        </xdr:cNvPr>
        <xdr:cNvSpPr/>
      </xdr:nvSpPr>
      <xdr:spPr>
        <a:xfrm rot="15201463">
          <a:off x="4453711" y="15696219"/>
          <a:ext cx="118945" cy="3395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99391</xdr:colOff>
      <xdr:row>26</xdr:row>
      <xdr:rowOff>57977</xdr:rowOff>
    </xdr:from>
    <xdr:to>
      <xdr:col>90</xdr:col>
      <xdr:colOff>48352</xdr:colOff>
      <xdr:row>27</xdr:row>
      <xdr:rowOff>65045</xdr:rowOff>
    </xdr:to>
    <xdr:sp macro="" textlink="">
      <xdr:nvSpPr>
        <xdr:cNvPr id="103" name="Freccia in giù 9">
          <a:extLst>
            <a:ext uri="{FF2B5EF4-FFF2-40B4-BE49-F238E27FC236}">
              <a16:creationId xmlns:a16="http://schemas.microsoft.com/office/drawing/2014/main" id="{00000000-0008-0000-1800-000067000000}"/>
            </a:ext>
          </a:extLst>
        </xdr:cNvPr>
        <xdr:cNvSpPr/>
      </xdr:nvSpPr>
      <xdr:spPr>
        <a:xfrm rot="4265451">
          <a:off x="3217729" y="12469530"/>
          <a:ext cx="131307" cy="32167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74543</xdr:colOff>
      <xdr:row>31</xdr:row>
      <xdr:rowOff>82826</xdr:rowOff>
    </xdr:from>
    <xdr:to>
      <xdr:col>107</xdr:col>
      <xdr:colOff>71298</xdr:colOff>
      <xdr:row>34</xdr:row>
      <xdr:rowOff>48264</xdr:rowOff>
    </xdr:to>
    <xdr:sp macro="" textlink="">
      <xdr:nvSpPr>
        <xdr:cNvPr id="104" name="Freccia in giù 9">
          <a:extLst>
            <a:ext uri="{FF2B5EF4-FFF2-40B4-BE49-F238E27FC236}">
              <a16:creationId xmlns:a16="http://schemas.microsoft.com/office/drawing/2014/main" id="{00000000-0008-0000-1800-000068000000}"/>
            </a:ext>
          </a:extLst>
        </xdr:cNvPr>
        <xdr:cNvSpPr/>
      </xdr:nvSpPr>
      <xdr:spPr>
        <a:xfrm rot="9723139">
          <a:off x="5458239" y="13210761"/>
          <a:ext cx="120994" cy="3381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66260</xdr:colOff>
      <xdr:row>45</xdr:row>
      <xdr:rowOff>99392</xdr:rowOff>
    </xdr:from>
    <xdr:to>
      <xdr:col>79</xdr:col>
      <xdr:colOff>58468</xdr:colOff>
      <xdr:row>48</xdr:row>
      <xdr:rowOff>47867</xdr:rowOff>
    </xdr:to>
    <xdr:sp macro="" textlink="">
      <xdr:nvSpPr>
        <xdr:cNvPr id="107" name="Freccia in giù 9">
          <a:extLst>
            <a:ext uri="{FF2B5EF4-FFF2-40B4-BE49-F238E27FC236}">
              <a16:creationId xmlns:a16="http://schemas.microsoft.com/office/drawing/2014/main" id="{00000000-0008-0000-1800-00006B000000}"/>
            </a:ext>
          </a:extLst>
        </xdr:cNvPr>
        <xdr:cNvSpPr/>
      </xdr:nvSpPr>
      <xdr:spPr>
        <a:xfrm rot="20584512">
          <a:off x="1971260" y="14966675"/>
          <a:ext cx="116447" cy="3211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86139</xdr:colOff>
      <xdr:row>31</xdr:row>
      <xdr:rowOff>86139</xdr:rowOff>
    </xdr:from>
    <xdr:to>
      <xdr:col>105</xdr:col>
      <xdr:colOff>82893</xdr:colOff>
      <xdr:row>34</xdr:row>
      <xdr:rowOff>51577</xdr:rowOff>
    </xdr:to>
    <xdr:sp macro="" textlink="">
      <xdr:nvSpPr>
        <xdr:cNvPr id="132" name="Freccia in giù 9">
          <a:extLst>
            <a:ext uri="{FF2B5EF4-FFF2-40B4-BE49-F238E27FC236}">
              <a16:creationId xmlns:a16="http://schemas.microsoft.com/office/drawing/2014/main" id="{00000000-0008-0000-1800-000084000000}"/>
            </a:ext>
          </a:extLst>
        </xdr:cNvPr>
        <xdr:cNvSpPr/>
      </xdr:nvSpPr>
      <xdr:spPr>
        <a:xfrm rot="9723139">
          <a:off x="5221356" y="13214074"/>
          <a:ext cx="120994" cy="3381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86140</xdr:colOff>
      <xdr:row>24</xdr:row>
      <xdr:rowOff>69573</xdr:rowOff>
    </xdr:from>
    <xdr:to>
      <xdr:col>90</xdr:col>
      <xdr:colOff>35101</xdr:colOff>
      <xdr:row>25</xdr:row>
      <xdr:rowOff>76641</xdr:rowOff>
    </xdr:to>
    <xdr:sp macro="" textlink="">
      <xdr:nvSpPr>
        <xdr:cNvPr id="133" name="Freccia in giù 9">
          <a:extLst>
            <a:ext uri="{FF2B5EF4-FFF2-40B4-BE49-F238E27FC236}">
              <a16:creationId xmlns:a16="http://schemas.microsoft.com/office/drawing/2014/main" id="{00000000-0008-0000-1800-000085000000}"/>
            </a:ext>
          </a:extLst>
        </xdr:cNvPr>
        <xdr:cNvSpPr/>
      </xdr:nvSpPr>
      <xdr:spPr>
        <a:xfrm rot="4265451">
          <a:off x="3204478" y="12232648"/>
          <a:ext cx="131307" cy="32167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77853</xdr:colOff>
      <xdr:row>45</xdr:row>
      <xdr:rowOff>102706</xdr:rowOff>
    </xdr:from>
    <xdr:to>
      <xdr:col>77</xdr:col>
      <xdr:colOff>70061</xdr:colOff>
      <xdr:row>48</xdr:row>
      <xdr:rowOff>51181</xdr:rowOff>
    </xdr:to>
    <xdr:sp macro="" textlink="">
      <xdr:nvSpPr>
        <xdr:cNvPr id="134" name="Freccia in giù 9">
          <a:extLst>
            <a:ext uri="{FF2B5EF4-FFF2-40B4-BE49-F238E27FC236}">
              <a16:creationId xmlns:a16="http://schemas.microsoft.com/office/drawing/2014/main" id="{00000000-0008-0000-1800-000086000000}"/>
            </a:ext>
          </a:extLst>
        </xdr:cNvPr>
        <xdr:cNvSpPr/>
      </xdr:nvSpPr>
      <xdr:spPr>
        <a:xfrm rot="20584512">
          <a:off x="1734375" y="14969989"/>
          <a:ext cx="116447" cy="3211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95250</xdr:colOff>
      <xdr:row>37</xdr:row>
      <xdr:rowOff>85725</xdr:rowOff>
    </xdr:from>
    <xdr:to>
      <xdr:col>97</xdr:col>
      <xdr:colOff>47624</xdr:colOff>
      <xdr:row>41</xdr:row>
      <xdr:rowOff>66675</xdr:rowOff>
    </xdr:to>
    <xdr:sp macro="" textlink="">
      <xdr:nvSpPr>
        <xdr:cNvPr id="136" name="Right Arrow 135">
          <a:hlinkClick xmlns:r="http://schemas.openxmlformats.org/officeDocument/2006/relationships" r:id="rId2"/>
          <a:extLst>
            <a:ext uri="{FF2B5EF4-FFF2-40B4-BE49-F238E27FC236}">
              <a16:creationId xmlns:a16="http://schemas.microsoft.com/office/drawing/2014/main" id="{00000000-0008-0000-1800-000088000000}"/>
            </a:ext>
          </a:extLst>
        </xdr:cNvPr>
        <xdr:cNvSpPr/>
      </xdr:nvSpPr>
      <xdr:spPr>
        <a:xfrm>
          <a:off x="2876550" y="13906500"/>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85725</xdr:colOff>
      <xdr:row>31</xdr:row>
      <xdr:rowOff>54220</xdr:rowOff>
    </xdr:from>
    <xdr:to>
      <xdr:col>50</xdr:col>
      <xdr:colOff>20251</xdr:colOff>
      <xdr:row>54</xdr:row>
      <xdr:rowOff>54220</xdr:rowOff>
    </xdr:to>
    <xdr:pic>
      <xdr:nvPicPr>
        <xdr:cNvPr id="108" name="Picture 107" descr="3 Lane Roundabout-Model.jpg">
          <a:extLst>
            <a:ext uri="{FF2B5EF4-FFF2-40B4-BE49-F238E27FC236}">
              <a16:creationId xmlns:a16="http://schemas.microsoft.com/office/drawing/2014/main" id="{00000000-0008-0000-1900-00006C000000}"/>
            </a:ext>
          </a:extLst>
        </xdr:cNvPr>
        <xdr:cNvPicPr>
          <a:picLocks noChangeAspect="1"/>
        </xdr:cNvPicPr>
      </xdr:nvPicPr>
      <xdr:blipFill>
        <a:blip xmlns:r="http://schemas.openxmlformats.org/officeDocument/2006/relationships" r:embed="rId1" cstate="print"/>
        <a:srcRect t="19827" b="20280"/>
        <a:stretch>
          <a:fillRect/>
        </a:stretch>
      </xdr:blipFill>
      <xdr:spPr>
        <a:xfrm>
          <a:off x="1362075" y="3892795"/>
          <a:ext cx="4763701" cy="2847975"/>
        </a:xfrm>
        <a:prstGeom prst="rect">
          <a:avLst/>
        </a:prstGeom>
      </xdr:spPr>
    </xdr:pic>
    <xdr:clientData/>
  </xdr:twoCellAnchor>
  <xdr:twoCellAnchor editAs="oneCell">
    <xdr:from>
      <xdr:col>19</xdr:col>
      <xdr:colOff>33233</xdr:colOff>
      <xdr:row>23</xdr:row>
      <xdr:rowOff>95250</xdr:rowOff>
    </xdr:from>
    <xdr:to>
      <xdr:col>42</xdr:col>
      <xdr:colOff>109470</xdr:colOff>
      <xdr:row>62</xdr:row>
      <xdr:rowOff>24912</xdr:rowOff>
    </xdr:to>
    <xdr:pic>
      <xdr:nvPicPr>
        <xdr:cNvPr id="109" name="Picture 108" descr="3 Lane Roundabout-Model.jpg">
          <a:extLst>
            <a:ext uri="{FF2B5EF4-FFF2-40B4-BE49-F238E27FC236}">
              <a16:creationId xmlns:a16="http://schemas.microsoft.com/office/drawing/2014/main" id="{00000000-0008-0000-1900-00006D000000}"/>
            </a:ext>
          </a:extLst>
        </xdr:cNvPr>
        <xdr:cNvPicPr>
          <a:picLocks noChangeAspect="1"/>
        </xdr:cNvPicPr>
      </xdr:nvPicPr>
      <xdr:blipFill>
        <a:blip xmlns:r="http://schemas.openxmlformats.org/officeDocument/2006/relationships" r:embed="rId1" cstate="print"/>
        <a:srcRect l="19882" t="-107" r="18750" b="29"/>
        <a:stretch>
          <a:fillRect/>
        </a:stretch>
      </xdr:blipFill>
      <xdr:spPr>
        <a:xfrm>
          <a:off x="2300183" y="2943225"/>
          <a:ext cx="2924212" cy="4758837"/>
        </a:xfrm>
        <a:prstGeom prst="rect">
          <a:avLst/>
        </a:prstGeom>
      </xdr:spPr>
    </xdr:pic>
    <xdr:clientData/>
  </xdr:twoCellAnchor>
  <xdr:twoCellAnchor>
    <xdr:from>
      <xdr:col>91</xdr:col>
      <xdr:colOff>53688</xdr:colOff>
      <xdr:row>5</xdr:row>
      <xdr:rowOff>62470</xdr:rowOff>
    </xdr:from>
    <xdr:to>
      <xdr:col>93</xdr:col>
      <xdr:colOff>77017</xdr:colOff>
      <xdr:row>7</xdr:row>
      <xdr:rowOff>109538</xdr:rowOff>
    </xdr:to>
    <xdr:sp macro="" textlink="">
      <xdr:nvSpPr>
        <xdr:cNvPr id="3" name="Freccia curva 8">
          <a:extLst>
            <a:ext uri="{FF2B5EF4-FFF2-40B4-BE49-F238E27FC236}">
              <a16:creationId xmlns:a16="http://schemas.microsoft.com/office/drawing/2014/main" id="{00000000-0008-0000-1900-000003000000}"/>
            </a:ext>
          </a:extLst>
        </xdr:cNvPr>
        <xdr:cNvSpPr/>
      </xdr:nvSpPr>
      <xdr:spPr>
        <a:xfrm rot="10800000" flipH="1">
          <a:off x="3520788" y="98446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55058</xdr:colOff>
      <xdr:row>5</xdr:row>
      <xdr:rowOff>67264</xdr:rowOff>
    </xdr:from>
    <xdr:to>
      <xdr:col>96</xdr:col>
      <xdr:colOff>84922</xdr:colOff>
      <xdr:row>7</xdr:row>
      <xdr:rowOff>123518</xdr:rowOff>
    </xdr:to>
    <xdr:sp macro="" textlink="">
      <xdr:nvSpPr>
        <xdr:cNvPr id="4" name="Freccia a inversione 13">
          <a:extLst>
            <a:ext uri="{FF2B5EF4-FFF2-40B4-BE49-F238E27FC236}">
              <a16:creationId xmlns:a16="http://schemas.microsoft.com/office/drawing/2014/main" id="{00000000-0008-0000-1900-000004000000}"/>
            </a:ext>
          </a:extLst>
        </xdr:cNvPr>
        <xdr:cNvSpPr/>
      </xdr:nvSpPr>
      <xdr:spPr>
        <a:xfrm flipV="1">
          <a:off x="3893633" y="98494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5</xdr:row>
      <xdr:rowOff>51932</xdr:rowOff>
    </xdr:from>
    <xdr:to>
      <xdr:col>89</xdr:col>
      <xdr:colOff>114211</xdr:colOff>
      <xdr:row>7</xdr:row>
      <xdr:rowOff>95625</xdr:rowOff>
    </xdr:to>
    <xdr:sp macro="" textlink="">
      <xdr:nvSpPr>
        <xdr:cNvPr id="5" name="Freccia in giù 9">
          <a:extLst>
            <a:ext uri="{FF2B5EF4-FFF2-40B4-BE49-F238E27FC236}">
              <a16:creationId xmlns:a16="http://schemas.microsoft.com/office/drawing/2014/main" id="{00000000-0008-0000-1900-000005000000}"/>
            </a:ext>
          </a:extLst>
        </xdr:cNvPr>
        <xdr:cNvSpPr/>
      </xdr:nvSpPr>
      <xdr:spPr>
        <a:xfrm>
          <a:off x="3197022" y="98341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32507</xdr:colOff>
      <xdr:row>5</xdr:row>
      <xdr:rowOff>111530</xdr:rowOff>
    </xdr:from>
    <xdr:to>
      <xdr:col>87</xdr:col>
      <xdr:colOff>65439</xdr:colOff>
      <xdr:row>8</xdr:row>
      <xdr:rowOff>9683</xdr:rowOff>
    </xdr:to>
    <xdr:sp macro="" textlink="">
      <xdr:nvSpPr>
        <xdr:cNvPr id="6" name="Freccia curva 7">
          <a:extLst>
            <a:ext uri="{FF2B5EF4-FFF2-40B4-BE49-F238E27FC236}">
              <a16:creationId xmlns:a16="http://schemas.microsoft.com/office/drawing/2014/main" id="{00000000-0008-0000-1900-000006000000}"/>
            </a:ext>
          </a:extLst>
        </xdr:cNvPr>
        <xdr:cNvSpPr/>
      </xdr:nvSpPr>
      <xdr:spPr>
        <a:xfrm rot="10800000">
          <a:off x="2756657" y="98937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66020</xdr:colOff>
      <xdr:row>38</xdr:row>
      <xdr:rowOff>58156</xdr:rowOff>
    </xdr:from>
    <xdr:to>
      <xdr:col>67</xdr:col>
      <xdr:colOff>24702</xdr:colOff>
      <xdr:row>40</xdr:row>
      <xdr:rowOff>69436</xdr:rowOff>
    </xdr:to>
    <xdr:sp macro="" textlink="">
      <xdr:nvSpPr>
        <xdr:cNvPr id="7" name="Freccia a inversione 13">
          <a:extLst>
            <a:ext uri="{FF2B5EF4-FFF2-40B4-BE49-F238E27FC236}">
              <a16:creationId xmlns:a16="http://schemas.microsoft.com/office/drawing/2014/main" id="{00000000-0008-0000-1900-000007000000}"/>
            </a:ext>
          </a:extLst>
        </xdr:cNvPr>
        <xdr:cNvSpPr/>
      </xdr:nvSpPr>
      <xdr:spPr>
        <a:xfrm rot="16200000" flipV="1">
          <a:off x="225459" y="138909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51289</xdr:colOff>
      <xdr:row>41</xdr:row>
      <xdr:rowOff>58615</xdr:rowOff>
    </xdr:from>
    <xdr:to>
      <xdr:col>66</xdr:col>
      <xdr:colOff>116943</xdr:colOff>
      <xdr:row>43</xdr:row>
      <xdr:rowOff>63358</xdr:rowOff>
    </xdr:to>
    <xdr:sp macro="" textlink="">
      <xdr:nvSpPr>
        <xdr:cNvPr id="8" name="Freccia curva 8">
          <a:extLst>
            <a:ext uri="{FF2B5EF4-FFF2-40B4-BE49-F238E27FC236}">
              <a16:creationId xmlns:a16="http://schemas.microsoft.com/office/drawing/2014/main" id="{00000000-0008-0000-1900-000008000000}"/>
            </a:ext>
          </a:extLst>
        </xdr:cNvPr>
        <xdr:cNvSpPr/>
      </xdr:nvSpPr>
      <xdr:spPr>
        <a:xfrm rot="5400000" flipH="1">
          <a:off x="205569" y="142680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64</xdr:col>
      <xdr:colOff>73270</xdr:colOff>
      <xdr:row>47</xdr:row>
      <xdr:rowOff>80596</xdr:rowOff>
    </xdr:from>
    <xdr:to>
      <xdr:col>66</xdr:col>
      <xdr:colOff>134510</xdr:colOff>
      <xdr:row>49</xdr:row>
      <xdr:rowOff>94943</xdr:rowOff>
    </xdr:to>
    <xdr:sp macro="" textlink="">
      <xdr:nvSpPr>
        <xdr:cNvPr id="9" name="Freccia curva 7">
          <a:extLst>
            <a:ext uri="{FF2B5EF4-FFF2-40B4-BE49-F238E27FC236}">
              <a16:creationId xmlns:a16="http://schemas.microsoft.com/office/drawing/2014/main" id="{00000000-0008-0000-1900-000009000000}"/>
            </a:ext>
          </a:extLst>
        </xdr:cNvPr>
        <xdr:cNvSpPr/>
      </xdr:nvSpPr>
      <xdr:spPr>
        <a:xfrm rot="5400000">
          <a:off x="215779" y="150447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64</xdr:col>
      <xdr:colOff>10618</xdr:colOff>
      <xdr:row>34</xdr:row>
      <xdr:rowOff>93815</xdr:rowOff>
    </xdr:from>
    <xdr:ext cx="963800" cy="311715"/>
    <xdr:sp macro="" textlink="">
      <xdr:nvSpPr>
        <xdr:cNvPr id="10" name="Rectangle 9">
          <a:extLst>
            <a:ext uri="{FF2B5EF4-FFF2-40B4-BE49-F238E27FC236}">
              <a16:creationId xmlns:a16="http://schemas.microsoft.com/office/drawing/2014/main" id="{00000000-0008-0000-1900-00000A000000}"/>
            </a:ext>
          </a:extLst>
        </xdr:cNvPr>
        <xdr:cNvSpPr/>
      </xdr:nvSpPr>
      <xdr:spPr>
        <a:xfrm>
          <a:off x="134443" y="13466915"/>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64</xdr:col>
      <xdr:colOff>58937</xdr:colOff>
      <xdr:row>45</xdr:row>
      <xdr:rowOff>6397</xdr:rowOff>
    </xdr:from>
    <xdr:to>
      <xdr:col>67</xdr:col>
      <xdr:colOff>5058</xdr:colOff>
      <xdr:row>46</xdr:row>
      <xdr:rowOff>9918</xdr:rowOff>
    </xdr:to>
    <xdr:sp macro="" textlink="">
      <xdr:nvSpPr>
        <xdr:cNvPr id="11" name="Freccia in giù 9">
          <a:extLst>
            <a:ext uri="{FF2B5EF4-FFF2-40B4-BE49-F238E27FC236}">
              <a16:creationId xmlns:a16="http://schemas.microsoft.com/office/drawing/2014/main" id="{00000000-0008-0000-1900-00000B000000}"/>
            </a:ext>
          </a:extLst>
        </xdr:cNvPr>
        <xdr:cNvSpPr/>
      </xdr:nvSpPr>
      <xdr:spPr>
        <a:xfrm rot="16200000">
          <a:off x="277887" y="146464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71795</xdr:colOff>
      <xdr:row>20</xdr:row>
      <xdr:rowOff>58224</xdr:rowOff>
    </xdr:from>
    <xdr:to>
      <xdr:col>91</xdr:col>
      <xdr:colOff>29040</xdr:colOff>
      <xdr:row>21</xdr:row>
      <xdr:rowOff>65291</xdr:rowOff>
    </xdr:to>
    <xdr:sp macro="" textlink="">
      <xdr:nvSpPr>
        <xdr:cNvPr id="12" name="Freccia in giù 9">
          <a:extLst>
            <a:ext uri="{FF2B5EF4-FFF2-40B4-BE49-F238E27FC236}">
              <a16:creationId xmlns:a16="http://schemas.microsoft.com/office/drawing/2014/main" id="{00000000-0008-0000-1900-00000C000000}"/>
            </a:ext>
          </a:extLst>
        </xdr:cNvPr>
        <xdr:cNvSpPr/>
      </xdr:nvSpPr>
      <xdr:spPr>
        <a:xfrm rot="4265451">
          <a:off x="3318515" y="11720199"/>
          <a:ext cx="131306" cy="32996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0</xdr:colOff>
      <xdr:row>34</xdr:row>
      <xdr:rowOff>136072</xdr:rowOff>
    </xdr:from>
    <xdr:to>
      <xdr:col>121</xdr:col>
      <xdr:colOff>55717</xdr:colOff>
      <xdr:row>36</xdr:row>
      <xdr:rowOff>82778</xdr:rowOff>
    </xdr:to>
    <xdr:sp macro="" textlink="">
      <xdr:nvSpPr>
        <xdr:cNvPr id="13" name="Freccia curva 66">
          <a:extLst>
            <a:ext uri="{FF2B5EF4-FFF2-40B4-BE49-F238E27FC236}">
              <a16:creationId xmlns:a16="http://schemas.microsoft.com/office/drawing/2014/main" id="{00000000-0008-0000-1900-00000D000000}"/>
            </a:ext>
          </a:extLst>
        </xdr:cNvPr>
        <xdr:cNvSpPr/>
      </xdr:nvSpPr>
      <xdr:spPr>
        <a:xfrm rot="16200000" flipH="1">
          <a:off x="6983943"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0</xdr:colOff>
      <xdr:row>34</xdr:row>
      <xdr:rowOff>136072</xdr:rowOff>
    </xdr:from>
    <xdr:to>
      <xdr:col>121</xdr:col>
      <xdr:colOff>55717</xdr:colOff>
      <xdr:row>36</xdr:row>
      <xdr:rowOff>82778</xdr:rowOff>
    </xdr:to>
    <xdr:sp macro="" textlink="">
      <xdr:nvSpPr>
        <xdr:cNvPr id="14" name="Freccia curva 66">
          <a:extLst>
            <a:ext uri="{FF2B5EF4-FFF2-40B4-BE49-F238E27FC236}">
              <a16:creationId xmlns:a16="http://schemas.microsoft.com/office/drawing/2014/main" id="{00000000-0008-0000-1900-00000E000000}"/>
            </a:ext>
          </a:extLst>
        </xdr:cNvPr>
        <xdr:cNvSpPr/>
      </xdr:nvSpPr>
      <xdr:spPr>
        <a:xfrm rot="16200000" flipH="1">
          <a:off x="6983943"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0</xdr:colOff>
      <xdr:row>34</xdr:row>
      <xdr:rowOff>136072</xdr:rowOff>
    </xdr:from>
    <xdr:to>
      <xdr:col>121</xdr:col>
      <xdr:colOff>55717</xdr:colOff>
      <xdr:row>36</xdr:row>
      <xdr:rowOff>82778</xdr:rowOff>
    </xdr:to>
    <xdr:sp macro="" textlink="">
      <xdr:nvSpPr>
        <xdr:cNvPr id="15" name="Freccia curva 66">
          <a:extLst>
            <a:ext uri="{FF2B5EF4-FFF2-40B4-BE49-F238E27FC236}">
              <a16:creationId xmlns:a16="http://schemas.microsoft.com/office/drawing/2014/main" id="{00000000-0008-0000-1900-00000F000000}"/>
            </a:ext>
          </a:extLst>
        </xdr:cNvPr>
        <xdr:cNvSpPr/>
      </xdr:nvSpPr>
      <xdr:spPr>
        <a:xfrm rot="16200000" flipH="1">
          <a:off x="6983943"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119</xdr:col>
      <xdr:colOff>0</xdr:colOff>
      <xdr:row>34</xdr:row>
      <xdr:rowOff>136072</xdr:rowOff>
    </xdr:from>
    <xdr:to>
      <xdr:col>121</xdr:col>
      <xdr:colOff>55717</xdr:colOff>
      <xdr:row>36</xdr:row>
      <xdr:rowOff>82778</xdr:rowOff>
    </xdr:to>
    <xdr:sp macro="" textlink="">
      <xdr:nvSpPr>
        <xdr:cNvPr id="16" name="Freccia curva 66">
          <a:extLst>
            <a:ext uri="{FF2B5EF4-FFF2-40B4-BE49-F238E27FC236}">
              <a16:creationId xmlns:a16="http://schemas.microsoft.com/office/drawing/2014/main" id="{00000000-0008-0000-1900-000010000000}"/>
            </a:ext>
          </a:extLst>
        </xdr:cNvPr>
        <xdr:cNvSpPr/>
      </xdr:nvSpPr>
      <xdr:spPr>
        <a:xfrm rot="16200000" flipH="1">
          <a:off x="6983943"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68</xdr:row>
      <xdr:rowOff>91783</xdr:rowOff>
    </xdr:from>
    <xdr:to>
      <xdr:col>96</xdr:col>
      <xdr:colOff>109029</xdr:colOff>
      <xdr:row>71</xdr:row>
      <xdr:rowOff>10025</xdr:rowOff>
    </xdr:to>
    <xdr:sp macro="" textlink="">
      <xdr:nvSpPr>
        <xdr:cNvPr id="17" name="Freccia in giù 9">
          <a:extLst>
            <a:ext uri="{FF2B5EF4-FFF2-40B4-BE49-F238E27FC236}">
              <a16:creationId xmlns:a16="http://schemas.microsoft.com/office/drawing/2014/main" id="{00000000-0008-0000-1900-000011000000}"/>
            </a:ext>
          </a:extLst>
        </xdr:cNvPr>
        <xdr:cNvSpPr/>
      </xdr:nvSpPr>
      <xdr:spPr>
        <a:xfrm rot="10800000">
          <a:off x="4058616" y="177987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90</xdr:col>
      <xdr:colOff>112463</xdr:colOff>
      <xdr:row>61</xdr:row>
      <xdr:rowOff>93813</xdr:rowOff>
    </xdr:from>
    <xdr:ext cx="963800" cy="311715"/>
    <xdr:sp macro="" textlink="">
      <xdr:nvSpPr>
        <xdr:cNvPr id="18" name="Rectangle 17">
          <a:extLst>
            <a:ext uri="{FF2B5EF4-FFF2-40B4-BE49-F238E27FC236}">
              <a16:creationId xmlns:a16="http://schemas.microsoft.com/office/drawing/2014/main" id="{00000000-0008-0000-1900-000012000000}"/>
            </a:ext>
          </a:extLst>
        </xdr:cNvPr>
        <xdr:cNvSpPr/>
      </xdr:nvSpPr>
      <xdr:spPr>
        <a:xfrm>
          <a:off x="3455738" y="1681018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46691</xdr:colOff>
      <xdr:row>68</xdr:row>
      <xdr:rowOff>118493</xdr:rowOff>
    </xdr:from>
    <xdr:to>
      <xdr:col>91</xdr:col>
      <xdr:colOff>74536</xdr:colOff>
      <xdr:row>71</xdr:row>
      <xdr:rowOff>52529</xdr:rowOff>
    </xdr:to>
    <xdr:sp macro="" textlink="">
      <xdr:nvSpPr>
        <xdr:cNvPr id="19" name="Freccia a inversione 13">
          <a:extLst>
            <a:ext uri="{FF2B5EF4-FFF2-40B4-BE49-F238E27FC236}">
              <a16:creationId xmlns:a16="http://schemas.microsoft.com/office/drawing/2014/main" id="{00000000-0008-0000-1900-000013000000}"/>
            </a:ext>
          </a:extLst>
        </xdr:cNvPr>
        <xdr:cNvSpPr/>
      </xdr:nvSpPr>
      <xdr:spPr>
        <a:xfrm rot="10800000" flipV="1">
          <a:off x="3266141" y="178254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69</xdr:row>
      <xdr:rowOff>3514</xdr:rowOff>
    </xdr:from>
    <xdr:to>
      <xdr:col>94</xdr:col>
      <xdr:colOff>59418</xdr:colOff>
      <xdr:row>71</xdr:row>
      <xdr:rowOff>50582</xdr:rowOff>
    </xdr:to>
    <xdr:sp macro="" textlink="">
      <xdr:nvSpPr>
        <xdr:cNvPr id="20" name="Freccia curva 8">
          <a:extLst>
            <a:ext uri="{FF2B5EF4-FFF2-40B4-BE49-F238E27FC236}">
              <a16:creationId xmlns:a16="http://schemas.microsoft.com/office/drawing/2014/main" id="{00000000-0008-0000-1900-000014000000}"/>
            </a:ext>
          </a:extLst>
        </xdr:cNvPr>
        <xdr:cNvSpPr/>
      </xdr:nvSpPr>
      <xdr:spPr>
        <a:xfrm flipH="1">
          <a:off x="3627014" y="178343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94989</xdr:colOff>
      <xdr:row>37</xdr:row>
      <xdr:rowOff>82275</xdr:rowOff>
    </xdr:from>
    <xdr:to>
      <xdr:col>121</xdr:col>
      <xdr:colOff>56903</xdr:colOff>
      <xdr:row>39</xdr:row>
      <xdr:rowOff>91535</xdr:rowOff>
    </xdr:to>
    <xdr:sp macro="" textlink="">
      <xdr:nvSpPr>
        <xdr:cNvPr id="21" name="Freccia a inversione 13">
          <a:extLst>
            <a:ext uri="{FF2B5EF4-FFF2-40B4-BE49-F238E27FC236}">
              <a16:creationId xmlns:a16="http://schemas.microsoft.com/office/drawing/2014/main" id="{00000000-0008-0000-1900-000015000000}"/>
            </a:ext>
          </a:extLst>
        </xdr:cNvPr>
        <xdr:cNvSpPr/>
      </xdr:nvSpPr>
      <xdr:spPr>
        <a:xfrm rot="5400000" flipV="1">
          <a:off x="6943604" y="1378861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83529</xdr:colOff>
      <xdr:row>52</xdr:row>
      <xdr:rowOff>83398</xdr:rowOff>
    </xdr:from>
    <xdr:to>
      <xdr:col>101</xdr:col>
      <xdr:colOff>50381</xdr:colOff>
      <xdr:row>53</xdr:row>
      <xdr:rowOff>78104</xdr:rowOff>
    </xdr:to>
    <xdr:sp macro="" textlink="">
      <xdr:nvSpPr>
        <xdr:cNvPr id="22" name="Freccia in giù 9">
          <a:extLst>
            <a:ext uri="{FF2B5EF4-FFF2-40B4-BE49-F238E27FC236}">
              <a16:creationId xmlns:a16="http://schemas.microsoft.com/office/drawing/2014/main" id="{00000000-0008-0000-1900-000016000000}"/>
            </a:ext>
          </a:extLst>
        </xdr:cNvPr>
        <xdr:cNvSpPr/>
      </xdr:nvSpPr>
      <xdr:spPr>
        <a:xfrm rot="15201463">
          <a:off x="4583624" y="15710043"/>
          <a:ext cx="118945" cy="3395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97574</xdr:colOff>
      <xdr:row>32</xdr:row>
      <xdr:rowOff>4645</xdr:rowOff>
    </xdr:from>
    <xdr:to>
      <xdr:col>121</xdr:col>
      <xdr:colOff>43694</xdr:colOff>
      <xdr:row>33</xdr:row>
      <xdr:rowOff>8166</xdr:rowOff>
    </xdr:to>
    <xdr:sp macro="" textlink="">
      <xdr:nvSpPr>
        <xdr:cNvPr id="23" name="Freccia in giù 9">
          <a:extLst>
            <a:ext uri="{FF2B5EF4-FFF2-40B4-BE49-F238E27FC236}">
              <a16:creationId xmlns:a16="http://schemas.microsoft.com/office/drawing/2014/main" id="{00000000-0008-0000-1900-000017000000}"/>
            </a:ext>
          </a:extLst>
        </xdr:cNvPr>
        <xdr:cNvSpPr/>
      </xdr:nvSpPr>
      <xdr:spPr>
        <a:xfrm rot="5400000">
          <a:off x="7003074" y="130349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69</xdr:row>
      <xdr:rowOff>18603</xdr:rowOff>
    </xdr:from>
    <xdr:to>
      <xdr:col>100</xdr:col>
      <xdr:colOff>74730</xdr:colOff>
      <xdr:row>71</xdr:row>
      <xdr:rowOff>42207</xdr:rowOff>
    </xdr:to>
    <xdr:sp macro="" textlink="">
      <xdr:nvSpPr>
        <xdr:cNvPr id="24" name="Freccia curva 7">
          <a:extLst>
            <a:ext uri="{FF2B5EF4-FFF2-40B4-BE49-F238E27FC236}">
              <a16:creationId xmlns:a16="http://schemas.microsoft.com/office/drawing/2014/main" id="{00000000-0008-0000-1900-000018000000}"/>
            </a:ext>
          </a:extLst>
        </xdr:cNvPr>
        <xdr:cNvSpPr/>
      </xdr:nvSpPr>
      <xdr:spPr>
        <a:xfrm>
          <a:off x="4375674" y="178494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118</xdr:col>
      <xdr:colOff>107674</xdr:colOff>
      <xdr:row>28</xdr:row>
      <xdr:rowOff>57978</xdr:rowOff>
    </xdr:from>
    <xdr:to>
      <xdr:col>121</xdr:col>
      <xdr:colOff>7038</xdr:colOff>
      <xdr:row>30</xdr:row>
      <xdr:rowOff>90910</xdr:rowOff>
    </xdr:to>
    <xdr:sp macro="" textlink="">
      <xdr:nvSpPr>
        <xdr:cNvPr id="25" name="Freccia curva 7">
          <a:extLst>
            <a:ext uri="{FF2B5EF4-FFF2-40B4-BE49-F238E27FC236}">
              <a16:creationId xmlns:a16="http://schemas.microsoft.com/office/drawing/2014/main" id="{00000000-0008-0000-1900-000019000000}"/>
            </a:ext>
          </a:extLst>
        </xdr:cNvPr>
        <xdr:cNvSpPr/>
      </xdr:nvSpPr>
      <xdr:spPr>
        <a:xfrm rot="16200000">
          <a:off x="6913178" y="126929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113</xdr:col>
      <xdr:colOff>113927</xdr:colOff>
      <xdr:row>40</xdr:row>
      <xdr:rowOff>41060</xdr:rowOff>
    </xdr:from>
    <xdr:ext cx="963800" cy="311715"/>
    <xdr:sp macro="" textlink="">
      <xdr:nvSpPr>
        <xdr:cNvPr id="26" name="Rectangle 25">
          <a:extLst>
            <a:ext uri="{FF2B5EF4-FFF2-40B4-BE49-F238E27FC236}">
              <a16:creationId xmlns:a16="http://schemas.microsoft.com/office/drawing/2014/main" id="{00000000-0008-0000-1900-00001A000000}"/>
            </a:ext>
          </a:extLst>
        </xdr:cNvPr>
        <xdr:cNvSpPr/>
      </xdr:nvSpPr>
      <xdr:spPr>
        <a:xfrm>
          <a:off x="6305177" y="1415711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87</xdr:col>
      <xdr:colOff>36995</xdr:colOff>
      <xdr:row>12</xdr:row>
      <xdr:rowOff>25802</xdr:rowOff>
    </xdr:from>
    <xdr:ext cx="963800" cy="311715"/>
    <xdr:sp macro="" textlink="">
      <xdr:nvSpPr>
        <xdr:cNvPr id="27" name="Rectangle 26">
          <a:extLst>
            <a:ext uri="{FF2B5EF4-FFF2-40B4-BE49-F238E27FC236}">
              <a16:creationId xmlns:a16="http://schemas.microsoft.com/office/drawing/2014/main" id="{00000000-0008-0000-1900-00001B000000}"/>
            </a:ext>
          </a:extLst>
        </xdr:cNvPr>
        <xdr:cNvSpPr/>
      </xdr:nvSpPr>
      <xdr:spPr>
        <a:xfrm>
          <a:off x="3008795" y="1067475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103</xdr:col>
      <xdr:colOff>96216</xdr:colOff>
      <xdr:row>55</xdr:row>
      <xdr:rowOff>91783</xdr:rowOff>
    </xdr:from>
    <xdr:to>
      <xdr:col>104</xdr:col>
      <xdr:colOff>109029</xdr:colOff>
      <xdr:row>58</xdr:row>
      <xdr:rowOff>10025</xdr:rowOff>
    </xdr:to>
    <xdr:sp macro="" textlink="">
      <xdr:nvSpPr>
        <xdr:cNvPr id="28" name="Freccia in giù 9">
          <a:extLst>
            <a:ext uri="{FF2B5EF4-FFF2-40B4-BE49-F238E27FC236}">
              <a16:creationId xmlns:a16="http://schemas.microsoft.com/office/drawing/2014/main" id="{00000000-0008-0000-1900-00001C000000}"/>
            </a:ext>
          </a:extLst>
        </xdr:cNvPr>
        <xdr:cNvSpPr/>
      </xdr:nvSpPr>
      <xdr:spPr>
        <a:xfrm rot="10800000">
          <a:off x="4801566" y="160652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26</xdr:row>
      <xdr:rowOff>4645</xdr:rowOff>
    </xdr:from>
    <xdr:to>
      <xdr:col>108</xdr:col>
      <xdr:colOff>43694</xdr:colOff>
      <xdr:row>27</xdr:row>
      <xdr:rowOff>8166</xdr:rowOff>
    </xdr:to>
    <xdr:sp macro="" textlink="">
      <xdr:nvSpPr>
        <xdr:cNvPr id="29" name="Freccia in giù 9">
          <a:extLst>
            <a:ext uri="{FF2B5EF4-FFF2-40B4-BE49-F238E27FC236}">
              <a16:creationId xmlns:a16="http://schemas.microsoft.com/office/drawing/2014/main" id="{00000000-0008-0000-1900-00001D000000}"/>
            </a:ext>
          </a:extLst>
        </xdr:cNvPr>
        <xdr:cNvSpPr/>
      </xdr:nvSpPr>
      <xdr:spPr>
        <a:xfrm rot="5400000">
          <a:off x="5517174" y="122920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123377</xdr:colOff>
      <xdr:row>19</xdr:row>
      <xdr:rowOff>95893</xdr:rowOff>
    </xdr:from>
    <xdr:to>
      <xdr:col>82</xdr:col>
      <xdr:colOff>11633</xdr:colOff>
      <xdr:row>22</xdr:row>
      <xdr:rowOff>15028</xdr:rowOff>
    </xdr:to>
    <xdr:sp macro="" textlink="">
      <xdr:nvSpPr>
        <xdr:cNvPr id="30" name="Freccia in giù 9">
          <a:extLst>
            <a:ext uri="{FF2B5EF4-FFF2-40B4-BE49-F238E27FC236}">
              <a16:creationId xmlns:a16="http://schemas.microsoft.com/office/drawing/2014/main" id="{00000000-0008-0000-1900-00001E000000}"/>
            </a:ext>
          </a:extLst>
        </xdr:cNvPr>
        <xdr:cNvSpPr/>
      </xdr:nvSpPr>
      <xdr:spPr>
        <a:xfrm>
          <a:off x="2476052" y="11611618"/>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54</xdr:row>
      <xdr:rowOff>6397</xdr:rowOff>
    </xdr:from>
    <xdr:to>
      <xdr:col>80</xdr:col>
      <xdr:colOff>5058</xdr:colOff>
      <xdr:row>55</xdr:row>
      <xdr:rowOff>9918</xdr:rowOff>
    </xdr:to>
    <xdr:sp macro="" textlink="">
      <xdr:nvSpPr>
        <xdr:cNvPr id="31" name="Freccia in giù 9">
          <a:extLst>
            <a:ext uri="{FF2B5EF4-FFF2-40B4-BE49-F238E27FC236}">
              <a16:creationId xmlns:a16="http://schemas.microsoft.com/office/drawing/2014/main" id="{00000000-0008-0000-1900-00001F000000}"/>
            </a:ext>
          </a:extLst>
        </xdr:cNvPr>
        <xdr:cNvSpPr/>
      </xdr:nvSpPr>
      <xdr:spPr>
        <a:xfrm rot="16200000">
          <a:off x="1763787" y="157608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11207</xdr:colOff>
      <xdr:row>31</xdr:row>
      <xdr:rowOff>112059</xdr:rowOff>
    </xdr:from>
    <xdr:to>
      <xdr:col>99</xdr:col>
      <xdr:colOff>89648</xdr:colOff>
      <xdr:row>45</xdr:row>
      <xdr:rowOff>78441</xdr:rowOff>
    </xdr:to>
    <xdr:sp macro="" textlink="">
      <xdr:nvSpPr>
        <xdr:cNvPr id="32" name="Oval 31">
          <a:extLst>
            <a:ext uri="{FF2B5EF4-FFF2-40B4-BE49-F238E27FC236}">
              <a16:creationId xmlns:a16="http://schemas.microsoft.com/office/drawing/2014/main" id="{00000000-0008-0000-1900-000020000000}"/>
            </a:ext>
          </a:extLst>
        </xdr:cNvPr>
        <xdr:cNvSpPr/>
      </xdr:nvSpPr>
      <xdr:spPr>
        <a:xfrm>
          <a:off x="2859182" y="13113684"/>
          <a:ext cx="1688166" cy="169993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77</xdr:col>
      <xdr:colOff>123377</xdr:colOff>
      <xdr:row>19</xdr:row>
      <xdr:rowOff>95893</xdr:rowOff>
    </xdr:from>
    <xdr:to>
      <xdr:col>79</xdr:col>
      <xdr:colOff>11633</xdr:colOff>
      <xdr:row>22</xdr:row>
      <xdr:rowOff>15028</xdr:rowOff>
    </xdr:to>
    <xdr:sp macro="" textlink="">
      <xdr:nvSpPr>
        <xdr:cNvPr id="34" name="Freccia in giù 9">
          <a:extLst>
            <a:ext uri="{FF2B5EF4-FFF2-40B4-BE49-F238E27FC236}">
              <a16:creationId xmlns:a16="http://schemas.microsoft.com/office/drawing/2014/main" id="{00000000-0008-0000-1900-000022000000}"/>
            </a:ext>
          </a:extLst>
        </xdr:cNvPr>
        <xdr:cNvSpPr/>
      </xdr:nvSpPr>
      <xdr:spPr>
        <a:xfrm>
          <a:off x="2104577" y="11611618"/>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123377</xdr:colOff>
      <xdr:row>19</xdr:row>
      <xdr:rowOff>95893</xdr:rowOff>
    </xdr:from>
    <xdr:to>
      <xdr:col>76</xdr:col>
      <xdr:colOff>11633</xdr:colOff>
      <xdr:row>22</xdr:row>
      <xdr:rowOff>15028</xdr:rowOff>
    </xdr:to>
    <xdr:sp macro="" textlink="">
      <xdr:nvSpPr>
        <xdr:cNvPr id="35" name="Freccia in giù 9">
          <a:extLst>
            <a:ext uri="{FF2B5EF4-FFF2-40B4-BE49-F238E27FC236}">
              <a16:creationId xmlns:a16="http://schemas.microsoft.com/office/drawing/2014/main" id="{00000000-0008-0000-1900-000023000000}"/>
            </a:ext>
          </a:extLst>
        </xdr:cNvPr>
        <xdr:cNvSpPr/>
      </xdr:nvSpPr>
      <xdr:spPr>
        <a:xfrm>
          <a:off x="1733102" y="11611618"/>
          <a:ext cx="135906" cy="290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68</xdr:col>
      <xdr:colOff>36132</xdr:colOff>
      <xdr:row>11</xdr:row>
      <xdr:rowOff>32229</xdr:rowOff>
    </xdr:from>
    <xdr:to>
      <xdr:col>69</xdr:col>
      <xdr:colOff>44135</xdr:colOff>
      <xdr:row>14</xdr:row>
      <xdr:rowOff>99809</xdr:rowOff>
    </xdr:to>
    <xdr:sp macro="" textlink="">
      <xdr:nvSpPr>
        <xdr:cNvPr id="36" name="Freccia in giù 9">
          <a:extLst>
            <a:ext uri="{FF2B5EF4-FFF2-40B4-BE49-F238E27FC236}">
              <a16:creationId xmlns:a16="http://schemas.microsoft.com/office/drawing/2014/main" id="{00000000-0008-0000-1900-000024000000}"/>
            </a:ext>
          </a:extLst>
        </xdr:cNvPr>
        <xdr:cNvSpPr/>
      </xdr:nvSpPr>
      <xdr:spPr>
        <a:xfrm>
          <a:off x="655257" y="10557354"/>
          <a:ext cx="131828"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71</xdr:col>
      <xdr:colOff>59531</xdr:colOff>
      <xdr:row>11</xdr:row>
      <xdr:rowOff>35721</xdr:rowOff>
    </xdr:from>
    <xdr:to>
      <xdr:col>72</xdr:col>
      <xdr:colOff>65212</xdr:colOff>
      <xdr:row>14</xdr:row>
      <xdr:rowOff>89298</xdr:rowOff>
    </xdr:to>
    <xdr:sp macro="" textlink="">
      <xdr:nvSpPr>
        <xdr:cNvPr id="37" name="Freccia in giù 9">
          <a:extLst>
            <a:ext uri="{FF2B5EF4-FFF2-40B4-BE49-F238E27FC236}">
              <a16:creationId xmlns:a16="http://schemas.microsoft.com/office/drawing/2014/main" id="{00000000-0008-0000-1900-000025000000}"/>
            </a:ext>
          </a:extLst>
        </xdr:cNvPr>
        <xdr:cNvSpPr/>
      </xdr:nvSpPr>
      <xdr:spPr>
        <a:xfrm>
          <a:off x="1050131" y="10560846"/>
          <a:ext cx="129506" cy="4250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67</xdr:col>
      <xdr:colOff>44134</xdr:colOff>
      <xdr:row>11</xdr:row>
      <xdr:rowOff>41672</xdr:rowOff>
    </xdr:from>
    <xdr:to>
      <xdr:col>69</xdr:col>
      <xdr:colOff>5953</xdr:colOff>
      <xdr:row>13</xdr:row>
      <xdr:rowOff>117626</xdr:rowOff>
    </xdr:to>
    <xdr:sp macro="" textlink="">
      <xdr:nvSpPr>
        <xdr:cNvPr id="38" name="Freccia curva 7">
          <a:extLst>
            <a:ext uri="{FF2B5EF4-FFF2-40B4-BE49-F238E27FC236}">
              <a16:creationId xmlns:a16="http://schemas.microsoft.com/office/drawing/2014/main" id="{00000000-0008-0000-1900-000026000000}"/>
            </a:ext>
          </a:extLst>
        </xdr:cNvPr>
        <xdr:cNvSpPr/>
      </xdr:nvSpPr>
      <xdr:spPr>
        <a:xfrm rot="10800000">
          <a:off x="539434" y="10566797"/>
          <a:ext cx="209469" cy="3236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71</xdr:col>
      <xdr:colOff>89296</xdr:colOff>
      <xdr:row>11</xdr:row>
      <xdr:rowOff>47623</xdr:rowOff>
    </xdr:from>
    <xdr:to>
      <xdr:col>73</xdr:col>
      <xdr:colOff>65484</xdr:colOff>
      <xdr:row>13</xdr:row>
      <xdr:rowOff>83343</xdr:rowOff>
    </xdr:to>
    <xdr:sp macro="" textlink="">
      <xdr:nvSpPr>
        <xdr:cNvPr id="39" name="Freccia curva 8">
          <a:extLst>
            <a:ext uri="{FF2B5EF4-FFF2-40B4-BE49-F238E27FC236}">
              <a16:creationId xmlns:a16="http://schemas.microsoft.com/office/drawing/2014/main" id="{00000000-0008-0000-1900-000027000000}"/>
            </a:ext>
          </a:extLst>
        </xdr:cNvPr>
        <xdr:cNvSpPr/>
      </xdr:nvSpPr>
      <xdr:spPr>
        <a:xfrm rot="10800000" flipH="1">
          <a:off x="1079896" y="10572748"/>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65484</xdr:colOff>
      <xdr:row>11</xdr:row>
      <xdr:rowOff>47623</xdr:rowOff>
    </xdr:from>
    <xdr:to>
      <xdr:col>80</xdr:col>
      <xdr:colOff>59531</xdr:colOff>
      <xdr:row>14</xdr:row>
      <xdr:rowOff>107155</xdr:rowOff>
    </xdr:to>
    <xdr:sp macro="" textlink="">
      <xdr:nvSpPr>
        <xdr:cNvPr id="40" name="Freccia curva 8">
          <a:extLst>
            <a:ext uri="{FF2B5EF4-FFF2-40B4-BE49-F238E27FC236}">
              <a16:creationId xmlns:a16="http://schemas.microsoft.com/office/drawing/2014/main" id="{00000000-0008-0000-1900-000028000000}"/>
            </a:ext>
          </a:extLst>
        </xdr:cNvPr>
        <xdr:cNvSpPr/>
      </xdr:nvSpPr>
      <xdr:spPr>
        <a:xfrm rot="10800000" flipH="1">
          <a:off x="1922859" y="10572748"/>
          <a:ext cx="241697" cy="43100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71437</xdr:colOff>
      <xdr:row>11</xdr:row>
      <xdr:rowOff>41672</xdr:rowOff>
    </xdr:from>
    <xdr:to>
      <xdr:col>80</xdr:col>
      <xdr:colOff>53578</xdr:colOff>
      <xdr:row>13</xdr:row>
      <xdr:rowOff>35719</xdr:rowOff>
    </xdr:to>
    <xdr:sp macro="" textlink="">
      <xdr:nvSpPr>
        <xdr:cNvPr id="41" name="Freccia a inversione 13">
          <a:extLst>
            <a:ext uri="{FF2B5EF4-FFF2-40B4-BE49-F238E27FC236}">
              <a16:creationId xmlns:a16="http://schemas.microsoft.com/office/drawing/2014/main" id="{00000000-0008-0000-1900-000029000000}"/>
            </a:ext>
          </a:extLst>
        </xdr:cNvPr>
        <xdr:cNvSpPr/>
      </xdr:nvSpPr>
      <xdr:spPr>
        <a:xfrm flipV="1">
          <a:off x="1928812" y="10566797"/>
          <a:ext cx="229791" cy="24169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108149</xdr:colOff>
      <xdr:row>63</xdr:row>
      <xdr:rowOff>11205</xdr:rowOff>
    </xdr:from>
    <xdr:to>
      <xdr:col>118</xdr:col>
      <xdr:colOff>69967</xdr:colOff>
      <xdr:row>65</xdr:row>
      <xdr:rowOff>87930</xdr:rowOff>
    </xdr:to>
    <xdr:sp macro="" textlink="">
      <xdr:nvSpPr>
        <xdr:cNvPr id="44" name="Freccia curva 7">
          <a:extLst>
            <a:ext uri="{FF2B5EF4-FFF2-40B4-BE49-F238E27FC236}">
              <a16:creationId xmlns:a16="http://schemas.microsoft.com/office/drawing/2014/main" id="{00000000-0008-0000-1900-00002C000000}"/>
            </a:ext>
          </a:extLst>
        </xdr:cNvPr>
        <xdr:cNvSpPr/>
      </xdr:nvSpPr>
      <xdr:spPr>
        <a:xfrm>
          <a:off x="6670874" y="17099055"/>
          <a:ext cx="209468" cy="32437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29138</xdr:colOff>
      <xdr:row>63</xdr:row>
      <xdr:rowOff>22557</xdr:rowOff>
    </xdr:from>
    <xdr:to>
      <xdr:col>114</xdr:col>
      <xdr:colOff>5326</xdr:colOff>
      <xdr:row>65</xdr:row>
      <xdr:rowOff>58277</xdr:rowOff>
    </xdr:to>
    <xdr:sp macro="" textlink="">
      <xdr:nvSpPr>
        <xdr:cNvPr id="45" name="Freccia curva 8">
          <a:extLst>
            <a:ext uri="{FF2B5EF4-FFF2-40B4-BE49-F238E27FC236}">
              <a16:creationId xmlns:a16="http://schemas.microsoft.com/office/drawing/2014/main" id="{00000000-0008-0000-1900-00002D000000}"/>
            </a:ext>
          </a:extLst>
        </xdr:cNvPr>
        <xdr:cNvSpPr/>
      </xdr:nvSpPr>
      <xdr:spPr>
        <a:xfrm flipH="1">
          <a:off x="6096563" y="17110407"/>
          <a:ext cx="223838" cy="28337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50444</xdr:colOff>
      <xdr:row>62</xdr:row>
      <xdr:rowOff>27570</xdr:rowOff>
    </xdr:from>
    <xdr:to>
      <xdr:col>107</xdr:col>
      <xdr:colOff>44491</xdr:colOff>
      <xdr:row>65</xdr:row>
      <xdr:rowOff>87102</xdr:rowOff>
    </xdr:to>
    <xdr:sp macro="" textlink="">
      <xdr:nvSpPr>
        <xdr:cNvPr id="46" name="Freccia curva 8">
          <a:extLst>
            <a:ext uri="{FF2B5EF4-FFF2-40B4-BE49-F238E27FC236}">
              <a16:creationId xmlns:a16="http://schemas.microsoft.com/office/drawing/2014/main" id="{00000000-0008-0000-1900-00002E000000}"/>
            </a:ext>
          </a:extLst>
        </xdr:cNvPr>
        <xdr:cNvSpPr/>
      </xdr:nvSpPr>
      <xdr:spPr>
        <a:xfrm flipH="1">
          <a:off x="5251094" y="16991595"/>
          <a:ext cx="241697" cy="43100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66423</xdr:colOff>
      <xdr:row>63</xdr:row>
      <xdr:rowOff>86790</xdr:rowOff>
    </xdr:from>
    <xdr:to>
      <xdr:col>107</xdr:col>
      <xdr:colOff>48564</xdr:colOff>
      <xdr:row>65</xdr:row>
      <xdr:rowOff>80837</xdr:rowOff>
    </xdr:to>
    <xdr:sp macro="" textlink="">
      <xdr:nvSpPr>
        <xdr:cNvPr id="47" name="Freccia a inversione 13">
          <a:extLst>
            <a:ext uri="{FF2B5EF4-FFF2-40B4-BE49-F238E27FC236}">
              <a16:creationId xmlns:a16="http://schemas.microsoft.com/office/drawing/2014/main" id="{00000000-0008-0000-1900-00002F000000}"/>
            </a:ext>
          </a:extLst>
        </xdr:cNvPr>
        <xdr:cNvSpPr/>
      </xdr:nvSpPr>
      <xdr:spPr>
        <a:xfrm rot="10800000" flipV="1">
          <a:off x="5267073" y="17174640"/>
          <a:ext cx="229791" cy="24169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42607</xdr:colOff>
      <xdr:row>65</xdr:row>
      <xdr:rowOff>54431</xdr:rowOff>
    </xdr:from>
    <xdr:to>
      <xdr:col>73</xdr:col>
      <xdr:colOff>97971</xdr:colOff>
      <xdr:row>66</xdr:row>
      <xdr:rowOff>48986</xdr:rowOff>
    </xdr:to>
    <xdr:sp macro="" textlink="">
      <xdr:nvSpPr>
        <xdr:cNvPr id="48" name="Freccia in giù 9">
          <a:extLst>
            <a:ext uri="{FF2B5EF4-FFF2-40B4-BE49-F238E27FC236}">
              <a16:creationId xmlns:a16="http://schemas.microsoft.com/office/drawing/2014/main" id="{00000000-0008-0000-1900-000030000000}"/>
            </a:ext>
          </a:extLst>
        </xdr:cNvPr>
        <xdr:cNvSpPr/>
      </xdr:nvSpPr>
      <xdr:spPr>
        <a:xfrm rot="16200000">
          <a:off x="1063612" y="17111876"/>
          <a:ext cx="118380"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37165</xdr:colOff>
      <xdr:row>62</xdr:row>
      <xdr:rowOff>32656</xdr:rowOff>
    </xdr:from>
    <xdr:to>
      <xdr:col>73</xdr:col>
      <xdr:colOff>92529</xdr:colOff>
      <xdr:row>63</xdr:row>
      <xdr:rowOff>54429</xdr:rowOff>
    </xdr:to>
    <xdr:sp macro="" textlink="">
      <xdr:nvSpPr>
        <xdr:cNvPr id="49" name="Freccia in giù 9">
          <a:extLst>
            <a:ext uri="{FF2B5EF4-FFF2-40B4-BE49-F238E27FC236}">
              <a16:creationId xmlns:a16="http://schemas.microsoft.com/office/drawing/2014/main" id="{00000000-0008-0000-1900-000031000000}"/>
            </a:ext>
          </a:extLst>
        </xdr:cNvPr>
        <xdr:cNvSpPr/>
      </xdr:nvSpPr>
      <xdr:spPr>
        <a:xfrm rot="16200000">
          <a:off x="1044561" y="16732235"/>
          <a:ext cx="145598" cy="4268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35052</xdr:colOff>
      <xdr:row>62</xdr:row>
      <xdr:rowOff>19581</xdr:rowOff>
    </xdr:from>
    <xdr:to>
      <xdr:col>114</xdr:col>
      <xdr:colOff>43054</xdr:colOff>
      <xdr:row>65</xdr:row>
      <xdr:rowOff>87161</xdr:rowOff>
    </xdr:to>
    <xdr:sp macro="" textlink="">
      <xdr:nvSpPr>
        <xdr:cNvPr id="50" name="Freccia in giù 9">
          <a:extLst>
            <a:ext uri="{FF2B5EF4-FFF2-40B4-BE49-F238E27FC236}">
              <a16:creationId xmlns:a16="http://schemas.microsoft.com/office/drawing/2014/main" id="{00000000-0008-0000-1900-000032000000}"/>
            </a:ext>
          </a:extLst>
        </xdr:cNvPr>
        <xdr:cNvSpPr/>
      </xdr:nvSpPr>
      <xdr:spPr>
        <a:xfrm rot="10800000">
          <a:off x="6226302" y="16983606"/>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68138</xdr:colOff>
      <xdr:row>62</xdr:row>
      <xdr:rowOff>27603</xdr:rowOff>
    </xdr:from>
    <xdr:to>
      <xdr:col>117</xdr:col>
      <xdr:colOff>76140</xdr:colOff>
      <xdr:row>65</xdr:row>
      <xdr:rowOff>95183</xdr:rowOff>
    </xdr:to>
    <xdr:sp macro="" textlink="">
      <xdr:nvSpPr>
        <xdr:cNvPr id="51" name="Freccia in giù 9">
          <a:extLst>
            <a:ext uri="{FF2B5EF4-FFF2-40B4-BE49-F238E27FC236}">
              <a16:creationId xmlns:a16="http://schemas.microsoft.com/office/drawing/2014/main" id="{00000000-0008-0000-1900-000033000000}"/>
            </a:ext>
          </a:extLst>
        </xdr:cNvPr>
        <xdr:cNvSpPr/>
      </xdr:nvSpPr>
      <xdr:spPr>
        <a:xfrm rot="10800000">
          <a:off x="6630863" y="16991628"/>
          <a:ext cx="131827" cy="4390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120316</xdr:colOff>
      <xdr:row>10</xdr:row>
      <xdr:rowOff>40104</xdr:rowOff>
    </xdr:from>
    <xdr:to>
      <xdr:col>115</xdr:col>
      <xdr:colOff>90239</xdr:colOff>
      <xdr:row>12</xdr:row>
      <xdr:rowOff>25063</xdr:rowOff>
    </xdr:to>
    <xdr:sp macro="" textlink="">
      <xdr:nvSpPr>
        <xdr:cNvPr id="52" name="Freccia curva 7">
          <a:extLst>
            <a:ext uri="{FF2B5EF4-FFF2-40B4-BE49-F238E27FC236}">
              <a16:creationId xmlns:a16="http://schemas.microsoft.com/office/drawing/2014/main" id="{00000000-0008-0000-1900-000034000000}"/>
            </a:ext>
          </a:extLst>
        </xdr:cNvPr>
        <xdr:cNvSpPr/>
      </xdr:nvSpPr>
      <xdr:spPr>
        <a:xfrm rot="16200000">
          <a:off x="6242135" y="10387010"/>
          <a:ext cx="232609" cy="34139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35092</xdr:colOff>
      <xdr:row>11</xdr:row>
      <xdr:rowOff>60159</xdr:rowOff>
    </xdr:from>
    <xdr:to>
      <xdr:col>115</xdr:col>
      <xdr:colOff>100263</xdr:colOff>
      <xdr:row>12</xdr:row>
      <xdr:rowOff>65174</xdr:rowOff>
    </xdr:to>
    <xdr:sp macro="" textlink="">
      <xdr:nvSpPr>
        <xdr:cNvPr id="53" name="Freccia in giù 9">
          <a:extLst>
            <a:ext uri="{FF2B5EF4-FFF2-40B4-BE49-F238E27FC236}">
              <a16:creationId xmlns:a16="http://schemas.microsoft.com/office/drawing/2014/main" id="{00000000-0008-0000-1900-000035000000}"/>
            </a:ext>
          </a:extLst>
        </xdr:cNvPr>
        <xdr:cNvSpPr/>
      </xdr:nvSpPr>
      <xdr:spPr>
        <a:xfrm rot="5400000">
          <a:off x="6256420" y="10431381"/>
          <a:ext cx="128840" cy="43664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46675</xdr:colOff>
      <xdr:row>14</xdr:row>
      <xdr:rowOff>65692</xdr:rowOff>
    </xdr:from>
    <xdr:to>
      <xdr:col>115</xdr:col>
      <xdr:colOff>91554</xdr:colOff>
      <xdr:row>15</xdr:row>
      <xdr:rowOff>83326</xdr:rowOff>
    </xdr:to>
    <xdr:sp macro="" textlink="">
      <xdr:nvSpPr>
        <xdr:cNvPr id="54" name="Freccia in giù 9">
          <a:extLst>
            <a:ext uri="{FF2B5EF4-FFF2-40B4-BE49-F238E27FC236}">
              <a16:creationId xmlns:a16="http://schemas.microsoft.com/office/drawing/2014/main" id="{00000000-0008-0000-1900-000036000000}"/>
            </a:ext>
          </a:extLst>
        </xdr:cNvPr>
        <xdr:cNvSpPr/>
      </xdr:nvSpPr>
      <xdr:spPr>
        <a:xfrm rot="5400000">
          <a:off x="6251547" y="10824845"/>
          <a:ext cx="141459" cy="41635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25069</xdr:colOff>
      <xdr:row>21</xdr:row>
      <xdr:rowOff>75197</xdr:rowOff>
    </xdr:from>
    <xdr:to>
      <xdr:col>115</xdr:col>
      <xdr:colOff>80211</xdr:colOff>
      <xdr:row>23</xdr:row>
      <xdr:rowOff>90237</xdr:rowOff>
    </xdr:to>
    <xdr:sp macro="" textlink="">
      <xdr:nvSpPr>
        <xdr:cNvPr id="55" name="Freccia curva 66">
          <a:extLst>
            <a:ext uri="{FF2B5EF4-FFF2-40B4-BE49-F238E27FC236}">
              <a16:creationId xmlns:a16="http://schemas.microsoft.com/office/drawing/2014/main" id="{00000000-0008-0000-1900-000037000000}"/>
            </a:ext>
          </a:extLst>
        </xdr:cNvPr>
        <xdr:cNvSpPr/>
      </xdr:nvSpPr>
      <xdr:spPr>
        <a:xfrm rot="16200000" flipH="1">
          <a:off x="6174458" y="11756608"/>
          <a:ext cx="262690" cy="4266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120319</xdr:colOff>
      <xdr:row>21</xdr:row>
      <xdr:rowOff>85226</xdr:rowOff>
    </xdr:from>
    <xdr:to>
      <xdr:col>115</xdr:col>
      <xdr:colOff>85743</xdr:colOff>
      <xdr:row>23</xdr:row>
      <xdr:rowOff>65174</xdr:rowOff>
    </xdr:to>
    <xdr:sp macro="" textlink="">
      <xdr:nvSpPr>
        <xdr:cNvPr id="56" name="Freccia a inversione 13">
          <a:extLst>
            <a:ext uri="{FF2B5EF4-FFF2-40B4-BE49-F238E27FC236}">
              <a16:creationId xmlns:a16="http://schemas.microsoft.com/office/drawing/2014/main" id="{00000000-0008-0000-1900-000038000000}"/>
            </a:ext>
          </a:extLst>
        </xdr:cNvPr>
        <xdr:cNvSpPr/>
      </xdr:nvSpPr>
      <xdr:spPr>
        <a:xfrm rot="5400000" flipV="1">
          <a:off x="6304307" y="11855863"/>
          <a:ext cx="227598" cy="21307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48984</xdr:colOff>
      <xdr:row>65</xdr:row>
      <xdr:rowOff>87088</xdr:rowOff>
    </xdr:from>
    <xdr:to>
      <xdr:col>72</xdr:col>
      <xdr:colOff>114299</xdr:colOff>
      <xdr:row>67</xdr:row>
      <xdr:rowOff>81643</xdr:rowOff>
    </xdr:to>
    <xdr:sp macro="" textlink="">
      <xdr:nvSpPr>
        <xdr:cNvPr id="57" name="Freccia curva 7">
          <a:extLst>
            <a:ext uri="{FF2B5EF4-FFF2-40B4-BE49-F238E27FC236}">
              <a16:creationId xmlns:a16="http://schemas.microsoft.com/office/drawing/2014/main" id="{00000000-0008-0000-1900-000039000000}"/>
            </a:ext>
          </a:extLst>
        </xdr:cNvPr>
        <xdr:cNvSpPr/>
      </xdr:nvSpPr>
      <xdr:spPr>
        <a:xfrm rot="5400000">
          <a:off x="951139" y="17263383"/>
          <a:ext cx="242205" cy="3129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16329</xdr:colOff>
      <xdr:row>54</xdr:row>
      <xdr:rowOff>48984</xdr:rowOff>
    </xdr:from>
    <xdr:to>
      <xdr:col>73</xdr:col>
      <xdr:colOff>97970</xdr:colOff>
      <xdr:row>56</xdr:row>
      <xdr:rowOff>43542</xdr:rowOff>
    </xdr:to>
    <xdr:sp macro="" textlink="">
      <xdr:nvSpPr>
        <xdr:cNvPr id="58" name="Freccia curva 8">
          <a:extLst>
            <a:ext uri="{FF2B5EF4-FFF2-40B4-BE49-F238E27FC236}">
              <a16:creationId xmlns:a16="http://schemas.microsoft.com/office/drawing/2014/main" id="{00000000-0008-0000-1900-00003A000000}"/>
            </a:ext>
          </a:extLst>
        </xdr:cNvPr>
        <xdr:cNvSpPr/>
      </xdr:nvSpPr>
      <xdr:spPr>
        <a:xfrm rot="5400000" flipH="1">
          <a:off x="988558" y="15793130"/>
          <a:ext cx="242208" cy="453116"/>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43543</xdr:colOff>
      <xdr:row>61</xdr:row>
      <xdr:rowOff>43542</xdr:rowOff>
    </xdr:from>
    <xdr:to>
      <xdr:col>72</xdr:col>
      <xdr:colOff>87086</xdr:colOff>
      <xdr:row>63</xdr:row>
      <xdr:rowOff>15627</xdr:rowOff>
    </xdr:to>
    <xdr:sp macro="" textlink="">
      <xdr:nvSpPr>
        <xdr:cNvPr id="59" name="Freccia curva 8">
          <a:extLst>
            <a:ext uri="{FF2B5EF4-FFF2-40B4-BE49-F238E27FC236}">
              <a16:creationId xmlns:a16="http://schemas.microsoft.com/office/drawing/2014/main" id="{00000000-0008-0000-1900-00003B000000}"/>
            </a:ext>
          </a:extLst>
        </xdr:cNvPr>
        <xdr:cNvSpPr/>
      </xdr:nvSpPr>
      <xdr:spPr>
        <a:xfrm rot="5400000" flipH="1">
          <a:off x="946047" y="16724188"/>
          <a:ext cx="219735" cy="29119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21771</xdr:colOff>
      <xdr:row>54</xdr:row>
      <xdr:rowOff>54431</xdr:rowOff>
    </xdr:from>
    <xdr:to>
      <xdr:col>72</xdr:col>
      <xdr:colOff>16329</xdr:colOff>
      <xdr:row>56</xdr:row>
      <xdr:rowOff>49380</xdr:rowOff>
    </xdr:to>
    <xdr:sp macro="" textlink="">
      <xdr:nvSpPr>
        <xdr:cNvPr id="60" name="Freccia a inversione 13">
          <a:extLst>
            <a:ext uri="{FF2B5EF4-FFF2-40B4-BE49-F238E27FC236}">
              <a16:creationId xmlns:a16="http://schemas.microsoft.com/office/drawing/2014/main" id="{00000000-0008-0000-1900-00003C000000}"/>
            </a:ext>
          </a:extLst>
        </xdr:cNvPr>
        <xdr:cNvSpPr/>
      </xdr:nvSpPr>
      <xdr:spPr>
        <a:xfrm rot="16200000" flipV="1">
          <a:off x="888350" y="15904227"/>
          <a:ext cx="242599" cy="242208"/>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32848</xdr:colOff>
      <xdr:row>14</xdr:row>
      <xdr:rowOff>105103</xdr:rowOff>
    </xdr:from>
    <xdr:to>
      <xdr:col>115</xdr:col>
      <xdr:colOff>115304</xdr:colOff>
      <xdr:row>16</xdr:row>
      <xdr:rowOff>70186</xdr:rowOff>
    </xdr:to>
    <xdr:sp macro="" textlink="">
      <xdr:nvSpPr>
        <xdr:cNvPr id="61" name="Freccia curva 66">
          <a:extLst>
            <a:ext uri="{FF2B5EF4-FFF2-40B4-BE49-F238E27FC236}">
              <a16:creationId xmlns:a16="http://schemas.microsoft.com/office/drawing/2014/main" id="{00000000-0008-0000-1900-00003D000000}"/>
            </a:ext>
          </a:extLst>
        </xdr:cNvPr>
        <xdr:cNvSpPr/>
      </xdr:nvSpPr>
      <xdr:spPr>
        <a:xfrm rot="16200000" flipH="1">
          <a:off x="6282784" y="10943017"/>
          <a:ext cx="212733" cy="330106"/>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70044</xdr:colOff>
      <xdr:row>29</xdr:row>
      <xdr:rowOff>77995</xdr:rowOff>
    </xdr:from>
    <xdr:to>
      <xdr:col>107</xdr:col>
      <xdr:colOff>66800</xdr:colOff>
      <xdr:row>32</xdr:row>
      <xdr:rowOff>43433</xdr:rowOff>
    </xdr:to>
    <xdr:sp macro="" textlink="">
      <xdr:nvSpPr>
        <xdr:cNvPr id="63" name="Freccia in giù 9">
          <a:extLst>
            <a:ext uri="{FF2B5EF4-FFF2-40B4-BE49-F238E27FC236}">
              <a16:creationId xmlns:a16="http://schemas.microsoft.com/office/drawing/2014/main" id="{00000000-0008-0000-1900-00003F000000}"/>
            </a:ext>
          </a:extLst>
        </xdr:cNvPr>
        <xdr:cNvSpPr/>
      </xdr:nvSpPr>
      <xdr:spPr>
        <a:xfrm rot="9723139">
          <a:off x="5453740" y="12957452"/>
          <a:ext cx="120995" cy="3381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78</xdr:col>
      <xdr:colOff>57065</xdr:colOff>
      <xdr:row>45</xdr:row>
      <xdr:rowOff>109384</xdr:rowOff>
    </xdr:from>
    <xdr:to>
      <xdr:col>79</xdr:col>
      <xdr:colOff>49273</xdr:colOff>
      <xdr:row>48</xdr:row>
      <xdr:rowOff>57859</xdr:rowOff>
    </xdr:to>
    <xdr:sp macro="" textlink="">
      <xdr:nvSpPr>
        <xdr:cNvPr id="65" name="Freccia in giù 9">
          <a:extLst>
            <a:ext uri="{FF2B5EF4-FFF2-40B4-BE49-F238E27FC236}">
              <a16:creationId xmlns:a16="http://schemas.microsoft.com/office/drawing/2014/main" id="{00000000-0008-0000-1900-000041000000}"/>
            </a:ext>
          </a:extLst>
        </xdr:cNvPr>
        <xdr:cNvSpPr/>
      </xdr:nvSpPr>
      <xdr:spPr>
        <a:xfrm rot="20584512">
          <a:off x="1962065" y="14976667"/>
          <a:ext cx="116447" cy="3211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106</xdr:col>
      <xdr:colOff>96216</xdr:colOff>
      <xdr:row>55</xdr:row>
      <xdr:rowOff>91783</xdr:rowOff>
    </xdr:from>
    <xdr:to>
      <xdr:col>107</xdr:col>
      <xdr:colOff>109029</xdr:colOff>
      <xdr:row>58</xdr:row>
      <xdr:rowOff>10025</xdr:rowOff>
    </xdr:to>
    <xdr:sp macro="" textlink="">
      <xdr:nvSpPr>
        <xdr:cNvPr id="68" name="Freccia in giù 9">
          <a:extLst>
            <a:ext uri="{FF2B5EF4-FFF2-40B4-BE49-F238E27FC236}">
              <a16:creationId xmlns:a16="http://schemas.microsoft.com/office/drawing/2014/main" id="{00000000-0008-0000-1900-000044000000}"/>
            </a:ext>
          </a:extLst>
        </xdr:cNvPr>
        <xdr:cNvSpPr/>
      </xdr:nvSpPr>
      <xdr:spPr>
        <a:xfrm rot="10800000">
          <a:off x="5173041" y="160652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109</xdr:col>
      <xdr:colOff>96216</xdr:colOff>
      <xdr:row>55</xdr:row>
      <xdr:rowOff>91783</xdr:rowOff>
    </xdr:from>
    <xdr:to>
      <xdr:col>110</xdr:col>
      <xdr:colOff>109029</xdr:colOff>
      <xdr:row>58</xdr:row>
      <xdr:rowOff>10025</xdr:rowOff>
    </xdr:to>
    <xdr:sp macro="" textlink="">
      <xdr:nvSpPr>
        <xdr:cNvPr id="69" name="Freccia in giù 9">
          <a:extLst>
            <a:ext uri="{FF2B5EF4-FFF2-40B4-BE49-F238E27FC236}">
              <a16:creationId xmlns:a16="http://schemas.microsoft.com/office/drawing/2014/main" id="{00000000-0008-0000-1900-000045000000}"/>
            </a:ext>
          </a:extLst>
        </xdr:cNvPr>
        <xdr:cNvSpPr/>
      </xdr:nvSpPr>
      <xdr:spPr>
        <a:xfrm rot="10800000">
          <a:off x="5544516" y="160652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51</xdr:row>
      <xdr:rowOff>6397</xdr:rowOff>
    </xdr:from>
    <xdr:to>
      <xdr:col>80</xdr:col>
      <xdr:colOff>5058</xdr:colOff>
      <xdr:row>52</xdr:row>
      <xdr:rowOff>9918</xdr:rowOff>
    </xdr:to>
    <xdr:sp macro="" textlink="">
      <xdr:nvSpPr>
        <xdr:cNvPr id="70" name="Freccia in giù 9">
          <a:extLst>
            <a:ext uri="{FF2B5EF4-FFF2-40B4-BE49-F238E27FC236}">
              <a16:creationId xmlns:a16="http://schemas.microsoft.com/office/drawing/2014/main" id="{00000000-0008-0000-1900-000046000000}"/>
            </a:ext>
          </a:extLst>
        </xdr:cNvPr>
        <xdr:cNvSpPr/>
      </xdr:nvSpPr>
      <xdr:spPr>
        <a:xfrm rot="16200000">
          <a:off x="1763787" y="153893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58937</xdr:colOff>
      <xdr:row>57</xdr:row>
      <xdr:rowOff>6397</xdr:rowOff>
    </xdr:from>
    <xdr:to>
      <xdr:col>80</xdr:col>
      <xdr:colOff>5058</xdr:colOff>
      <xdr:row>58</xdr:row>
      <xdr:rowOff>9918</xdr:rowOff>
    </xdr:to>
    <xdr:sp macro="" textlink="">
      <xdr:nvSpPr>
        <xdr:cNvPr id="71" name="Freccia in giù 9">
          <a:extLst>
            <a:ext uri="{FF2B5EF4-FFF2-40B4-BE49-F238E27FC236}">
              <a16:creationId xmlns:a16="http://schemas.microsoft.com/office/drawing/2014/main" id="{00000000-0008-0000-1900-000047000000}"/>
            </a:ext>
          </a:extLst>
        </xdr:cNvPr>
        <xdr:cNvSpPr/>
      </xdr:nvSpPr>
      <xdr:spPr>
        <a:xfrm rot="16200000">
          <a:off x="1763787" y="161323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23</xdr:row>
      <xdr:rowOff>4645</xdr:rowOff>
    </xdr:from>
    <xdr:to>
      <xdr:col>108</xdr:col>
      <xdr:colOff>43694</xdr:colOff>
      <xdr:row>24</xdr:row>
      <xdr:rowOff>8166</xdr:rowOff>
    </xdr:to>
    <xdr:sp macro="" textlink="">
      <xdr:nvSpPr>
        <xdr:cNvPr id="72" name="Freccia in giù 9">
          <a:extLst>
            <a:ext uri="{FF2B5EF4-FFF2-40B4-BE49-F238E27FC236}">
              <a16:creationId xmlns:a16="http://schemas.microsoft.com/office/drawing/2014/main" id="{00000000-0008-0000-1900-000048000000}"/>
            </a:ext>
          </a:extLst>
        </xdr:cNvPr>
        <xdr:cNvSpPr/>
      </xdr:nvSpPr>
      <xdr:spPr>
        <a:xfrm rot="5400000">
          <a:off x="5517174" y="119205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105</xdr:col>
      <xdr:colOff>97574</xdr:colOff>
      <xdr:row>20</xdr:row>
      <xdr:rowOff>4645</xdr:rowOff>
    </xdr:from>
    <xdr:to>
      <xdr:col>108</xdr:col>
      <xdr:colOff>43694</xdr:colOff>
      <xdr:row>21</xdr:row>
      <xdr:rowOff>8166</xdr:rowOff>
    </xdr:to>
    <xdr:sp macro="" textlink="">
      <xdr:nvSpPr>
        <xdr:cNvPr id="73" name="Freccia in giù 9">
          <a:extLst>
            <a:ext uri="{FF2B5EF4-FFF2-40B4-BE49-F238E27FC236}">
              <a16:creationId xmlns:a16="http://schemas.microsoft.com/office/drawing/2014/main" id="{00000000-0008-0000-1900-000049000000}"/>
            </a:ext>
          </a:extLst>
        </xdr:cNvPr>
        <xdr:cNvSpPr/>
      </xdr:nvSpPr>
      <xdr:spPr>
        <a:xfrm rot="5400000">
          <a:off x="5517174" y="115490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29</xdr:col>
      <xdr:colOff>74298</xdr:colOff>
      <xdr:row>24</xdr:row>
      <xdr:rowOff>24852</xdr:rowOff>
    </xdr:from>
    <xdr:to>
      <xdr:col>30</xdr:col>
      <xdr:colOff>0</xdr:colOff>
      <xdr:row>27</xdr:row>
      <xdr:rowOff>94238</xdr:rowOff>
    </xdr:to>
    <xdr:cxnSp macro="">
      <xdr:nvCxnSpPr>
        <xdr:cNvPr id="76" name="Straight Arrow Connector 75">
          <a:extLst>
            <a:ext uri="{FF2B5EF4-FFF2-40B4-BE49-F238E27FC236}">
              <a16:creationId xmlns:a16="http://schemas.microsoft.com/office/drawing/2014/main" id="{00000000-0008-0000-1900-00004C000000}"/>
            </a:ext>
          </a:extLst>
        </xdr:cNvPr>
        <xdr:cNvCxnSpPr/>
      </xdr:nvCxnSpPr>
      <xdr:spPr>
        <a:xfrm rot="5400000">
          <a:off x="3345731" y="3192319"/>
          <a:ext cx="440861" cy="49527"/>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104942</xdr:colOff>
      <xdr:row>33</xdr:row>
      <xdr:rowOff>72312</xdr:rowOff>
    </xdr:from>
    <xdr:to>
      <xdr:col>34</xdr:col>
      <xdr:colOff>57979</xdr:colOff>
      <xdr:row>34</xdr:row>
      <xdr:rowOff>82827</xdr:rowOff>
    </xdr:to>
    <xdr:cxnSp macro="">
      <xdr:nvCxnSpPr>
        <xdr:cNvPr id="77" name="Straight Arrow Connector 76">
          <a:extLst>
            <a:ext uri="{FF2B5EF4-FFF2-40B4-BE49-F238E27FC236}">
              <a16:creationId xmlns:a16="http://schemas.microsoft.com/office/drawing/2014/main" id="{00000000-0008-0000-1900-00004D000000}"/>
            </a:ext>
          </a:extLst>
        </xdr:cNvPr>
        <xdr:cNvCxnSpPr/>
      </xdr:nvCxnSpPr>
      <xdr:spPr>
        <a:xfrm rot="10800000">
          <a:off x="3572042" y="4158537"/>
          <a:ext cx="572162" cy="134340"/>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86967</xdr:colOff>
      <xdr:row>14</xdr:row>
      <xdr:rowOff>28574</xdr:rowOff>
    </xdr:from>
    <xdr:ext cx="963800" cy="311715"/>
    <xdr:sp macro="" textlink="">
      <xdr:nvSpPr>
        <xdr:cNvPr id="78" name="Rectangle 77">
          <a:extLst>
            <a:ext uri="{FF2B5EF4-FFF2-40B4-BE49-F238E27FC236}">
              <a16:creationId xmlns:a16="http://schemas.microsoft.com/office/drawing/2014/main" id="{00000000-0008-0000-1900-00004E000000}"/>
            </a:ext>
          </a:extLst>
        </xdr:cNvPr>
        <xdr:cNvSpPr/>
      </xdr:nvSpPr>
      <xdr:spPr>
        <a:xfrm>
          <a:off x="582267" y="176212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94836</xdr:colOff>
      <xdr:row>14</xdr:row>
      <xdr:rowOff>61706</xdr:rowOff>
    </xdr:from>
    <xdr:ext cx="963800" cy="311715"/>
    <xdr:sp macro="" textlink="">
      <xdr:nvSpPr>
        <xdr:cNvPr id="79" name="Rectangle 78">
          <a:extLst>
            <a:ext uri="{FF2B5EF4-FFF2-40B4-BE49-F238E27FC236}">
              <a16:creationId xmlns:a16="http://schemas.microsoft.com/office/drawing/2014/main" id="{00000000-0008-0000-1900-00004F000000}"/>
            </a:ext>
          </a:extLst>
        </xdr:cNvPr>
        <xdr:cNvSpPr/>
      </xdr:nvSpPr>
      <xdr:spPr>
        <a:xfrm>
          <a:off x="5790786" y="1795256"/>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103533</xdr:colOff>
      <xdr:row>56</xdr:row>
      <xdr:rowOff>53423</xdr:rowOff>
    </xdr:from>
    <xdr:ext cx="963800" cy="311715"/>
    <xdr:sp macro="" textlink="">
      <xdr:nvSpPr>
        <xdr:cNvPr id="80" name="Rectangle 79">
          <a:extLst>
            <a:ext uri="{FF2B5EF4-FFF2-40B4-BE49-F238E27FC236}">
              <a16:creationId xmlns:a16="http://schemas.microsoft.com/office/drawing/2014/main" id="{00000000-0008-0000-1900-000050000000}"/>
            </a:ext>
          </a:extLst>
        </xdr:cNvPr>
        <xdr:cNvSpPr/>
      </xdr:nvSpPr>
      <xdr:spPr>
        <a:xfrm>
          <a:off x="5799483" y="698762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xdr:col>
      <xdr:colOff>111815</xdr:colOff>
      <xdr:row>56</xdr:row>
      <xdr:rowOff>3727</xdr:rowOff>
    </xdr:from>
    <xdr:ext cx="963800" cy="311715"/>
    <xdr:sp macro="" textlink="">
      <xdr:nvSpPr>
        <xdr:cNvPr id="81" name="Rectangle 80">
          <a:extLst>
            <a:ext uri="{FF2B5EF4-FFF2-40B4-BE49-F238E27FC236}">
              <a16:creationId xmlns:a16="http://schemas.microsoft.com/office/drawing/2014/main" id="{00000000-0008-0000-1900-000051000000}"/>
            </a:ext>
          </a:extLst>
        </xdr:cNvPr>
        <xdr:cNvSpPr/>
      </xdr:nvSpPr>
      <xdr:spPr>
        <a:xfrm>
          <a:off x="607115" y="693792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45</xdr:col>
      <xdr:colOff>120934</xdr:colOff>
      <xdr:row>42</xdr:row>
      <xdr:rowOff>11700</xdr:rowOff>
    </xdr:from>
    <xdr:to>
      <xdr:col>49</xdr:col>
      <xdr:colOff>38101</xdr:colOff>
      <xdr:row>42</xdr:row>
      <xdr:rowOff>76200</xdr:rowOff>
    </xdr:to>
    <xdr:cxnSp macro="">
      <xdr:nvCxnSpPr>
        <xdr:cNvPr id="82" name="Straight Arrow Connector 81">
          <a:extLst>
            <a:ext uri="{FF2B5EF4-FFF2-40B4-BE49-F238E27FC236}">
              <a16:creationId xmlns:a16="http://schemas.microsoft.com/office/drawing/2014/main" id="{00000000-0008-0000-1900-000052000000}"/>
            </a:ext>
          </a:extLst>
        </xdr:cNvPr>
        <xdr:cNvCxnSpPr/>
      </xdr:nvCxnSpPr>
      <xdr:spPr>
        <a:xfrm rot="10800000">
          <a:off x="5607334" y="5212350"/>
          <a:ext cx="412467" cy="64500"/>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28578</xdr:colOff>
      <xdr:row>42</xdr:row>
      <xdr:rowOff>79227</xdr:rowOff>
    </xdr:from>
    <xdr:to>
      <xdr:col>40</xdr:col>
      <xdr:colOff>15329</xdr:colOff>
      <xdr:row>46</xdr:row>
      <xdr:rowOff>104775</xdr:rowOff>
    </xdr:to>
    <xdr:cxnSp macro="">
      <xdr:nvCxnSpPr>
        <xdr:cNvPr id="83" name="Straight Arrow Connector 82">
          <a:extLst>
            <a:ext uri="{FF2B5EF4-FFF2-40B4-BE49-F238E27FC236}">
              <a16:creationId xmlns:a16="http://schemas.microsoft.com/office/drawing/2014/main" id="{00000000-0008-0000-1900-000053000000}"/>
            </a:ext>
          </a:extLst>
        </xdr:cNvPr>
        <xdr:cNvCxnSpPr/>
      </xdr:nvCxnSpPr>
      <xdr:spPr>
        <a:xfrm rot="5400000" flipH="1" flipV="1">
          <a:off x="4566892" y="5485013"/>
          <a:ext cx="520848" cy="11057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8282</xdr:colOff>
      <xdr:row>58</xdr:row>
      <xdr:rowOff>17492</xdr:rowOff>
    </xdr:from>
    <xdr:to>
      <xdr:col>31</xdr:col>
      <xdr:colOff>62119</xdr:colOff>
      <xdr:row>62</xdr:row>
      <xdr:rowOff>8284</xdr:rowOff>
    </xdr:to>
    <xdr:cxnSp macro="">
      <xdr:nvCxnSpPr>
        <xdr:cNvPr id="84" name="Straight Arrow Connector 83">
          <a:extLst>
            <a:ext uri="{FF2B5EF4-FFF2-40B4-BE49-F238E27FC236}">
              <a16:creationId xmlns:a16="http://schemas.microsoft.com/office/drawing/2014/main" id="{00000000-0008-0000-1900-000054000000}"/>
            </a:ext>
          </a:extLst>
        </xdr:cNvPr>
        <xdr:cNvCxnSpPr/>
      </xdr:nvCxnSpPr>
      <xdr:spPr>
        <a:xfrm rot="5400000" flipH="1" flipV="1">
          <a:off x="3506905" y="7415469"/>
          <a:ext cx="486092" cy="53837"/>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24848</xdr:colOff>
      <xdr:row>51</xdr:row>
      <xdr:rowOff>49695</xdr:rowOff>
    </xdr:from>
    <xdr:to>
      <xdr:col>30</xdr:col>
      <xdr:colOff>70401</xdr:colOff>
      <xdr:row>52</xdr:row>
      <xdr:rowOff>32426</xdr:rowOff>
    </xdr:to>
    <xdr:cxnSp macro="">
      <xdr:nvCxnSpPr>
        <xdr:cNvPr id="85" name="Straight Arrow Connector 84">
          <a:extLst>
            <a:ext uri="{FF2B5EF4-FFF2-40B4-BE49-F238E27FC236}">
              <a16:creationId xmlns:a16="http://schemas.microsoft.com/office/drawing/2014/main" id="{00000000-0008-0000-1900-000055000000}"/>
            </a:ext>
          </a:extLst>
        </xdr:cNvPr>
        <xdr:cNvCxnSpPr/>
      </xdr:nvCxnSpPr>
      <xdr:spPr>
        <a:xfrm>
          <a:off x="3120473" y="6364770"/>
          <a:ext cx="540853" cy="106556"/>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16565</xdr:colOff>
      <xdr:row>43</xdr:row>
      <xdr:rowOff>82826</xdr:rowOff>
    </xdr:from>
    <xdr:to>
      <xdr:col>15</xdr:col>
      <xdr:colOff>27747</xdr:colOff>
      <xdr:row>43</xdr:row>
      <xdr:rowOff>109841</xdr:rowOff>
    </xdr:to>
    <xdr:cxnSp macro="">
      <xdr:nvCxnSpPr>
        <xdr:cNvPr id="86" name="Straight Arrow Connector 85">
          <a:extLst>
            <a:ext uri="{FF2B5EF4-FFF2-40B4-BE49-F238E27FC236}">
              <a16:creationId xmlns:a16="http://schemas.microsoft.com/office/drawing/2014/main" id="{00000000-0008-0000-1900-000056000000}"/>
            </a:ext>
          </a:extLst>
        </xdr:cNvPr>
        <xdr:cNvCxnSpPr/>
      </xdr:nvCxnSpPr>
      <xdr:spPr>
        <a:xfrm>
          <a:off x="1254815" y="5407301"/>
          <a:ext cx="506482" cy="27015"/>
        </a:xfrm>
        <a:prstGeom prst="straightConnector1">
          <a:avLst/>
        </a:prstGeom>
        <a:ln w="381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38522</xdr:colOff>
      <xdr:row>38</xdr:row>
      <xdr:rowOff>16568</xdr:rowOff>
    </xdr:from>
    <xdr:to>
      <xdr:col>22</xdr:col>
      <xdr:colOff>74544</xdr:colOff>
      <xdr:row>41</xdr:row>
      <xdr:rowOff>117326</xdr:rowOff>
    </xdr:to>
    <xdr:cxnSp macro="">
      <xdr:nvCxnSpPr>
        <xdr:cNvPr id="87" name="Straight Arrow Connector 86">
          <a:extLst>
            <a:ext uri="{FF2B5EF4-FFF2-40B4-BE49-F238E27FC236}">
              <a16:creationId xmlns:a16="http://schemas.microsoft.com/office/drawing/2014/main" id="{00000000-0008-0000-1900-000057000000}"/>
            </a:ext>
          </a:extLst>
        </xdr:cNvPr>
        <xdr:cNvCxnSpPr/>
      </xdr:nvCxnSpPr>
      <xdr:spPr>
        <a:xfrm rot="5400000">
          <a:off x="2358829" y="4878111"/>
          <a:ext cx="472233" cy="159847"/>
        </a:xfrm>
        <a:prstGeom prst="straightConnector1">
          <a:avLst/>
        </a:prstGeom>
        <a:ln w="381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48301</xdr:colOff>
      <xdr:row>41</xdr:row>
      <xdr:rowOff>56586</xdr:rowOff>
    </xdr:from>
    <xdr:ext cx="323023" cy="425198"/>
    <xdr:sp macro="" textlink="">
      <xdr:nvSpPr>
        <xdr:cNvPr id="88" name="Rectangle 87">
          <a:extLst>
            <a:ext uri="{FF2B5EF4-FFF2-40B4-BE49-F238E27FC236}">
              <a16:creationId xmlns:a16="http://schemas.microsoft.com/office/drawing/2014/main" id="{00000000-0008-0000-1900-000058000000}"/>
            </a:ext>
          </a:extLst>
        </xdr:cNvPr>
        <xdr:cNvSpPr/>
      </xdr:nvSpPr>
      <xdr:spPr>
        <a:xfrm rot="6871470">
          <a:off x="1854589" y="5184498"/>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15</xdr:col>
      <xdr:colOff>93028</xdr:colOff>
      <xdr:row>42</xdr:row>
      <xdr:rowOff>109595</xdr:rowOff>
    </xdr:from>
    <xdr:ext cx="323023" cy="425198"/>
    <xdr:sp macro="" textlink="">
      <xdr:nvSpPr>
        <xdr:cNvPr id="89" name="Rectangle 88">
          <a:extLst>
            <a:ext uri="{FF2B5EF4-FFF2-40B4-BE49-F238E27FC236}">
              <a16:creationId xmlns:a16="http://schemas.microsoft.com/office/drawing/2014/main" id="{00000000-0008-0000-1900-000059000000}"/>
            </a:ext>
          </a:extLst>
        </xdr:cNvPr>
        <xdr:cNvSpPr/>
      </xdr:nvSpPr>
      <xdr:spPr>
        <a:xfrm rot="6871470">
          <a:off x="1775491" y="536133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15</xdr:col>
      <xdr:colOff>13516</xdr:colOff>
      <xdr:row>44</xdr:row>
      <xdr:rowOff>63211</xdr:rowOff>
    </xdr:from>
    <xdr:ext cx="323023" cy="425198"/>
    <xdr:sp macro="" textlink="">
      <xdr:nvSpPr>
        <xdr:cNvPr id="90" name="Rectangle 89">
          <a:extLst>
            <a:ext uri="{FF2B5EF4-FFF2-40B4-BE49-F238E27FC236}">
              <a16:creationId xmlns:a16="http://schemas.microsoft.com/office/drawing/2014/main" id="{00000000-0008-0000-1900-00005A000000}"/>
            </a:ext>
          </a:extLst>
        </xdr:cNvPr>
        <xdr:cNvSpPr/>
      </xdr:nvSpPr>
      <xdr:spPr>
        <a:xfrm rot="6871470">
          <a:off x="1695979" y="5562598"/>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3</a:t>
          </a:r>
        </a:p>
      </xdr:txBody>
    </xdr:sp>
    <xdr:clientData/>
  </xdr:oneCellAnchor>
  <xdr:oneCellAnchor>
    <xdr:from>
      <xdr:col>30</xdr:col>
      <xdr:colOff>64866</xdr:colOff>
      <xdr:row>55</xdr:row>
      <xdr:rowOff>34520</xdr:rowOff>
    </xdr:from>
    <xdr:ext cx="425198" cy="323023"/>
    <xdr:sp macro="" textlink="">
      <xdr:nvSpPr>
        <xdr:cNvPr id="91" name="Rectangle 90">
          <a:extLst>
            <a:ext uri="{FF2B5EF4-FFF2-40B4-BE49-F238E27FC236}">
              <a16:creationId xmlns:a16="http://schemas.microsoft.com/office/drawing/2014/main" id="{00000000-0008-0000-1900-00005B000000}"/>
            </a:ext>
          </a:extLst>
        </xdr:cNvPr>
        <xdr:cNvSpPr/>
      </xdr:nvSpPr>
      <xdr:spPr>
        <a:xfrm rot="1373632">
          <a:off x="3655791" y="6844895"/>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32</xdr:col>
      <xdr:colOff>10202</xdr:colOff>
      <xdr:row>55</xdr:row>
      <xdr:rowOff>104093</xdr:rowOff>
    </xdr:from>
    <xdr:ext cx="425198" cy="323023"/>
    <xdr:sp macro="" textlink="">
      <xdr:nvSpPr>
        <xdr:cNvPr id="92" name="Rectangle 91">
          <a:extLst>
            <a:ext uri="{FF2B5EF4-FFF2-40B4-BE49-F238E27FC236}">
              <a16:creationId xmlns:a16="http://schemas.microsoft.com/office/drawing/2014/main" id="{00000000-0008-0000-1900-00005C000000}"/>
            </a:ext>
          </a:extLst>
        </xdr:cNvPr>
        <xdr:cNvSpPr/>
      </xdr:nvSpPr>
      <xdr:spPr>
        <a:xfrm rot="1373632">
          <a:off x="3848777" y="6914468"/>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3</a:t>
          </a:r>
        </a:p>
      </xdr:txBody>
    </xdr:sp>
    <xdr:clientData/>
  </xdr:oneCellAnchor>
  <xdr:oneCellAnchor>
    <xdr:from>
      <xdr:col>29</xdr:col>
      <xdr:colOff>30081</xdr:colOff>
      <xdr:row>54</xdr:row>
      <xdr:rowOff>99125</xdr:rowOff>
    </xdr:from>
    <xdr:ext cx="425198" cy="323023"/>
    <xdr:sp macro="" textlink="">
      <xdr:nvSpPr>
        <xdr:cNvPr id="93" name="Rectangle 92">
          <a:extLst>
            <a:ext uri="{FF2B5EF4-FFF2-40B4-BE49-F238E27FC236}">
              <a16:creationId xmlns:a16="http://schemas.microsoft.com/office/drawing/2014/main" id="{00000000-0008-0000-1900-00005D000000}"/>
            </a:ext>
          </a:extLst>
        </xdr:cNvPr>
        <xdr:cNvSpPr/>
      </xdr:nvSpPr>
      <xdr:spPr>
        <a:xfrm rot="1373632">
          <a:off x="3497181" y="6785675"/>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42</xdr:col>
      <xdr:colOff>51085</xdr:colOff>
      <xdr:row>41</xdr:row>
      <xdr:rowOff>40021</xdr:rowOff>
    </xdr:from>
    <xdr:ext cx="323023" cy="425198"/>
    <xdr:sp macro="" textlink="">
      <xdr:nvSpPr>
        <xdr:cNvPr id="94" name="Rectangle 93">
          <a:extLst>
            <a:ext uri="{FF2B5EF4-FFF2-40B4-BE49-F238E27FC236}">
              <a16:creationId xmlns:a16="http://schemas.microsoft.com/office/drawing/2014/main" id="{00000000-0008-0000-1900-00005E000000}"/>
            </a:ext>
          </a:extLst>
        </xdr:cNvPr>
        <xdr:cNvSpPr/>
      </xdr:nvSpPr>
      <xdr:spPr>
        <a:xfrm rot="17271780">
          <a:off x="5076823" y="5167933"/>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28</xdr:col>
      <xdr:colOff>99238</xdr:colOff>
      <xdr:row>28</xdr:row>
      <xdr:rowOff>67103</xdr:rowOff>
    </xdr:from>
    <xdr:ext cx="430055" cy="323023"/>
    <xdr:sp macro="" textlink="">
      <xdr:nvSpPr>
        <xdr:cNvPr id="95" name="Rectangle 94">
          <a:extLst>
            <a:ext uri="{FF2B5EF4-FFF2-40B4-BE49-F238E27FC236}">
              <a16:creationId xmlns:a16="http://schemas.microsoft.com/office/drawing/2014/main" id="{00000000-0008-0000-1900-00005F000000}"/>
            </a:ext>
          </a:extLst>
        </xdr:cNvPr>
        <xdr:cNvSpPr/>
      </xdr:nvSpPr>
      <xdr:spPr>
        <a:xfrm rot="12020088">
          <a:off x="3442513" y="3534203"/>
          <a:ext cx="430055"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1</a:t>
          </a:r>
        </a:p>
      </xdr:txBody>
    </xdr:sp>
    <xdr:clientData/>
  </xdr:oneCellAnchor>
  <xdr:oneCellAnchor>
    <xdr:from>
      <xdr:col>43</xdr:col>
      <xdr:colOff>46116</xdr:colOff>
      <xdr:row>38</xdr:row>
      <xdr:rowOff>26769</xdr:rowOff>
    </xdr:from>
    <xdr:ext cx="323023" cy="425198"/>
    <xdr:sp macro="" textlink="">
      <xdr:nvSpPr>
        <xdr:cNvPr id="96" name="Rectangle 95">
          <a:extLst>
            <a:ext uri="{FF2B5EF4-FFF2-40B4-BE49-F238E27FC236}">
              <a16:creationId xmlns:a16="http://schemas.microsoft.com/office/drawing/2014/main" id="{00000000-0008-0000-1900-000060000000}"/>
            </a:ext>
          </a:extLst>
        </xdr:cNvPr>
        <xdr:cNvSpPr/>
      </xdr:nvSpPr>
      <xdr:spPr>
        <a:xfrm rot="17271780">
          <a:off x="5195679" y="4783206"/>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3</a:t>
          </a:r>
        </a:p>
      </xdr:txBody>
    </xdr:sp>
    <xdr:clientData/>
  </xdr:oneCellAnchor>
  <xdr:oneCellAnchor>
    <xdr:from>
      <xdr:col>42</xdr:col>
      <xdr:colOff>107408</xdr:colOff>
      <xdr:row>39</xdr:row>
      <xdr:rowOff>96340</xdr:rowOff>
    </xdr:from>
    <xdr:ext cx="323023" cy="425198"/>
    <xdr:sp macro="" textlink="">
      <xdr:nvSpPr>
        <xdr:cNvPr id="97" name="Rectangle 96">
          <a:extLst>
            <a:ext uri="{FF2B5EF4-FFF2-40B4-BE49-F238E27FC236}">
              <a16:creationId xmlns:a16="http://schemas.microsoft.com/office/drawing/2014/main" id="{00000000-0008-0000-1900-000061000000}"/>
            </a:ext>
          </a:extLst>
        </xdr:cNvPr>
        <xdr:cNvSpPr/>
      </xdr:nvSpPr>
      <xdr:spPr>
        <a:xfrm rot="17271780">
          <a:off x="5133146" y="4976602"/>
          <a:ext cx="425198"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oneCellAnchor>
    <xdr:from>
      <xdr:col>25</xdr:col>
      <xdr:colOff>110833</xdr:colOff>
      <xdr:row>27</xdr:row>
      <xdr:rowOff>62134</xdr:rowOff>
    </xdr:from>
    <xdr:ext cx="430055" cy="323023"/>
    <xdr:sp macro="" textlink="">
      <xdr:nvSpPr>
        <xdr:cNvPr id="98" name="Rectangle 97">
          <a:extLst>
            <a:ext uri="{FF2B5EF4-FFF2-40B4-BE49-F238E27FC236}">
              <a16:creationId xmlns:a16="http://schemas.microsoft.com/office/drawing/2014/main" id="{00000000-0008-0000-1900-000062000000}"/>
            </a:ext>
          </a:extLst>
        </xdr:cNvPr>
        <xdr:cNvSpPr/>
      </xdr:nvSpPr>
      <xdr:spPr>
        <a:xfrm rot="12020088">
          <a:off x="3082633" y="3405409"/>
          <a:ext cx="430055"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3</a:t>
          </a:r>
        </a:p>
      </xdr:txBody>
    </xdr:sp>
    <xdr:clientData/>
  </xdr:oneCellAnchor>
  <xdr:oneCellAnchor>
    <xdr:from>
      <xdr:col>27</xdr:col>
      <xdr:colOff>56170</xdr:colOff>
      <xdr:row>28</xdr:row>
      <xdr:rowOff>7467</xdr:rowOff>
    </xdr:from>
    <xdr:ext cx="430055" cy="323023"/>
    <xdr:sp macro="" textlink="">
      <xdr:nvSpPr>
        <xdr:cNvPr id="99" name="Rectangle 98">
          <a:extLst>
            <a:ext uri="{FF2B5EF4-FFF2-40B4-BE49-F238E27FC236}">
              <a16:creationId xmlns:a16="http://schemas.microsoft.com/office/drawing/2014/main" id="{00000000-0008-0000-1900-000063000000}"/>
            </a:ext>
          </a:extLst>
        </xdr:cNvPr>
        <xdr:cNvSpPr/>
      </xdr:nvSpPr>
      <xdr:spPr>
        <a:xfrm rot="12020088">
          <a:off x="3275620" y="3474567"/>
          <a:ext cx="430055" cy="323023"/>
        </a:xfrm>
        <a:prstGeom prst="rect">
          <a:avLst/>
        </a:prstGeom>
        <a:noFill/>
      </xdr:spPr>
      <xdr:txBody>
        <a:bodyPr wrap="square" lIns="91440" tIns="45720" rIns="91440" bIns="45720">
          <a:noAutofit/>
        </a:bodyPr>
        <a:lstStyle/>
        <a:p>
          <a:pPr algn="ctr"/>
          <a:r>
            <a:rPr lang="en-US" sz="2000" b="1" cap="none" spc="0">
              <a:ln w="3175" cmpd="sng">
                <a:solidFill>
                  <a:sysClr val="windowText" lastClr="000000"/>
                </a:solidFill>
                <a:prstDash val="solid"/>
              </a:ln>
              <a:solidFill>
                <a:sysClr val="windowText" lastClr="000000"/>
              </a:solidFill>
              <a:effectLst>
                <a:outerShdw blurRad="41275" dist="12700" dir="12000000" algn="tl" rotWithShape="0">
                  <a:srgbClr val="000000">
                    <a:alpha val="40000"/>
                  </a:srgbClr>
                </a:outerShdw>
              </a:effectLst>
            </a:rPr>
            <a:t>2</a:t>
          </a:r>
        </a:p>
      </xdr:txBody>
    </xdr:sp>
    <xdr:clientData/>
  </xdr:oneCellAnchor>
  <xdr:twoCellAnchor>
    <xdr:from>
      <xdr:col>16</xdr:col>
      <xdr:colOff>0</xdr:colOff>
      <xdr:row>44</xdr:row>
      <xdr:rowOff>105805</xdr:rowOff>
    </xdr:from>
    <xdr:to>
      <xdr:col>20</xdr:col>
      <xdr:colOff>104122</xdr:colOff>
      <xdr:row>59</xdr:row>
      <xdr:rowOff>8282</xdr:rowOff>
    </xdr:to>
    <xdr:cxnSp macro="">
      <xdr:nvCxnSpPr>
        <xdr:cNvPr id="100" name="Straight Connector 99">
          <a:extLst>
            <a:ext uri="{FF2B5EF4-FFF2-40B4-BE49-F238E27FC236}">
              <a16:creationId xmlns:a16="http://schemas.microsoft.com/office/drawing/2014/main" id="{00000000-0008-0000-1900-000064000000}"/>
            </a:ext>
          </a:extLst>
        </xdr:cNvPr>
        <xdr:cNvCxnSpPr>
          <a:stCxn id="101" idx="0"/>
        </xdr:cNvCxnSpPr>
      </xdr:nvCxnSpPr>
      <xdr:spPr>
        <a:xfrm rot="16200000" flipH="1" flipV="1">
          <a:off x="1277160" y="6134320"/>
          <a:ext cx="1759852" cy="599422"/>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16565</xdr:colOff>
      <xdr:row>44</xdr:row>
      <xdr:rowOff>105805</xdr:rowOff>
    </xdr:from>
    <xdr:to>
      <xdr:col>21</xdr:col>
      <xdr:colOff>67438</xdr:colOff>
      <xdr:row>46</xdr:row>
      <xdr:rowOff>39767</xdr:rowOff>
    </xdr:to>
    <xdr:sp macro="" textlink="">
      <xdr:nvSpPr>
        <xdr:cNvPr id="101" name="Oval 100">
          <a:extLst>
            <a:ext uri="{FF2B5EF4-FFF2-40B4-BE49-F238E27FC236}">
              <a16:creationId xmlns:a16="http://schemas.microsoft.com/office/drawing/2014/main" id="{00000000-0008-0000-1900-000065000000}"/>
            </a:ext>
          </a:extLst>
        </xdr:cNvPr>
        <xdr:cNvSpPr/>
      </xdr:nvSpPr>
      <xdr:spPr>
        <a:xfrm>
          <a:off x="2369240" y="5554105"/>
          <a:ext cx="174698"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34</xdr:col>
      <xdr:colOff>54187</xdr:colOff>
      <xdr:row>52</xdr:row>
      <xdr:rowOff>109229</xdr:rowOff>
    </xdr:from>
    <xdr:to>
      <xdr:col>45</xdr:col>
      <xdr:colOff>115956</xdr:colOff>
      <xdr:row>58</xdr:row>
      <xdr:rowOff>115956</xdr:rowOff>
    </xdr:to>
    <xdr:cxnSp macro="">
      <xdr:nvCxnSpPr>
        <xdr:cNvPr id="102" name="Straight Connector 101">
          <a:extLst>
            <a:ext uri="{FF2B5EF4-FFF2-40B4-BE49-F238E27FC236}">
              <a16:creationId xmlns:a16="http://schemas.microsoft.com/office/drawing/2014/main" id="{00000000-0008-0000-1900-000066000000}"/>
            </a:ext>
          </a:extLst>
        </xdr:cNvPr>
        <xdr:cNvCxnSpPr>
          <a:stCxn id="104" idx="6"/>
        </xdr:cNvCxnSpPr>
      </xdr:nvCxnSpPr>
      <xdr:spPr>
        <a:xfrm>
          <a:off x="4140412" y="6548129"/>
          <a:ext cx="1423844" cy="749677"/>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81552</xdr:colOff>
      <xdr:row>26</xdr:row>
      <xdr:rowOff>2</xdr:rowOff>
    </xdr:from>
    <xdr:to>
      <xdr:col>46</xdr:col>
      <xdr:colOff>8283</xdr:colOff>
      <xdr:row>39</xdr:row>
      <xdr:rowOff>14910</xdr:rowOff>
    </xdr:to>
    <xdr:cxnSp macro="">
      <xdr:nvCxnSpPr>
        <xdr:cNvPr id="103" name="Straight Connector 102">
          <a:extLst>
            <a:ext uri="{FF2B5EF4-FFF2-40B4-BE49-F238E27FC236}">
              <a16:creationId xmlns:a16="http://schemas.microsoft.com/office/drawing/2014/main" id="{00000000-0008-0000-1900-000067000000}"/>
            </a:ext>
          </a:extLst>
        </xdr:cNvPr>
        <xdr:cNvCxnSpPr>
          <a:stCxn id="105" idx="7"/>
        </xdr:cNvCxnSpPr>
      </xdr:nvCxnSpPr>
      <xdr:spPr>
        <a:xfrm rot="5400000" flipH="1" flipV="1">
          <a:off x="4433251" y="3696928"/>
          <a:ext cx="1624633" cy="669681"/>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3313</xdr:colOff>
      <xdr:row>52</xdr:row>
      <xdr:rowOff>18009</xdr:rowOff>
    </xdr:from>
    <xdr:to>
      <xdr:col>34</xdr:col>
      <xdr:colOff>54187</xdr:colOff>
      <xdr:row>53</xdr:row>
      <xdr:rowOff>76210</xdr:rowOff>
    </xdr:to>
    <xdr:sp macro="" textlink="">
      <xdr:nvSpPr>
        <xdr:cNvPr id="104" name="Oval 103">
          <a:extLst>
            <a:ext uri="{FF2B5EF4-FFF2-40B4-BE49-F238E27FC236}">
              <a16:creationId xmlns:a16="http://schemas.microsoft.com/office/drawing/2014/main" id="{00000000-0008-0000-1900-000068000000}"/>
            </a:ext>
          </a:extLst>
        </xdr:cNvPr>
        <xdr:cNvSpPr/>
      </xdr:nvSpPr>
      <xdr:spPr>
        <a:xfrm>
          <a:off x="3965713" y="6456909"/>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39</xdr:col>
      <xdr:colOff>56322</xdr:colOff>
      <xdr:row>38</xdr:row>
      <xdr:rowOff>112431</xdr:rowOff>
    </xdr:from>
    <xdr:to>
      <xdr:col>40</xdr:col>
      <xdr:colOff>107196</xdr:colOff>
      <xdr:row>40</xdr:row>
      <xdr:rowOff>46393</xdr:rowOff>
    </xdr:to>
    <xdr:sp macro="" textlink="">
      <xdr:nvSpPr>
        <xdr:cNvPr id="105" name="Oval 104">
          <a:extLst>
            <a:ext uri="{FF2B5EF4-FFF2-40B4-BE49-F238E27FC236}">
              <a16:creationId xmlns:a16="http://schemas.microsoft.com/office/drawing/2014/main" id="{00000000-0008-0000-1900-000069000000}"/>
            </a:ext>
          </a:extLst>
        </xdr:cNvPr>
        <xdr:cNvSpPr/>
      </xdr:nvSpPr>
      <xdr:spPr>
        <a:xfrm>
          <a:off x="4761672" y="4817781"/>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27</xdr:col>
      <xdr:colOff>49696</xdr:colOff>
      <xdr:row>32</xdr:row>
      <xdr:rowOff>33131</xdr:rowOff>
    </xdr:from>
    <xdr:to>
      <xdr:col>28</xdr:col>
      <xdr:colOff>100569</xdr:colOff>
      <xdr:row>33</xdr:row>
      <xdr:rowOff>91332</xdr:rowOff>
    </xdr:to>
    <xdr:sp macro="" textlink="">
      <xdr:nvSpPr>
        <xdr:cNvPr id="106" name="Oval 105">
          <a:extLst>
            <a:ext uri="{FF2B5EF4-FFF2-40B4-BE49-F238E27FC236}">
              <a16:creationId xmlns:a16="http://schemas.microsoft.com/office/drawing/2014/main" id="{00000000-0008-0000-1900-00006A000000}"/>
            </a:ext>
          </a:extLst>
        </xdr:cNvPr>
        <xdr:cNvSpPr/>
      </xdr:nvSpPr>
      <xdr:spPr>
        <a:xfrm>
          <a:off x="3269146" y="3995531"/>
          <a:ext cx="174698"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15</xdr:col>
      <xdr:colOff>123760</xdr:colOff>
      <xdr:row>25</xdr:row>
      <xdr:rowOff>120825</xdr:rowOff>
    </xdr:from>
    <xdr:to>
      <xdr:col>27</xdr:col>
      <xdr:colOff>75341</xdr:colOff>
      <xdr:row>32</xdr:row>
      <xdr:rowOff>59849</xdr:rowOff>
    </xdr:to>
    <xdr:cxnSp macro="">
      <xdr:nvCxnSpPr>
        <xdr:cNvPr id="107" name="Straight Connector 106">
          <a:extLst>
            <a:ext uri="{FF2B5EF4-FFF2-40B4-BE49-F238E27FC236}">
              <a16:creationId xmlns:a16="http://schemas.microsoft.com/office/drawing/2014/main" id="{00000000-0008-0000-1900-00006B000000}"/>
            </a:ext>
          </a:extLst>
        </xdr:cNvPr>
        <xdr:cNvCxnSpPr>
          <a:endCxn id="106" idx="1"/>
        </xdr:cNvCxnSpPr>
      </xdr:nvCxnSpPr>
      <xdr:spPr>
        <a:xfrm>
          <a:off x="1857310" y="3216450"/>
          <a:ext cx="1437481" cy="805799"/>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78559</xdr:colOff>
      <xdr:row>54</xdr:row>
      <xdr:rowOff>86713</xdr:rowOff>
    </xdr:from>
    <xdr:to>
      <xdr:col>101</xdr:col>
      <xdr:colOff>45411</xdr:colOff>
      <xdr:row>55</xdr:row>
      <xdr:rowOff>81419</xdr:rowOff>
    </xdr:to>
    <xdr:sp macro="" textlink="">
      <xdr:nvSpPr>
        <xdr:cNvPr id="113" name="Freccia in giù 9">
          <a:extLst>
            <a:ext uri="{FF2B5EF4-FFF2-40B4-BE49-F238E27FC236}">
              <a16:creationId xmlns:a16="http://schemas.microsoft.com/office/drawing/2014/main" id="{00000000-0008-0000-1900-000071000000}"/>
            </a:ext>
          </a:extLst>
        </xdr:cNvPr>
        <xdr:cNvSpPr/>
      </xdr:nvSpPr>
      <xdr:spPr>
        <a:xfrm rot="15201463">
          <a:off x="4578654" y="15961836"/>
          <a:ext cx="118945" cy="3395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81872</xdr:colOff>
      <xdr:row>56</xdr:row>
      <xdr:rowOff>81743</xdr:rowOff>
    </xdr:from>
    <xdr:to>
      <xdr:col>101</xdr:col>
      <xdr:colOff>48724</xdr:colOff>
      <xdr:row>57</xdr:row>
      <xdr:rowOff>76449</xdr:rowOff>
    </xdr:to>
    <xdr:sp macro="" textlink="">
      <xdr:nvSpPr>
        <xdr:cNvPr id="114" name="Freccia in giù 9">
          <a:extLst>
            <a:ext uri="{FF2B5EF4-FFF2-40B4-BE49-F238E27FC236}">
              <a16:creationId xmlns:a16="http://schemas.microsoft.com/office/drawing/2014/main" id="{00000000-0008-0000-1900-000072000000}"/>
            </a:ext>
          </a:extLst>
        </xdr:cNvPr>
        <xdr:cNvSpPr/>
      </xdr:nvSpPr>
      <xdr:spPr>
        <a:xfrm rot="15201463">
          <a:off x="4581967" y="16205344"/>
          <a:ext cx="118945" cy="3395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52097</xdr:colOff>
      <xdr:row>45</xdr:row>
      <xdr:rowOff>112697</xdr:rowOff>
    </xdr:from>
    <xdr:to>
      <xdr:col>81</xdr:col>
      <xdr:colOff>44305</xdr:colOff>
      <xdr:row>48</xdr:row>
      <xdr:rowOff>61172</xdr:rowOff>
    </xdr:to>
    <xdr:sp macro="" textlink="">
      <xdr:nvSpPr>
        <xdr:cNvPr id="116" name="Freccia in giù 9">
          <a:extLst>
            <a:ext uri="{FF2B5EF4-FFF2-40B4-BE49-F238E27FC236}">
              <a16:creationId xmlns:a16="http://schemas.microsoft.com/office/drawing/2014/main" id="{00000000-0008-0000-1900-000074000000}"/>
            </a:ext>
          </a:extLst>
        </xdr:cNvPr>
        <xdr:cNvSpPr/>
      </xdr:nvSpPr>
      <xdr:spPr>
        <a:xfrm rot="20584512">
          <a:off x="2205575" y="14979980"/>
          <a:ext cx="116447" cy="3211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47126</xdr:colOff>
      <xdr:row>45</xdr:row>
      <xdr:rowOff>107727</xdr:rowOff>
    </xdr:from>
    <xdr:to>
      <xdr:col>83</xdr:col>
      <xdr:colOff>39334</xdr:colOff>
      <xdr:row>48</xdr:row>
      <xdr:rowOff>56202</xdr:rowOff>
    </xdr:to>
    <xdr:sp macro="" textlink="">
      <xdr:nvSpPr>
        <xdr:cNvPr id="117" name="Freccia in giù 9">
          <a:extLst>
            <a:ext uri="{FF2B5EF4-FFF2-40B4-BE49-F238E27FC236}">
              <a16:creationId xmlns:a16="http://schemas.microsoft.com/office/drawing/2014/main" id="{00000000-0008-0000-1900-000075000000}"/>
            </a:ext>
          </a:extLst>
        </xdr:cNvPr>
        <xdr:cNvSpPr/>
      </xdr:nvSpPr>
      <xdr:spPr>
        <a:xfrm rot="20584512">
          <a:off x="2449083" y="14975010"/>
          <a:ext cx="116447" cy="32119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73357</xdr:colOff>
      <xdr:row>29</xdr:row>
      <xdr:rowOff>89591</xdr:rowOff>
    </xdr:from>
    <xdr:to>
      <xdr:col>105</xdr:col>
      <xdr:colOff>70112</xdr:colOff>
      <xdr:row>32</xdr:row>
      <xdr:rowOff>55029</xdr:rowOff>
    </xdr:to>
    <xdr:sp macro="" textlink="">
      <xdr:nvSpPr>
        <xdr:cNvPr id="118" name="Freccia in giù 9">
          <a:extLst>
            <a:ext uri="{FF2B5EF4-FFF2-40B4-BE49-F238E27FC236}">
              <a16:creationId xmlns:a16="http://schemas.microsoft.com/office/drawing/2014/main" id="{00000000-0008-0000-1900-000076000000}"/>
            </a:ext>
          </a:extLst>
        </xdr:cNvPr>
        <xdr:cNvSpPr/>
      </xdr:nvSpPr>
      <xdr:spPr>
        <a:xfrm rot="9723139">
          <a:off x="5208574" y="12969048"/>
          <a:ext cx="120995" cy="3381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73357</xdr:colOff>
      <xdr:row>29</xdr:row>
      <xdr:rowOff>89591</xdr:rowOff>
    </xdr:from>
    <xdr:to>
      <xdr:col>103</xdr:col>
      <xdr:colOff>70113</xdr:colOff>
      <xdr:row>32</xdr:row>
      <xdr:rowOff>55029</xdr:rowOff>
    </xdr:to>
    <xdr:sp macro="" textlink="">
      <xdr:nvSpPr>
        <xdr:cNvPr id="119" name="Freccia in giù 9">
          <a:extLst>
            <a:ext uri="{FF2B5EF4-FFF2-40B4-BE49-F238E27FC236}">
              <a16:creationId xmlns:a16="http://schemas.microsoft.com/office/drawing/2014/main" id="{00000000-0008-0000-1900-000077000000}"/>
            </a:ext>
          </a:extLst>
        </xdr:cNvPr>
        <xdr:cNvSpPr/>
      </xdr:nvSpPr>
      <xdr:spPr>
        <a:xfrm rot="9723139">
          <a:off x="4960096" y="12969048"/>
          <a:ext cx="120995" cy="3381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83390</xdr:colOff>
      <xdr:row>22</xdr:row>
      <xdr:rowOff>53254</xdr:rowOff>
    </xdr:from>
    <xdr:to>
      <xdr:col>91</xdr:col>
      <xdr:colOff>40635</xdr:colOff>
      <xdr:row>23</xdr:row>
      <xdr:rowOff>60321</xdr:rowOff>
    </xdr:to>
    <xdr:sp macro="" textlink="">
      <xdr:nvSpPr>
        <xdr:cNvPr id="120" name="Freccia in giù 9">
          <a:extLst>
            <a:ext uri="{FF2B5EF4-FFF2-40B4-BE49-F238E27FC236}">
              <a16:creationId xmlns:a16="http://schemas.microsoft.com/office/drawing/2014/main" id="{00000000-0008-0000-1900-000078000000}"/>
            </a:ext>
          </a:extLst>
        </xdr:cNvPr>
        <xdr:cNvSpPr/>
      </xdr:nvSpPr>
      <xdr:spPr>
        <a:xfrm rot="4265451">
          <a:off x="3330110" y="11963708"/>
          <a:ext cx="131306" cy="32996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86705</xdr:colOff>
      <xdr:row>24</xdr:row>
      <xdr:rowOff>40002</xdr:rowOff>
    </xdr:from>
    <xdr:to>
      <xdr:col>91</xdr:col>
      <xdr:colOff>43950</xdr:colOff>
      <xdr:row>25</xdr:row>
      <xdr:rowOff>47069</xdr:rowOff>
    </xdr:to>
    <xdr:sp macro="" textlink="">
      <xdr:nvSpPr>
        <xdr:cNvPr id="121" name="Freccia in giù 9">
          <a:extLst>
            <a:ext uri="{FF2B5EF4-FFF2-40B4-BE49-F238E27FC236}">
              <a16:creationId xmlns:a16="http://schemas.microsoft.com/office/drawing/2014/main" id="{00000000-0008-0000-1900-000079000000}"/>
            </a:ext>
          </a:extLst>
        </xdr:cNvPr>
        <xdr:cNvSpPr/>
      </xdr:nvSpPr>
      <xdr:spPr>
        <a:xfrm rot="4265451">
          <a:off x="3333425" y="12198934"/>
          <a:ext cx="131306" cy="32996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28575</xdr:colOff>
      <xdr:row>36</xdr:row>
      <xdr:rowOff>76200</xdr:rowOff>
    </xdr:from>
    <xdr:to>
      <xdr:col>97</xdr:col>
      <xdr:colOff>95249</xdr:colOff>
      <xdr:row>40</xdr:row>
      <xdr:rowOff>57150</xdr:rowOff>
    </xdr:to>
    <xdr:sp macro="" textlink="">
      <xdr:nvSpPr>
        <xdr:cNvPr id="111" name="Right Arrow 110">
          <a:hlinkClick xmlns:r="http://schemas.openxmlformats.org/officeDocument/2006/relationships" r:id="rId2"/>
          <a:extLst>
            <a:ext uri="{FF2B5EF4-FFF2-40B4-BE49-F238E27FC236}">
              <a16:creationId xmlns:a16="http://schemas.microsoft.com/office/drawing/2014/main" id="{00000000-0008-0000-1900-00006F000000}"/>
            </a:ext>
          </a:extLst>
        </xdr:cNvPr>
        <xdr:cNvSpPr/>
      </xdr:nvSpPr>
      <xdr:spPr>
        <a:xfrm>
          <a:off x="2924175" y="13773150"/>
          <a:ext cx="1095374"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82981</xdr:colOff>
      <xdr:row>24</xdr:row>
      <xdr:rowOff>9532</xdr:rowOff>
    </xdr:from>
    <xdr:to>
      <xdr:col>74</xdr:col>
      <xdr:colOff>91235</xdr:colOff>
      <xdr:row>52</xdr:row>
      <xdr:rowOff>114303</xdr:rowOff>
    </xdr:to>
    <xdr:pic>
      <xdr:nvPicPr>
        <xdr:cNvPr id="27" name="Picture 26" descr="Diamond-Model.jpg">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1" cstate="print"/>
        <a:stretch>
          <a:fillRect/>
        </a:stretch>
      </xdr:blipFill>
      <xdr:spPr>
        <a:xfrm rot="5400000">
          <a:off x="3097010" y="491178"/>
          <a:ext cx="3571871" cy="8552179"/>
        </a:xfrm>
        <a:prstGeom prst="rect">
          <a:avLst/>
        </a:prstGeom>
      </xdr:spPr>
    </xdr:pic>
    <xdr:clientData/>
  </xdr:twoCellAnchor>
  <xdr:oneCellAnchor>
    <xdr:from>
      <xdr:col>51</xdr:col>
      <xdr:colOff>116957</xdr:colOff>
      <xdr:row>13</xdr:row>
      <xdr:rowOff>85849</xdr:rowOff>
    </xdr:from>
    <xdr:ext cx="708399" cy="298800"/>
    <xdr:sp macro="" textlink="">
      <xdr:nvSpPr>
        <xdr:cNvPr id="2" name="Rectangle 1">
          <a:extLst>
            <a:ext uri="{FF2B5EF4-FFF2-40B4-BE49-F238E27FC236}">
              <a16:creationId xmlns:a16="http://schemas.microsoft.com/office/drawing/2014/main" id="{00000000-0008-0000-1A00-000002000000}"/>
            </a:ext>
          </a:extLst>
        </xdr:cNvPr>
        <xdr:cNvSpPr/>
      </xdr:nvSpPr>
      <xdr:spPr>
        <a:xfrm>
          <a:off x="6308207" y="1695574"/>
          <a:ext cx="708399" cy="298800"/>
        </a:xfrm>
        <a:prstGeom prst="rect">
          <a:avLst/>
        </a:prstGeom>
        <a:noFill/>
      </xdr:spPr>
      <xdr:txBody>
        <a:bodyPr wrap="none" lIns="91440" tIns="45720" rIns="91440" bIns="45720">
          <a:sp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40</xdr:col>
      <xdr:colOff>110186</xdr:colOff>
      <xdr:row>21</xdr:row>
      <xdr:rowOff>114300</xdr:rowOff>
    </xdr:from>
    <xdr:to>
      <xdr:col>50</xdr:col>
      <xdr:colOff>0</xdr:colOff>
      <xdr:row>29</xdr:row>
      <xdr:rowOff>106192</xdr:rowOff>
    </xdr:to>
    <xdr:cxnSp macro="">
      <xdr:nvCxnSpPr>
        <xdr:cNvPr id="3" name="Straight Connector 2">
          <a:extLst>
            <a:ext uri="{FF2B5EF4-FFF2-40B4-BE49-F238E27FC236}">
              <a16:creationId xmlns:a16="http://schemas.microsoft.com/office/drawing/2014/main" id="{00000000-0008-0000-1A00-000003000000}"/>
            </a:ext>
          </a:extLst>
        </xdr:cNvPr>
        <xdr:cNvCxnSpPr>
          <a:stCxn id="4" idx="7"/>
        </xdr:cNvCxnSpPr>
      </xdr:nvCxnSpPr>
      <xdr:spPr>
        <a:xfrm rot="5400000" flipH="1" flipV="1">
          <a:off x="5040722" y="2641839"/>
          <a:ext cx="982492" cy="112806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84896</xdr:colOff>
      <xdr:row>29</xdr:row>
      <xdr:rowOff>79596</xdr:rowOff>
    </xdr:from>
    <xdr:to>
      <xdr:col>41</xdr:col>
      <xdr:colOff>11945</xdr:colOff>
      <xdr:row>31</xdr:row>
      <xdr:rowOff>13558</xdr:rowOff>
    </xdr:to>
    <xdr:sp macro="" textlink="">
      <xdr:nvSpPr>
        <xdr:cNvPr id="4" name="Oval 3">
          <a:extLst>
            <a:ext uri="{FF2B5EF4-FFF2-40B4-BE49-F238E27FC236}">
              <a16:creationId xmlns:a16="http://schemas.microsoft.com/office/drawing/2014/main" id="{00000000-0008-0000-1A00-000004000000}"/>
            </a:ext>
          </a:extLst>
        </xdr:cNvPr>
        <xdr:cNvSpPr/>
      </xdr:nvSpPr>
      <xdr:spPr>
        <a:xfrm>
          <a:off x="4818821" y="3670521"/>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21</xdr:col>
      <xdr:colOff>116957</xdr:colOff>
      <xdr:row>13</xdr:row>
      <xdr:rowOff>85849</xdr:rowOff>
    </xdr:from>
    <xdr:ext cx="708400" cy="298800"/>
    <xdr:sp macro="" textlink="">
      <xdr:nvSpPr>
        <xdr:cNvPr id="5" name="Rectangle 4">
          <a:extLst>
            <a:ext uri="{FF2B5EF4-FFF2-40B4-BE49-F238E27FC236}">
              <a16:creationId xmlns:a16="http://schemas.microsoft.com/office/drawing/2014/main" id="{00000000-0008-0000-1A00-000005000000}"/>
            </a:ext>
          </a:extLst>
        </xdr:cNvPr>
        <xdr:cNvSpPr/>
      </xdr:nvSpPr>
      <xdr:spPr>
        <a:xfrm>
          <a:off x="2593457" y="1695574"/>
          <a:ext cx="708400" cy="298800"/>
        </a:xfrm>
        <a:prstGeom prst="rect">
          <a:avLst/>
        </a:prstGeom>
        <a:noFill/>
      </xdr:spPr>
      <xdr:txBody>
        <a:bodyPr wrap="none" lIns="91440" tIns="45720" rIns="91440" bIns="45720">
          <a:sp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 </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4</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30</xdr:col>
      <xdr:colOff>1</xdr:colOff>
      <xdr:row>22</xdr:row>
      <xdr:rowOff>9525</xdr:rowOff>
    </xdr:from>
    <xdr:to>
      <xdr:col>39</xdr:col>
      <xdr:colOff>87798</xdr:colOff>
      <xdr:row>45</xdr:row>
      <xdr:rowOff>70819</xdr:rowOff>
    </xdr:to>
    <xdr:cxnSp macro="">
      <xdr:nvCxnSpPr>
        <xdr:cNvPr id="6" name="Straight Connector 5">
          <a:extLst>
            <a:ext uri="{FF2B5EF4-FFF2-40B4-BE49-F238E27FC236}">
              <a16:creationId xmlns:a16="http://schemas.microsoft.com/office/drawing/2014/main" id="{00000000-0008-0000-1A00-000006000000}"/>
            </a:ext>
          </a:extLst>
        </xdr:cNvPr>
        <xdr:cNvCxnSpPr/>
      </xdr:nvCxnSpPr>
      <xdr:spPr>
        <a:xfrm rot="16200000" flipV="1">
          <a:off x="2765977" y="3587199"/>
          <a:ext cx="2909269" cy="120222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82824</xdr:colOff>
      <xdr:row>45</xdr:row>
      <xdr:rowOff>59721</xdr:rowOff>
    </xdr:from>
    <xdr:to>
      <xdr:col>41</xdr:col>
      <xdr:colOff>9873</xdr:colOff>
      <xdr:row>46</xdr:row>
      <xdr:rowOff>117508</xdr:rowOff>
    </xdr:to>
    <xdr:sp macro="" textlink="">
      <xdr:nvSpPr>
        <xdr:cNvPr id="7" name="Oval 6">
          <a:extLst>
            <a:ext uri="{FF2B5EF4-FFF2-40B4-BE49-F238E27FC236}">
              <a16:creationId xmlns:a16="http://schemas.microsoft.com/office/drawing/2014/main" id="{00000000-0008-0000-1A00-000007000000}"/>
            </a:ext>
          </a:extLst>
        </xdr:cNvPr>
        <xdr:cNvSpPr/>
      </xdr:nvSpPr>
      <xdr:spPr>
        <a:xfrm>
          <a:off x="4816749" y="5631846"/>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25</xdr:col>
      <xdr:colOff>51289</xdr:colOff>
      <xdr:row>100</xdr:row>
      <xdr:rowOff>58615</xdr:rowOff>
    </xdr:from>
    <xdr:to>
      <xdr:col>27</xdr:col>
      <xdr:colOff>116943</xdr:colOff>
      <xdr:row>102</xdr:row>
      <xdr:rowOff>63358</xdr:rowOff>
    </xdr:to>
    <xdr:sp macro="" textlink="">
      <xdr:nvSpPr>
        <xdr:cNvPr id="8" name="Freccia curva 8">
          <a:extLst>
            <a:ext uri="{FF2B5EF4-FFF2-40B4-BE49-F238E27FC236}">
              <a16:creationId xmlns:a16="http://schemas.microsoft.com/office/drawing/2014/main" id="{00000000-0008-0000-1A00-000008000000}"/>
            </a:ext>
          </a:extLst>
        </xdr:cNvPr>
        <xdr:cNvSpPr/>
      </xdr:nvSpPr>
      <xdr:spPr>
        <a:xfrm rot="5400000" flipH="1">
          <a:off x="3053544" y="124106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25</xdr:col>
      <xdr:colOff>73270</xdr:colOff>
      <xdr:row>103</xdr:row>
      <xdr:rowOff>80596</xdr:rowOff>
    </xdr:from>
    <xdr:to>
      <xdr:col>27</xdr:col>
      <xdr:colOff>134510</xdr:colOff>
      <xdr:row>105</xdr:row>
      <xdr:rowOff>94943</xdr:rowOff>
    </xdr:to>
    <xdr:sp macro="" textlink="">
      <xdr:nvSpPr>
        <xdr:cNvPr id="9" name="Freccia curva 7">
          <a:extLst>
            <a:ext uri="{FF2B5EF4-FFF2-40B4-BE49-F238E27FC236}">
              <a16:creationId xmlns:a16="http://schemas.microsoft.com/office/drawing/2014/main" id="{00000000-0008-0000-1A00-000009000000}"/>
            </a:ext>
          </a:extLst>
        </xdr:cNvPr>
        <xdr:cNvSpPr/>
      </xdr:nvSpPr>
      <xdr:spPr>
        <a:xfrm rot="5400000">
          <a:off x="3063754" y="128158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48</xdr:col>
      <xdr:colOff>0</xdr:colOff>
      <xdr:row>68</xdr:row>
      <xdr:rowOff>136072</xdr:rowOff>
    </xdr:from>
    <xdr:to>
      <xdr:col>50</xdr:col>
      <xdr:colOff>55717</xdr:colOff>
      <xdr:row>70</xdr:row>
      <xdr:rowOff>82778</xdr:rowOff>
    </xdr:to>
    <xdr:sp macro="" textlink="">
      <xdr:nvSpPr>
        <xdr:cNvPr id="10" name="Freccia curva 66">
          <a:extLst>
            <a:ext uri="{FF2B5EF4-FFF2-40B4-BE49-F238E27FC236}">
              <a16:creationId xmlns:a16="http://schemas.microsoft.com/office/drawing/2014/main" id="{00000000-0008-0000-1A00-00000A000000}"/>
            </a:ext>
          </a:extLst>
        </xdr:cNvPr>
        <xdr:cNvSpPr/>
      </xdr:nvSpPr>
      <xdr:spPr>
        <a:xfrm rot="16200000" flipH="1">
          <a:off x="5869518" y="8496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48</xdr:col>
      <xdr:colOff>0</xdr:colOff>
      <xdr:row>68</xdr:row>
      <xdr:rowOff>136072</xdr:rowOff>
    </xdr:from>
    <xdr:to>
      <xdr:col>50</xdr:col>
      <xdr:colOff>55717</xdr:colOff>
      <xdr:row>70</xdr:row>
      <xdr:rowOff>82778</xdr:rowOff>
    </xdr:to>
    <xdr:sp macro="" textlink="">
      <xdr:nvSpPr>
        <xdr:cNvPr id="11" name="Freccia curva 66">
          <a:extLst>
            <a:ext uri="{FF2B5EF4-FFF2-40B4-BE49-F238E27FC236}">
              <a16:creationId xmlns:a16="http://schemas.microsoft.com/office/drawing/2014/main" id="{00000000-0008-0000-1A00-00000B000000}"/>
            </a:ext>
          </a:extLst>
        </xdr:cNvPr>
        <xdr:cNvSpPr/>
      </xdr:nvSpPr>
      <xdr:spPr>
        <a:xfrm rot="16200000" flipH="1">
          <a:off x="5869518" y="8496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48</xdr:col>
      <xdr:colOff>0</xdr:colOff>
      <xdr:row>68</xdr:row>
      <xdr:rowOff>136072</xdr:rowOff>
    </xdr:from>
    <xdr:to>
      <xdr:col>50</xdr:col>
      <xdr:colOff>55717</xdr:colOff>
      <xdr:row>70</xdr:row>
      <xdr:rowOff>82778</xdr:rowOff>
    </xdr:to>
    <xdr:sp macro="" textlink="">
      <xdr:nvSpPr>
        <xdr:cNvPr id="12" name="Freccia curva 66">
          <a:extLst>
            <a:ext uri="{FF2B5EF4-FFF2-40B4-BE49-F238E27FC236}">
              <a16:creationId xmlns:a16="http://schemas.microsoft.com/office/drawing/2014/main" id="{00000000-0008-0000-1A00-00000C000000}"/>
            </a:ext>
          </a:extLst>
        </xdr:cNvPr>
        <xdr:cNvSpPr/>
      </xdr:nvSpPr>
      <xdr:spPr>
        <a:xfrm rot="16200000" flipH="1">
          <a:off x="5869518" y="8496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48</xdr:col>
      <xdr:colOff>0</xdr:colOff>
      <xdr:row>68</xdr:row>
      <xdr:rowOff>136072</xdr:rowOff>
    </xdr:from>
    <xdr:to>
      <xdr:col>50</xdr:col>
      <xdr:colOff>55717</xdr:colOff>
      <xdr:row>70</xdr:row>
      <xdr:rowOff>82778</xdr:rowOff>
    </xdr:to>
    <xdr:sp macro="" textlink="">
      <xdr:nvSpPr>
        <xdr:cNvPr id="13" name="Freccia curva 66">
          <a:extLst>
            <a:ext uri="{FF2B5EF4-FFF2-40B4-BE49-F238E27FC236}">
              <a16:creationId xmlns:a16="http://schemas.microsoft.com/office/drawing/2014/main" id="{00000000-0008-0000-1A00-00000D000000}"/>
            </a:ext>
          </a:extLst>
        </xdr:cNvPr>
        <xdr:cNvSpPr/>
      </xdr:nvSpPr>
      <xdr:spPr>
        <a:xfrm rot="16200000" flipH="1">
          <a:off x="5869518" y="8496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47</xdr:col>
      <xdr:colOff>117200</xdr:colOff>
      <xdr:row>65</xdr:row>
      <xdr:rowOff>48453</xdr:rowOff>
    </xdr:from>
    <xdr:to>
      <xdr:col>50</xdr:col>
      <xdr:colOff>16564</xdr:colOff>
      <xdr:row>67</xdr:row>
      <xdr:rowOff>81385</xdr:rowOff>
    </xdr:to>
    <xdr:sp macro="" textlink="">
      <xdr:nvSpPr>
        <xdr:cNvPr id="14" name="Freccia curva 7">
          <a:extLst>
            <a:ext uri="{FF2B5EF4-FFF2-40B4-BE49-F238E27FC236}">
              <a16:creationId xmlns:a16="http://schemas.microsoft.com/office/drawing/2014/main" id="{00000000-0008-0000-1A00-00000E000000}"/>
            </a:ext>
          </a:extLst>
        </xdr:cNvPr>
        <xdr:cNvSpPr/>
      </xdr:nvSpPr>
      <xdr:spPr>
        <a:xfrm rot="16200000">
          <a:off x="5808279" y="81019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34</xdr:col>
      <xdr:colOff>45217</xdr:colOff>
      <xdr:row>94</xdr:row>
      <xdr:rowOff>34693</xdr:rowOff>
    </xdr:from>
    <xdr:ext cx="963800" cy="311715"/>
    <xdr:sp macro="" textlink="">
      <xdr:nvSpPr>
        <xdr:cNvPr id="15" name="Rectangle 14">
          <a:extLst>
            <a:ext uri="{FF2B5EF4-FFF2-40B4-BE49-F238E27FC236}">
              <a16:creationId xmlns:a16="http://schemas.microsoft.com/office/drawing/2014/main" id="{00000000-0008-0000-1A00-00000F000000}"/>
            </a:ext>
          </a:extLst>
        </xdr:cNvPr>
        <xdr:cNvSpPr/>
      </xdr:nvSpPr>
      <xdr:spPr>
        <a:xfrm>
          <a:off x="4131442" y="1167424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34</xdr:col>
      <xdr:colOff>12087</xdr:colOff>
      <xdr:row>71</xdr:row>
      <xdr:rowOff>34693</xdr:rowOff>
    </xdr:from>
    <xdr:ext cx="963800" cy="311715"/>
    <xdr:sp macro="" textlink="">
      <xdr:nvSpPr>
        <xdr:cNvPr id="16" name="Rectangle 15">
          <a:extLst>
            <a:ext uri="{FF2B5EF4-FFF2-40B4-BE49-F238E27FC236}">
              <a16:creationId xmlns:a16="http://schemas.microsoft.com/office/drawing/2014/main" id="{00000000-0008-0000-1A00-000010000000}"/>
            </a:ext>
          </a:extLst>
        </xdr:cNvPr>
        <xdr:cNvSpPr/>
      </xdr:nvSpPr>
      <xdr:spPr>
        <a:xfrm>
          <a:off x="4098312" y="882626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35</xdr:col>
      <xdr:colOff>53688</xdr:colOff>
      <xdr:row>61</xdr:row>
      <xdr:rowOff>62470</xdr:rowOff>
    </xdr:from>
    <xdr:to>
      <xdr:col>37</xdr:col>
      <xdr:colOff>77017</xdr:colOff>
      <xdr:row>63</xdr:row>
      <xdr:rowOff>109538</xdr:rowOff>
    </xdr:to>
    <xdr:sp macro="" textlink="">
      <xdr:nvSpPr>
        <xdr:cNvPr id="17" name="Freccia curva 8">
          <a:extLst>
            <a:ext uri="{FF2B5EF4-FFF2-40B4-BE49-F238E27FC236}">
              <a16:creationId xmlns:a16="http://schemas.microsoft.com/office/drawing/2014/main" id="{00000000-0008-0000-1A00-000011000000}"/>
            </a:ext>
          </a:extLst>
        </xdr:cNvPr>
        <xdr:cNvSpPr/>
      </xdr:nvSpPr>
      <xdr:spPr>
        <a:xfrm rot="10800000" flipH="1">
          <a:off x="4263738" y="76157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32</xdr:col>
      <xdr:colOff>101397</xdr:colOff>
      <xdr:row>61</xdr:row>
      <xdr:rowOff>51932</xdr:rowOff>
    </xdr:from>
    <xdr:to>
      <xdr:col>33</xdr:col>
      <xdr:colOff>114211</xdr:colOff>
      <xdr:row>63</xdr:row>
      <xdr:rowOff>95625</xdr:rowOff>
    </xdr:to>
    <xdr:sp macro="" textlink="">
      <xdr:nvSpPr>
        <xdr:cNvPr id="18" name="Freccia in giù 9">
          <a:extLst>
            <a:ext uri="{FF2B5EF4-FFF2-40B4-BE49-F238E27FC236}">
              <a16:creationId xmlns:a16="http://schemas.microsoft.com/office/drawing/2014/main" id="{00000000-0008-0000-1A00-000012000000}"/>
            </a:ext>
          </a:extLst>
        </xdr:cNvPr>
        <xdr:cNvSpPr/>
      </xdr:nvSpPr>
      <xdr:spPr>
        <a:xfrm>
          <a:off x="3939972" y="76052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29</xdr:col>
      <xdr:colOff>51557</xdr:colOff>
      <xdr:row>61</xdr:row>
      <xdr:rowOff>73430</xdr:rowOff>
    </xdr:from>
    <xdr:to>
      <xdr:col>31</xdr:col>
      <xdr:colOff>84489</xdr:colOff>
      <xdr:row>63</xdr:row>
      <xdr:rowOff>95408</xdr:rowOff>
    </xdr:to>
    <xdr:sp macro="" textlink="">
      <xdr:nvSpPr>
        <xdr:cNvPr id="19" name="Freccia curva 7">
          <a:extLst>
            <a:ext uri="{FF2B5EF4-FFF2-40B4-BE49-F238E27FC236}">
              <a16:creationId xmlns:a16="http://schemas.microsoft.com/office/drawing/2014/main" id="{00000000-0008-0000-1A00-000013000000}"/>
            </a:ext>
          </a:extLst>
        </xdr:cNvPr>
        <xdr:cNvSpPr/>
      </xdr:nvSpPr>
      <xdr:spPr>
        <a:xfrm rot="10800000">
          <a:off x="3518657" y="76267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41</xdr:col>
      <xdr:colOff>96216</xdr:colOff>
      <xdr:row>106</xdr:row>
      <xdr:rowOff>91783</xdr:rowOff>
    </xdr:from>
    <xdr:to>
      <xdr:col>42</xdr:col>
      <xdr:colOff>109029</xdr:colOff>
      <xdr:row>109</xdr:row>
      <xdr:rowOff>10025</xdr:rowOff>
    </xdr:to>
    <xdr:sp macro="" textlink="">
      <xdr:nvSpPr>
        <xdr:cNvPr id="20" name="Freccia in giù 9">
          <a:extLst>
            <a:ext uri="{FF2B5EF4-FFF2-40B4-BE49-F238E27FC236}">
              <a16:creationId xmlns:a16="http://schemas.microsoft.com/office/drawing/2014/main" id="{00000000-0008-0000-1A00-000014000000}"/>
            </a:ext>
          </a:extLst>
        </xdr:cNvPr>
        <xdr:cNvSpPr/>
      </xdr:nvSpPr>
      <xdr:spPr>
        <a:xfrm rot="10800000">
          <a:off x="5049216" y="1321723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36089</xdr:colOff>
      <xdr:row>107</xdr:row>
      <xdr:rowOff>3514</xdr:rowOff>
    </xdr:from>
    <xdr:to>
      <xdr:col>40</xdr:col>
      <xdr:colOff>59418</xdr:colOff>
      <xdr:row>109</xdr:row>
      <xdr:rowOff>50582</xdr:rowOff>
    </xdr:to>
    <xdr:sp macro="" textlink="">
      <xdr:nvSpPr>
        <xdr:cNvPr id="21" name="Freccia curva 8">
          <a:extLst>
            <a:ext uri="{FF2B5EF4-FFF2-40B4-BE49-F238E27FC236}">
              <a16:creationId xmlns:a16="http://schemas.microsoft.com/office/drawing/2014/main" id="{00000000-0008-0000-1A00-000015000000}"/>
            </a:ext>
          </a:extLst>
        </xdr:cNvPr>
        <xdr:cNvSpPr/>
      </xdr:nvSpPr>
      <xdr:spPr>
        <a:xfrm flipH="1">
          <a:off x="4617614" y="1325278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44</xdr:col>
      <xdr:colOff>41799</xdr:colOff>
      <xdr:row>107</xdr:row>
      <xdr:rowOff>18603</xdr:rowOff>
    </xdr:from>
    <xdr:to>
      <xdr:col>46</xdr:col>
      <xdr:colOff>74730</xdr:colOff>
      <xdr:row>109</xdr:row>
      <xdr:rowOff>42207</xdr:rowOff>
    </xdr:to>
    <xdr:sp macro="" textlink="">
      <xdr:nvSpPr>
        <xdr:cNvPr id="22" name="Freccia curva 7">
          <a:extLst>
            <a:ext uri="{FF2B5EF4-FFF2-40B4-BE49-F238E27FC236}">
              <a16:creationId xmlns:a16="http://schemas.microsoft.com/office/drawing/2014/main" id="{00000000-0008-0000-1A00-000016000000}"/>
            </a:ext>
          </a:extLst>
        </xdr:cNvPr>
        <xdr:cNvSpPr/>
      </xdr:nvSpPr>
      <xdr:spPr>
        <a:xfrm>
          <a:off x="5366274" y="1326787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32</xdr:col>
      <xdr:colOff>99392</xdr:colOff>
      <xdr:row>84</xdr:row>
      <xdr:rowOff>82826</xdr:rowOff>
    </xdr:from>
    <xdr:to>
      <xdr:col>33</xdr:col>
      <xdr:colOff>112206</xdr:colOff>
      <xdr:row>87</xdr:row>
      <xdr:rowOff>2280</xdr:rowOff>
    </xdr:to>
    <xdr:sp macro="" textlink="">
      <xdr:nvSpPr>
        <xdr:cNvPr id="23" name="Freccia in giù 9">
          <a:extLst>
            <a:ext uri="{FF2B5EF4-FFF2-40B4-BE49-F238E27FC236}">
              <a16:creationId xmlns:a16="http://schemas.microsoft.com/office/drawing/2014/main" id="{00000000-0008-0000-1A00-000017000000}"/>
            </a:ext>
          </a:extLst>
        </xdr:cNvPr>
        <xdr:cNvSpPr/>
      </xdr:nvSpPr>
      <xdr:spPr>
        <a:xfrm>
          <a:off x="3937967" y="10484126"/>
          <a:ext cx="136639" cy="29092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41</xdr:col>
      <xdr:colOff>96216</xdr:colOff>
      <xdr:row>83</xdr:row>
      <xdr:rowOff>91783</xdr:rowOff>
    </xdr:from>
    <xdr:to>
      <xdr:col>42</xdr:col>
      <xdr:colOff>109029</xdr:colOff>
      <xdr:row>86</xdr:row>
      <xdr:rowOff>10025</xdr:rowOff>
    </xdr:to>
    <xdr:sp macro="" textlink="">
      <xdr:nvSpPr>
        <xdr:cNvPr id="24" name="Freccia in giù 9">
          <a:extLst>
            <a:ext uri="{FF2B5EF4-FFF2-40B4-BE49-F238E27FC236}">
              <a16:creationId xmlns:a16="http://schemas.microsoft.com/office/drawing/2014/main" id="{00000000-0008-0000-1A00-000018000000}"/>
            </a:ext>
          </a:extLst>
        </xdr:cNvPr>
        <xdr:cNvSpPr/>
      </xdr:nvSpPr>
      <xdr:spPr>
        <a:xfrm rot="10800000">
          <a:off x="5049216" y="103692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36089</xdr:colOff>
      <xdr:row>84</xdr:row>
      <xdr:rowOff>3514</xdr:rowOff>
    </xdr:from>
    <xdr:to>
      <xdr:col>40</xdr:col>
      <xdr:colOff>59418</xdr:colOff>
      <xdr:row>86</xdr:row>
      <xdr:rowOff>50582</xdr:rowOff>
    </xdr:to>
    <xdr:sp macro="" textlink="">
      <xdr:nvSpPr>
        <xdr:cNvPr id="25" name="Freccia curva 8">
          <a:extLst>
            <a:ext uri="{FF2B5EF4-FFF2-40B4-BE49-F238E27FC236}">
              <a16:creationId xmlns:a16="http://schemas.microsoft.com/office/drawing/2014/main" id="{00000000-0008-0000-1A00-000019000000}"/>
            </a:ext>
          </a:extLst>
        </xdr:cNvPr>
        <xdr:cNvSpPr/>
      </xdr:nvSpPr>
      <xdr:spPr>
        <a:xfrm flipH="1">
          <a:off x="4617614" y="104048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53688</xdr:colOff>
      <xdr:row>84</xdr:row>
      <xdr:rowOff>62470</xdr:rowOff>
    </xdr:from>
    <xdr:to>
      <xdr:col>37</xdr:col>
      <xdr:colOff>77017</xdr:colOff>
      <xdr:row>86</xdr:row>
      <xdr:rowOff>109538</xdr:rowOff>
    </xdr:to>
    <xdr:sp macro="" textlink="">
      <xdr:nvSpPr>
        <xdr:cNvPr id="26" name="Freccia curva 8">
          <a:extLst>
            <a:ext uri="{FF2B5EF4-FFF2-40B4-BE49-F238E27FC236}">
              <a16:creationId xmlns:a16="http://schemas.microsoft.com/office/drawing/2014/main" id="{00000000-0008-0000-1A00-00001A000000}"/>
            </a:ext>
          </a:extLst>
        </xdr:cNvPr>
        <xdr:cNvSpPr/>
      </xdr:nvSpPr>
      <xdr:spPr>
        <a:xfrm rot="10800000" flipH="1">
          <a:off x="4263738" y="1046377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69</xdr:col>
      <xdr:colOff>85725</xdr:colOff>
      <xdr:row>106</xdr:row>
      <xdr:rowOff>9525</xdr:rowOff>
    </xdr:from>
    <xdr:to>
      <xdr:col>79</xdr:col>
      <xdr:colOff>28574</xdr:colOff>
      <xdr:row>109</xdr:row>
      <xdr:rowOff>114300</xdr:rowOff>
    </xdr:to>
    <xdr:sp macro="" textlink="">
      <xdr:nvSpPr>
        <xdr:cNvPr id="28" name="Right Arrow 27">
          <a:hlinkClick xmlns:r="http://schemas.openxmlformats.org/officeDocument/2006/relationships" r:id="rId2"/>
          <a:extLst>
            <a:ext uri="{FF2B5EF4-FFF2-40B4-BE49-F238E27FC236}">
              <a16:creationId xmlns:a16="http://schemas.microsoft.com/office/drawing/2014/main" id="{00000000-0008-0000-1A00-00001C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85725</xdr:colOff>
      <xdr:row>14</xdr:row>
      <xdr:rowOff>57151</xdr:rowOff>
    </xdr:from>
    <xdr:to>
      <xdr:col>33</xdr:col>
      <xdr:colOff>17851</xdr:colOff>
      <xdr:row>71</xdr:row>
      <xdr:rowOff>28576</xdr:rowOff>
    </xdr:to>
    <xdr:pic>
      <xdr:nvPicPr>
        <xdr:cNvPr id="26" name="Picture 25" descr="Diamond-Model.jp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 cstate="print"/>
        <a:stretch>
          <a:fillRect/>
        </a:stretch>
      </xdr:blipFill>
      <xdr:spPr>
        <a:xfrm>
          <a:off x="742950" y="1790701"/>
          <a:ext cx="3275401" cy="7029450"/>
        </a:xfrm>
        <a:prstGeom prst="rect">
          <a:avLst/>
        </a:prstGeom>
      </xdr:spPr>
    </xdr:pic>
    <xdr:clientData/>
  </xdr:twoCellAnchor>
  <xdr:oneCellAnchor>
    <xdr:from>
      <xdr:col>43</xdr:col>
      <xdr:colOff>114300</xdr:colOff>
      <xdr:row>42</xdr:row>
      <xdr:rowOff>47625</xdr:rowOff>
    </xdr:from>
    <xdr:ext cx="1235761" cy="313954"/>
    <xdr:sp macro="" textlink="">
      <xdr:nvSpPr>
        <xdr:cNvPr id="2" name="Rectangle 1">
          <a:extLst>
            <a:ext uri="{FF2B5EF4-FFF2-40B4-BE49-F238E27FC236}">
              <a16:creationId xmlns:a16="http://schemas.microsoft.com/office/drawing/2014/main" id="{00000000-0008-0000-1B00-000002000000}"/>
            </a:ext>
          </a:extLst>
        </xdr:cNvPr>
        <xdr:cNvSpPr/>
      </xdr:nvSpPr>
      <xdr:spPr>
        <a:xfrm>
          <a:off x="5314950" y="524827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27</xdr:col>
      <xdr:colOff>76167</xdr:colOff>
      <xdr:row>31</xdr:row>
      <xdr:rowOff>106432</xdr:rowOff>
    </xdr:from>
    <xdr:to>
      <xdr:col>44</xdr:col>
      <xdr:colOff>17807</xdr:colOff>
      <xdr:row>42</xdr:row>
      <xdr:rowOff>60764</xdr:rowOff>
    </xdr:to>
    <xdr:cxnSp macro="">
      <xdr:nvCxnSpPr>
        <xdr:cNvPr id="3" name="Straight Connector 2">
          <a:extLst>
            <a:ext uri="{FF2B5EF4-FFF2-40B4-BE49-F238E27FC236}">
              <a16:creationId xmlns:a16="http://schemas.microsoft.com/office/drawing/2014/main" id="{00000000-0008-0000-1B00-000003000000}"/>
            </a:ext>
          </a:extLst>
        </xdr:cNvPr>
        <xdr:cNvCxnSpPr>
          <a:stCxn id="4" idx="7"/>
        </xdr:cNvCxnSpPr>
      </xdr:nvCxnSpPr>
      <xdr:spPr>
        <a:xfrm rot="5400000" flipH="1" flipV="1">
          <a:off x="3698846" y="3579878"/>
          <a:ext cx="1316407" cy="204666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50938</xdr:colOff>
      <xdr:row>42</xdr:row>
      <xdr:rowOff>34046</xdr:rowOff>
    </xdr:from>
    <xdr:to>
      <xdr:col>27</xdr:col>
      <xdr:colOff>101812</xdr:colOff>
      <xdr:row>43</xdr:row>
      <xdr:rowOff>92246</xdr:rowOff>
    </xdr:to>
    <xdr:sp macro="" textlink="">
      <xdr:nvSpPr>
        <xdr:cNvPr id="4" name="Oval 3">
          <a:extLst>
            <a:ext uri="{FF2B5EF4-FFF2-40B4-BE49-F238E27FC236}">
              <a16:creationId xmlns:a16="http://schemas.microsoft.com/office/drawing/2014/main" id="{00000000-0008-0000-1B00-000004000000}"/>
            </a:ext>
          </a:extLst>
        </xdr:cNvPr>
        <xdr:cNvSpPr/>
      </xdr:nvSpPr>
      <xdr:spPr>
        <a:xfrm>
          <a:off x="3184663" y="5234696"/>
          <a:ext cx="174699" cy="182025"/>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77532</xdr:colOff>
      <xdr:row>43</xdr:row>
      <xdr:rowOff>48611</xdr:rowOff>
    </xdr:from>
    <xdr:to>
      <xdr:col>43</xdr:col>
      <xdr:colOff>104774</xdr:colOff>
      <xdr:row>50</xdr:row>
      <xdr:rowOff>104774</xdr:rowOff>
    </xdr:to>
    <xdr:cxnSp macro="">
      <xdr:nvCxnSpPr>
        <xdr:cNvPr id="5" name="Straight Connector 4">
          <a:extLst>
            <a:ext uri="{FF2B5EF4-FFF2-40B4-BE49-F238E27FC236}">
              <a16:creationId xmlns:a16="http://schemas.microsoft.com/office/drawing/2014/main" id="{00000000-0008-0000-1B00-000005000000}"/>
            </a:ext>
          </a:extLst>
        </xdr:cNvPr>
        <xdr:cNvCxnSpPr>
          <a:stCxn id="6" idx="5"/>
        </xdr:cNvCxnSpPr>
      </xdr:nvCxnSpPr>
      <xdr:spPr>
        <a:xfrm rot="16200000" flipH="1">
          <a:off x="2949147" y="3901646"/>
          <a:ext cx="922938" cy="3865817"/>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52596</xdr:colOff>
      <xdr:row>42</xdr:row>
      <xdr:rowOff>17068</xdr:rowOff>
    </xdr:from>
    <xdr:to>
      <xdr:col>12</xdr:col>
      <xdr:colOff>103056</xdr:colOff>
      <xdr:row>43</xdr:row>
      <xdr:rowOff>75268</xdr:rowOff>
    </xdr:to>
    <xdr:sp macro="" textlink="">
      <xdr:nvSpPr>
        <xdr:cNvPr id="6" name="Oval 5">
          <a:extLst>
            <a:ext uri="{FF2B5EF4-FFF2-40B4-BE49-F238E27FC236}">
              <a16:creationId xmlns:a16="http://schemas.microsoft.com/office/drawing/2014/main" id="{00000000-0008-0000-1B00-000006000000}"/>
            </a:ext>
          </a:extLst>
        </xdr:cNvPr>
        <xdr:cNvSpPr/>
      </xdr:nvSpPr>
      <xdr:spPr>
        <a:xfrm>
          <a:off x="1328946" y="5217718"/>
          <a:ext cx="174285" cy="182025"/>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43</xdr:col>
      <xdr:colOff>114300</xdr:colOff>
      <xdr:row>29</xdr:row>
      <xdr:rowOff>47625</xdr:rowOff>
    </xdr:from>
    <xdr:ext cx="1235761" cy="313954"/>
    <xdr:sp macro="" textlink="">
      <xdr:nvSpPr>
        <xdr:cNvPr id="7" name="Rectangle 6">
          <a:extLst>
            <a:ext uri="{FF2B5EF4-FFF2-40B4-BE49-F238E27FC236}">
              <a16:creationId xmlns:a16="http://schemas.microsoft.com/office/drawing/2014/main" id="{00000000-0008-0000-1B00-000007000000}"/>
            </a:ext>
          </a:extLst>
        </xdr:cNvPr>
        <xdr:cNvSpPr/>
      </xdr:nvSpPr>
      <xdr:spPr>
        <a:xfrm>
          <a:off x="5314950" y="36385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77</xdr:col>
      <xdr:colOff>53688</xdr:colOff>
      <xdr:row>20</xdr:row>
      <xdr:rowOff>62470</xdr:rowOff>
    </xdr:from>
    <xdr:to>
      <xdr:col>79</xdr:col>
      <xdr:colOff>77017</xdr:colOff>
      <xdr:row>22</xdr:row>
      <xdr:rowOff>109538</xdr:rowOff>
    </xdr:to>
    <xdr:sp macro="" textlink="">
      <xdr:nvSpPr>
        <xdr:cNvPr id="8" name="Freccia curva 8">
          <a:extLst>
            <a:ext uri="{FF2B5EF4-FFF2-40B4-BE49-F238E27FC236}">
              <a16:creationId xmlns:a16="http://schemas.microsoft.com/office/drawing/2014/main" id="{00000000-0008-0000-1B00-000008000000}"/>
            </a:ext>
          </a:extLst>
        </xdr:cNvPr>
        <xdr:cNvSpPr/>
      </xdr:nvSpPr>
      <xdr:spPr>
        <a:xfrm rot="10800000" flipH="1">
          <a:off x="1663413" y="1046377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51289</xdr:colOff>
      <xdr:row>33</xdr:row>
      <xdr:rowOff>58615</xdr:rowOff>
    </xdr:from>
    <xdr:to>
      <xdr:col>94</xdr:col>
      <xdr:colOff>116943</xdr:colOff>
      <xdr:row>35</xdr:row>
      <xdr:rowOff>63358</xdr:rowOff>
    </xdr:to>
    <xdr:sp macro="" textlink="">
      <xdr:nvSpPr>
        <xdr:cNvPr id="9" name="Freccia curva 8">
          <a:extLst>
            <a:ext uri="{FF2B5EF4-FFF2-40B4-BE49-F238E27FC236}">
              <a16:creationId xmlns:a16="http://schemas.microsoft.com/office/drawing/2014/main" id="{00000000-0008-0000-1B00-000009000000}"/>
            </a:ext>
          </a:extLst>
        </xdr:cNvPr>
        <xdr:cNvSpPr/>
      </xdr:nvSpPr>
      <xdr:spPr>
        <a:xfrm rot="5400000" flipH="1">
          <a:off x="3548844" y="120391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115958</xdr:colOff>
      <xdr:row>30</xdr:row>
      <xdr:rowOff>85135</xdr:rowOff>
    </xdr:from>
    <xdr:to>
      <xdr:col>95</xdr:col>
      <xdr:colOff>47436</xdr:colOff>
      <xdr:row>32</xdr:row>
      <xdr:rowOff>41366</xdr:rowOff>
    </xdr:to>
    <xdr:sp macro="" textlink="">
      <xdr:nvSpPr>
        <xdr:cNvPr id="10" name="Freccia curva 66">
          <a:extLst>
            <a:ext uri="{FF2B5EF4-FFF2-40B4-BE49-F238E27FC236}">
              <a16:creationId xmlns:a16="http://schemas.microsoft.com/office/drawing/2014/main" id="{00000000-0008-0000-1B00-00000A000000}"/>
            </a:ext>
          </a:extLst>
        </xdr:cNvPr>
        <xdr:cNvSpPr/>
      </xdr:nvSpPr>
      <xdr:spPr>
        <a:xfrm rot="16200000" flipH="1">
          <a:off x="3632594" y="11675149"/>
          <a:ext cx="203881" cy="30295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108</xdr:col>
      <xdr:colOff>36089</xdr:colOff>
      <xdr:row>43</xdr:row>
      <xdr:rowOff>3514</xdr:rowOff>
    </xdr:from>
    <xdr:to>
      <xdr:col>110</xdr:col>
      <xdr:colOff>59418</xdr:colOff>
      <xdr:row>45</xdr:row>
      <xdr:rowOff>50582</xdr:rowOff>
    </xdr:to>
    <xdr:sp macro="" textlink="">
      <xdr:nvSpPr>
        <xdr:cNvPr id="11" name="Freccia curva 8">
          <a:extLst>
            <a:ext uri="{FF2B5EF4-FFF2-40B4-BE49-F238E27FC236}">
              <a16:creationId xmlns:a16="http://schemas.microsoft.com/office/drawing/2014/main" id="{00000000-0008-0000-1B00-00000B000000}"/>
            </a:ext>
          </a:extLst>
        </xdr:cNvPr>
        <xdr:cNvSpPr/>
      </xdr:nvSpPr>
      <xdr:spPr>
        <a:xfrm flipH="1">
          <a:off x="5484389" y="1325278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101</xdr:col>
      <xdr:colOff>12087</xdr:colOff>
      <xdr:row>30</xdr:row>
      <xdr:rowOff>34693</xdr:rowOff>
    </xdr:from>
    <xdr:ext cx="963800" cy="311715"/>
    <xdr:sp macro="" textlink="">
      <xdr:nvSpPr>
        <xdr:cNvPr id="12" name="Rectangle 11">
          <a:extLst>
            <a:ext uri="{FF2B5EF4-FFF2-40B4-BE49-F238E27FC236}">
              <a16:creationId xmlns:a16="http://schemas.microsoft.com/office/drawing/2014/main" id="{00000000-0008-0000-1B00-00000C000000}"/>
            </a:ext>
          </a:extLst>
        </xdr:cNvPr>
        <xdr:cNvSpPr/>
      </xdr:nvSpPr>
      <xdr:spPr>
        <a:xfrm>
          <a:off x="4593612" y="1167424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79</xdr:col>
      <xdr:colOff>12087</xdr:colOff>
      <xdr:row>30</xdr:row>
      <xdr:rowOff>34693</xdr:rowOff>
    </xdr:from>
    <xdr:ext cx="963800" cy="311715"/>
    <xdr:sp macro="" textlink="">
      <xdr:nvSpPr>
        <xdr:cNvPr id="13" name="Rectangle 12">
          <a:extLst>
            <a:ext uri="{FF2B5EF4-FFF2-40B4-BE49-F238E27FC236}">
              <a16:creationId xmlns:a16="http://schemas.microsoft.com/office/drawing/2014/main" id="{00000000-0008-0000-1B00-00000D000000}"/>
            </a:ext>
          </a:extLst>
        </xdr:cNvPr>
        <xdr:cNvSpPr/>
      </xdr:nvSpPr>
      <xdr:spPr>
        <a:xfrm>
          <a:off x="1869462" y="1167424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70</xdr:col>
      <xdr:colOff>51289</xdr:colOff>
      <xdr:row>33</xdr:row>
      <xdr:rowOff>58615</xdr:rowOff>
    </xdr:from>
    <xdr:to>
      <xdr:col>72</xdr:col>
      <xdr:colOff>116943</xdr:colOff>
      <xdr:row>35</xdr:row>
      <xdr:rowOff>63358</xdr:rowOff>
    </xdr:to>
    <xdr:sp macro="" textlink="">
      <xdr:nvSpPr>
        <xdr:cNvPr id="14" name="Freccia curva 8">
          <a:extLst>
            <a:ext uri="{FF2B5EF4-FFF2-40B4-BE49-F238E27FC236}">
              <a16:creationId xmlns:a16="http://schemas.microsoft.com/office/drawing/2014/main" id="{00000000-0008-0000-1B00-00000E000000}"/>
            </a:ext>
          </a:extLst>
        </xdr:cNvPr>
        <xdr:cNvSpPr/>
      </xdr:nvSpPr>
      <xdr:spPr>
        <a:xfrm rot="5400000" flipH="1">
          <a:off x="824694" y="120391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73270</xdr:colOff>
      <xdr:row>39</xdr:row>
      <xdr:rowOff>80596</xdr:rowOff>
    </xdr:from>
    <xdr:to>
      <xdr:col>72</xdr:col>
      <xdr:colOff>134510</xdr:colOff>
      <xdr:row>41</xdr:row>
      <xdr:rowOff>94943</xdr:rowOff>
    </xdr:to>
    <xdr:sp macro="" textlink="">
      <xdr:nvSpPr>
        <xdr:cNvPr id="15" name="Freccia curva 7">
          <a:extLst>
            <a:ext uri="{FF2B5EF4-FFF2-40B4-BE49-F238E27FC236}">
              <a16:creationId xmlns:a16="http://schemas.microsoft.com/office/drawing/2014/main" id="{00000000-0008-0000-1B00-00000F000000}"/>
            </a:ext>
          </a:extLst>
        </xdr:cNvPr>
        <xdr:cNvSpPr/>
      </xdr:nvSpPr>
      <xdr:spPr>
        <a:xfrm rot="5400000">
          <a:off x="834904" y="128158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58937</xdr:colOff>
      <xdr:row>37</xdr:row>
      <xdr:rowOff>6397</xdr:rowOff>
    </xdr:from>
    <xdr:to>
      <xdr:col>73</xdr:col>
      <xdr:colOff>5058</xdr:colOff>
      <xdr:row>38</xdr:row>
      <xdr:rowOff>9918</xdr:rowOff>
    </xdr:to>
    <xdr:sp macro="" textlink="">
      <xdr:nvSpPr>
        <xdr:cNvPr id="16" name="Freccia in giù 9">
          <a:extLst>
            <a:ext uri="{FF2B5EF4-FFF2-40B4-BE49-F238E27FC236}">
              <a16:creationId xmlns:a16="http://schemas.microsoft.com/office/drawing/2014/main" id="{00000000-0008-0000-1B00-000010000000}"/>
            </a:ext>
          </a:extLst>
        </xdr:cNvPr>
        <xdr:cNvSpPr/>
      </xdr:nvSpPr>
      <xdr:spPr>
        <a:xfrm rot="16200000">
          <a:off x="897012" y="124175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30</xdr:row>
      <xdr:rowOff>136072</xdr:rowOff>
    </xdr:from>
    <xdr:to>
      <xdr:col>117</xdr:col>
      <xdr:colOff>55717</xdr:colOff>
      <xdr:row>32</xdr:row>
      <xdr:rowOff>82778</xdr:rowOff>
    </xdr:to>
    <xdr:sp macro="" textlink="">
      <xdr:nvSpPr>
        <xdr:cNvPr id="17" name="Freccia curva 66">
          <a:extLst>
            <a:ext uri="{FF2B5EF4-FFF2-40B4-BE49-F238E27FC236}">
              <a16:creationId xmlns:a16="http://schemas.microsoft.com/office/drawing/2014/main" id="{00000000-0008-0000-1B00-000011000000}"/>
            </a:ext>
          </a:extLst>
        </xdr:cNvPr>
        <xdr:cNvSpPr/>
      </xdr:nvSpPr>
      <xdr:spPr>
        <a:xfrm rot="16200000" flipH="1">
          <a:off x="6364818" y="117163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30</xdr:row>
      <xdr:rowOff>136072</xdr:rowOff>
    </xdr:from>
    <xdr:to>
      <xdr:col>117</xdr:col>
      <xdr:colOff>55717</xdr:colOff>
      <xdr:row>32</xdr:row>
      <xdr:rowOff>82778</xdr:rowOff>
    </xdr:to>
    <xdr:sp macro="" textlink="">
      <xdr:nvSpPr>
        <xdr:cNvPr id="18" name="Freccia curva 66">
          <a:extLst>
            <a:ext uri="{FF2B5EF4-FFF2-40B4-BE49-F238E27FC236}">
              <a16:creationId xmlns:a16="http://schemas.microsoft.com/office/drawing/2014/main" id="{00000000-0008-0000-1B00-000012000000}"/>
            </a:ext>
          </a:extLst>
        </xdr:cNvPr>
        <xdr:cNvSpPr/>
      </xdr:nvSpPr>
      <xdr:spPr>
        <a:xfrm rot="16200000" flipH="1">
          <a:off x="6364818" y="117163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30</xdr:row>
      <xdr:rowOff>136072</xdr:rowOff>
    </xdr:from>
    <xdr:to>
      <xdr:col>117</xdr:col>
      <xdr:colOff>55717</xdr:colOff>
      <xdr:row>32</xdr:row>
      <xdr:rowOff>82778</xdr:rowOff>
    </xdr:to>
    <xdr:sp macro="" textlink="">
      <xdr:nvSpPr>
        <xdr:cNvPr id="19" name="Freccia curva 66">
          <a:extLst>
            <a:ext uri="{FF2B5EF4-FFF2-40B4-BE49-F238E27FC236}">
              <a16:creationId xmlns:a16="http://schemas.microsoft.com/office/drawing/2014/main" id="{00000000-0008-0000-1B00-000013000000}"/>
            </a:ext>
          </a:extLst>
        </xdr:cNvPr>
        <xdr:cNvSpPr/>
      </xdr:nvSpPr>
      <xdr:spPr>
        <a:xfrm rot="16200000" flipH="1">
          <a:off x="6364818" y="117163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0</xdr:colOff>
      <xdr:row>30</xdr:row>
      <xdr:rowOff>136072</xdr:rowOff>
    </xdr:from>
    <xdr:to>
      <xdr:col>117</xdr:col>
      <xdr:colOff>55717</xdr:colOff>
      <xdr:row>32</xdr:row>
      <xdr:rowOff>82778</xdr:rowOff>
    </xdr:to>
    <xdr:sp macro="" textlink="">
      <xdr:nvSpPr>
        <xdr:cNvPr id="20" name="Freccia curva 66">
          <a:extLst>
            <a:ext uri="{FF2B5EF4-FFF2-40B4-BE49-F238E27FC236}">
              <a16:creationId xmlns:a16="http://schemas.microsoft.com/office/drawing/2014/main" id="{00000000-0008-0000-1B00-000014000000}"/>
            </a:ext>
          </a:extLst>
        </xdr:cNvPr>
        <xdr:cNvSpPr/>
      </xdr:nvSpPr>
      <xdr:spPr>
        <a:xfrm rot="16200000" flipH="1">
          <a:off x="6364818" y="117163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97574</xdr:colOff>
      <xdr:row>28</xdr:row>
      <xdr:rowOff>4645</xdr:rowOff>
    </xdr:from>
    <xdr:to>
      <xdr:col>117</xdr:col>
      <xdr:colOff>43694</xdr:colOff>
      <xdr:row>29</xdr:row>
      <xdr:rowOff>8166</xdr:rowOff>
    </xdr:to>
    <xdr:sp macro="" textlink="">
      <xdr:nvSpPr>
        <xdr:cNvPr id="21" name="Freccia in giù 9">
          <a:extLst>
            <a:ext uri="{FF2B5EF4-FFF2-40B4-BE49-F238E27FC236}">
              <a16:creationId xmlns:a16="http://schemas.microsoft.com/office/drawing/2014/main" id="{00000000-0008-0000-1B00-000015000000}"/>
            </a:ext>
          </a:extLst>
        </xdr:cNvPr>
        <xdr:cNvSpPr/>
      </xdr:nvSpPr>
      <xdr:spPr>
        <a:xfrm rot="5400000">
          <a:off x="6383949" y="113014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114</xdr:col>
      <xdr:colOff>117200</xdr:colOff>
      <xdr:row>24</xdr:row>
      <xdr:rowOff>48453</xdr:rowOff>
    </xdr:from>
    <xdr:to>
      <xdr:col>117</xdr:col>
      <xdr:colOff>16564</xdr:colOff>
      <xdr:row>26</xdr:row>
      <xdr:rowOff>81385</xdr:rowOff>
    </xdr:to>
    <xdr:sp macro="" textlink="">
      <xdr:nvSpPr>
        <xdr:cNvPr id="22" name="Freccia curva 7">
          <a:extLst>
            <a:ext uri="{FF2B5EF4-FFF2-40B4-BE49-F238E27FC236}">
              <a16:creationId xmlns:a16="http://schemas.microsoft.com/office/drawing/2014/main" id="{00000000-0008-0000-1B00-000016000000}"/>
            </a:ext>
          </a:extLst>
        </xdr:cNvPr>
        <xdr:cNvSpPr/>
      </xdr:nvSpPr>
      <xdr:spPr>
        <a:xfrm rot="16200000">
          <a:off x="6303579" y="1094992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97574</xdr:colOff>
      <xdr:row>28</xdr:row>
      <xdr:rowOff>4645</xdr:rowOff>
    </xdr:from>
    <xdr:to>
      <xdr:col>95</xdr:col>
      <xdr:colOff>43694</xdr:colOff>
      <xdr:row>29</xdr:row>
      <xdr:rowOff>8166</xdr:rowOff>
    </xdr:to>
    <xdr:sp macro="" textlink="">
      <xdr:nvSpPr>
        <xdr:cNvPr id="23" name="Freccia in giù 9">
          <a:extLst>
            <a:ext uri="{FF2B5EF4-FFF2-40B4-BE49-F238E27FC236}">
              <a16:creationId xmlns:a16="http://schemas.microsoft.com/office/drawing/2014/main" id="{00000000-0008-0000-1B00-000017000000}"/>
            </a:ext>
          </a:extLst>
        </xdr:cNvPr>
        <xdr:cNvSpPr/>
      </xdr:nvSpPr>
      <xdr:spPr>
        <a:xfrm rot="5400000">
          <a:off x="3659799" y="113014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58937</xdr:colOff>
      <xdr:row>37</xdr:row>
      <xdr:rowOff>6397</xdr:rowOff>
    </xdr:from>
    <xdr:to>
      <xdr:col>95</xdr:col>
      <xdr:colOff>5058</xdr:colOff>
      <xdr:row>38</xdr:row>
      <xdr:rowOff>9918</xdr:rowOff>
    </xdr:to>
    <xdr:sp macro="" textlink="">
      <xdr:nvSpPr>
        <xdr:cNvPr id="24" name="Freccia in giù 9">
          <a:extLst>
            <a:ext uri="{FF2B5EF4-FFF2-40B4-BE49-F238E27FC236}">
              <a16:creationId xmlns:a16="http://schemas.microsoft.com/office/drawing/2014/main" id="{00000000-0008-0000-1B00-000018000000}"/>
            </a:ext>
          </a:extLst>
        </xdr:cNvPr>
        <xdr:cNvSpPr/>
      </xdr:nvSpPr>
      <xdr:spPr>
        <a:xfrm rot="16200000">
          <a:off x="3621162" y="124175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27" name="Right Arrow 26">
          <a:hlinkClick xmlns:r="http://schemas.openxmlformats.org/officeDocument/2006/relationships" r:id="rId2"/>
          <a:extLst>
            <a:ext uri="{FF2B5EF4-FFF2-40B4-BE49-F238E27FC236}">
              <a16:creationId xmlns:a16="http://schemas.microsoft.com/office/drawing/2014/main" id="{00000000-0008-0000-1B00-00001B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70110</xdr:colOff>
      <xdr:row>31</xdr:row>
      <xdr:rowOff>61711</xdr:rowOff>
    </xdr:from>
    <xdr:to>
      <xdr:col>58</xdr:col>
      <xdr:colOff>12960</xdr:colOff>
      <xdr:row>58</xdr:row>
      <xdr:rowOff>44632</xdr:rowOff>
    </xdr:to>
    <xdr:pic>
      <xdr:nvPicPr>
        <xdr:cNvPr id="21" name="Picture 20" descr="PCL-Model.jpg">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 cstate="print"/>
        <a:srcRect l="-1" t="26674" r="712" b="23220"/>
        <a:stretch>
          <a:fillRect/>
        </a:stretch>
      </xdr:blipFill>
      <xdr:spPr>
        <a:xfrm>
          <a:off x="479685" y="3900286"/>
          <a:ext cx="6629400" cy="3326196"/>
        </a:xfrm>
        <a:prstGeom prst="rect">
          <a:avLst/>
        </a:prstGeom>
      </xdr:spPr>
    </xdr:pic>
    <xdr:clientData/>
  </xdr:twoCellAnchor>
  <xdr:twoCellAnchor editAs="oneCell">
    <xdr:from>
      <xdr:col>15</xdr:col>
      <xdr:colOff>73359</xdr:colOff>
      <xdr:row>17</xdr:row>
      <xdr:rowOff>19392</xdr:rowOff>
    </xdr:from>
    <xdr:to>
      <xdr:col>45</xdr:col>
      <xdr:colOff>63834</xdr:colOff>
      <xdr:row>70</xdr:row>
      <xdr:rowOff>94954</xdr:rowOff>
    </xdr:to>
    <xdr:pic>
      <xdr:nvPicPr>
        <xdr:cNvPr id="20" name="Picture 19" descr="PCL-Model.jpg">
          <a:extLst>
            <a:ext uri="{FF2B5EF4-FFF2-40B4-BE49-F238E27FC236}">
              <a16:creationId xmlns:a16="http://schemas.microsoft.com/office/drawing/2014/main" id="{00000000-0008-0000-1C00-000014000000}"/>
            </a:ext>
          </a:extLst>
        </xdr:cNvPr>
        <xdr:cNvPicPr>
          <a:picLocks noChangeAspect="1"/>
        </xdr:cNvPicPr>
      </xdr:nvPicPr>
      <xdr:blipFill>
        <a:blip xmlns:r="http://schemas.openxmlformats.org/officeDocument/2006/relationships" r:embed="rId1" cstate="print"/>
        <a:srcRect l="20399" r="24108"/>
        <a:stretch>
          <a:fillRect/>
        </a:stretch>
      </xdr:blipFill>
      <xdr:spPr>
        <a:xfrm>
          <a:off x="1854120" y="2131457"/>
          <a:ext cx="3717649" cy="6660236"/>
        </a:xfrm>
        <a:prstGeom prst="rect">
          <a:avLst/>
        </a:prstGeom>
      </xdr:spPr>
    </xdr:pic>
    <xdr:clientData/>
  </xdr:twoCellAnchor>
  <xdr:oneCellAnchor>
    <xdr:from>
      <xdr:col>47</xdr:col>
      <xdr:colOff>114300</xdr:colOff>
      <xdr:row>61</xdr:row>
      <xdr:rowOff>47625</xdr:rowOff>
    </xdr:from>
    <xdr:ext cx="1235761" cy="313954"/>
    <xdr:sp macro="" textlink="">
      <xdr:nvSpPr>
        <xdr:cNvPr id="4" name="Rectangle 3">
          <a:extLst>
            <a:ext uri="{FF2B5EF4-FFF2-40B4-BE49-F238E27FC236}">
              <a16:creationId xmlns:a16="http://schemas.microsoft.com/office/drawing/2014/main" id="{00000000-0008-0000-1C00-000004000000}"/>
            </a:ext>
          </a:extLst>
        </xdr:cNvPr>
        <xdr:cNvSpPr/>
      </xdr:nvSpPr>
      <xdr:spPr>
        <a:xfrm>
          <a:off x="5810250" y="76009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33</xdr:col>
      <xdr:colOff>41794</xdr:colOff>
      <xdr:row>59</xdr:row>
      <xdr:rowOff>116466</xdr:rowOff>
    </xdr:from>
    <xdr:to>
      <xdr:col>47</xdr:col>
      <xdr:colOff>115959</xdr:colOff>
      <xdr:row>64</xdr:row>
      <xdr:rowOff>3</xdr:rowOff>
    </xdr:to>
    <xdr:cxnSp macro="">
      <xdr:nvCxnSpPr>
        <xdr:cNvPr id="5" name="Straight Connector 4">
          <a:extLst>
            <a:ext uri="{FF2B5EF4-FFF2-40B4-BE49-F238E27FC236}">
              <a16:creationId xmlns:a16="http://schemas.microsoft.com/office/drawing/2014/main" id="{00000000-0008-0000-1C00-000005000000}"/>
            </a:ext>
          </a:extLst>
        </xdr:cNvPr>
        <xdr:cNvCxnSpPr>
          <a:stCxn id="6" idx="5"/>
        </xdr:cNvCxnSpPr>
      </xdr:nvCxnSpPr>
      <xdr:spPr>
        <a:xfrm rot="16200000" flipH="1">
          <a:off x="4656721" y="6769614"/>
          <a:ext cx="502662" cy="180771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32</xdr:col>
      <xdr:colOff>16566</xdr:colOff>
      <xdr:row>58</xdr:row>
      <xdr:rowOff>84983</xdr:rowOff>
    </xdr:from>
    <xdr:to>
      <xdr:col>33</xdr:col>
      <xdr:colOff>67440</xdr:colOff>
      <xdr:row>60</xdr:row>
      <xdr:rowOff>18945</xdr:rowOff>
    </xdr:to>
    <xdr:sp macro="" textlink="">
      <xdr:nvSpPr>
        <xdr:cNvPr id="6" name="Oval 5">
          <a:extLst>
            <a:ext uri="{FF2B5EF4-FFF2-40B4-BE49-F238E27FC236}">
              <a16:creationId xmlns:a16="http://schemas.microsoft.com/office/drawing/2014/main" id="{00000000-0008-0000-1C00-000006000000}"/>
            </a:ext>
          </a:extLst>
        </xdr:cNvPr>
        <xdr:cNvSpPr/>
      </xdr:nvSpPr>
      <xdr:spPr>
        <a:xfrm>
          <a:off x="3855141" y="7266833"/>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124236</xdr:colOff>
      <xdr:row>22</xdr:row>
      <xdr:rowOff>0</xdr:rowOff>
    </xdr:from>
    <xdr:to>
      <xdr:col>29</xdr:col>
      <xdr:colOff>95220</xdr:colOff>
      <xdr:row>28</xdr:row>
      <xdr:rowOff>57037</xdr:rowOff>
    </xdr:to>
    <xdr:cxnSp macro="">
      <xdr:nvCxnSpPr>
        <xdr:cNvPr id="7" name="Straight Connector 6">
          <a:extLst>
            <a:ext uri="{FF2B5EF4-FFF2-40B4-BE49-F238E27FC236}">
              <a16:creationId xmlns:a16="http://schemas.microsoft.com/office/drawing/2014/main" id="{00000000-0008-0000-1C00-000007000000}"/>
            </a:ext>
          </a:extLst>
        </xdr:cNvPr>
        <xdr:cNvCxnSpPr>
          <a:stCxn id="8" idx="1"/>
        </xdr:cNvCxnSpPr>
      </xdr:nvCxnSpPr>
      <xdr:spPr>
        <a:xfrm rot="16200000" flipV="1">
          <a:off x="2186234" y="2148052"/>
          <a:ext cx="799987" cy="195218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69575</xdr:colOff>
      <xdr:row>28</xdr:row>
      <xdr:rowOff>30319</xdr:rowOff>
    </xdr:from>
    <xdr:to>
      <xdr:col>30</xdr:col>
      <xdr:colOff>120449</xdr:colOff>
      <xdr:row>29</xdr:row>
      <xdr:rowOff>88520</xdr:rowOff>
    </xdr:to>
    <xdr:sp macro="" textlink="">
      <xdr:nvSpPr>
        <xdr:cNvPr id="8" name="Oval 7">
          <a:extLst>
            <a:ext uri="{FF2B5EF4-FFF2-40B4-BE49-F238E27FC236}">
              <a16:creationId xmlns:a16="http://schemas.microsoft.com/office/drawing/2014/main" id="{00000000-0008-0000-1C00-000008000000}"/>
            </a:ext>
          </a:extLst>
        </xdr:cNvPr>
        <xdr:cNvSpPr/>
      </xdr:nvSpPr>
      <xdr:spPr>
        <a:xfrm>
          <a:off x="3536675" y="3497419"/>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3</xdr:col>
      <xdr:colOff>122583</xdr:colOff>
      <xdr:row>19</xdr:row>
      <xdr:rowOff>47625</xdr:rowOff>
    </xdr:from>
    <xdr:ext cx="1235761" cy="313954"/>
    <xdr:sp macro="" textlink="">
      <xdr:nvSpPr>
        <xdr:cNvPr id="9" name="Rectangle 8">
          <a:extLst>
            <a:ext uri="{FF2B5EF4-FFF2-40B4-BE49-F238E27FC236}">
              <a16:creationId xmlns:a16="http://schemas.microsoft.com/office/drawing/2014/main" id="{00000000-0008-0000-1C00-000009000000}"/>
            </a:ext>
          </a:extLst>
        </xdr:cNvPr>
        <xdr:cNvSpPr/>
      </xdr:nvSpPr>
      <xdr:spPr>
        <a:xfrm>
          <a:off x="370233" y="240030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91</xdr:col>
      <xdr:colOff>53688</xdr:colOff>
      <xdr:row>13</xdr:row>
      <xdr:rowOff>62470</xdr:rowOff>
    </xdr:from>
    <xdr:to>
      <xdr:col>93</xdr:col>
      <xdr:colOff>77017</xdr:colOff>
      <xdr:row>15</xdr:row>
      <xdr:rowOff>109538</xdr:rowOff>
    </xdr:to>
    <xdr:sp macro="" textlink="">
      <xdr:nvSpPr>
        <xdr:cNvPr id="10" name="Freccia curva 8">
          <a:extLst>
            <a:ext uri="{FF2B5EF4-FFF2-40B4-BE49-F238E27FC236}">
              <a16:creationId xmlns:a16="http://schemas.microsoft.com/office/drawing/2014/main" id="{00000000-0008-0000-1C00-00000A000000}"/>
            </a:ext>
          </a:extLst>
        </xdr:cNvPr>
        <xdr:cNvSpPr/>
      </xdr:nvSpPr>
      <xdr:spPr>
        <a:xfrm rot="10800000" flipH="1">
          <a:off x="3520788" y="108352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13</xdr:row>
      <xdr:rowOff>51932</xdr:rowOff>
    </xdr:from>
    <xdr:to>
      <xdr:col>89</xdr:col>
      <xdr:colOff>114211</xdr:colOff>
      <xdr:row>15</xdr:row>
      <xdr:rowOff>95625</xdr:rowOff>
    </xdr:to>
    <xdr:sp macro="" textlink="">
      <xdr:nvSpPr>
        <xdr:cNvPr id="11" name="Freccia in giù 9">
          <a:extLst>
            <a:ext uri="{FF2B5EF4-FFF2-40B4-BE49-F238E27FC236}">
              <a16:creationId xmlns:a16="http://schemas.microsoft.com/office/drawing/2014/main" id="{00000000-0008-0000-1C00-00000B000000}"/>
            </a:ext>
          </a:extLst>
        </xdr:cNvPr>
        <xdr:cNvSpPr/>
      </xdr:nvSpPr>
      <xdr:spPr>
        <a:xfrm>
          <a:off x="3197022" y="108247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85</xdr:col>
      <xdr:colOff>51557</xdr:colOff>
      <xdr:row>13</xdr:row>
      <xdr:rowOff>73430</xdr:rowOff>
    </xdr:from>
    <xdr:to>
      <xdr:col>87</xdr:col>
      <xdr:colOff>84489</xdr:colOff>
      <xdr:row>15</xdr:row>
      <xdr:rowOff>95408</xdr:rowOff>
    </xdr:to>
    <xdr:sp macro="" textlink="">
      <xdr:nvSpPr>
        <xdr:cNvPr id="12" name="Freccia curva 7">
          <a:extLst>
            <a:ext uri="{FF2B5EF4-FFF2-40B4-BE49-F238E27FC236}">
              <a16:creationId xmlns:a16="http://schemas.microsoft.com/office/drawing/2014/main" id="{00000000-0008-0000-1C00-00000C000000}"/>
            </a:ext>
          </a:extLst>
        </xdr:cNvPr>
        <xdr:cNvSpPr/>
      </xdr:nvSpPr>
      <xdr:spPr>
        <a:xfrm rot="10800000">
          <a:off x="2775707" y="108462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97</xdr:col>
      <xdr:colOff>96216</xdr:colOff>
      <xdr:row>58</xdr:row>
      <xdr:rowOff>91783</xdr:rowOff>
    </xdr:from>
    <xdr:to>
      <xdr:col>98</xdr:col>
      <xdr:colOff>109029</xdr:colOff>
      <xdr:row>61</xdr:row>
      <xdr:rowOff>10025</xdr:rowOff>
    </xdr:to>
    <xdr:sp macro="" textlink="">
      <xdr:nvSpPr>
        <xdr:cNvPr id="13" name="Freccia in giù 9">
          <a:extLst>
            <a:ext uri="{FF2B5EF4-FFF2-40B4-BE49-F238E27FC236}">
              <a16:creationId xmlns:a16="http://schemas.microsoft.com/office/drawing/2014/main" id="{00000000-0008-0000-1C00-00000D000000}"/>
            </a:ext>
          </a:extLst>
        </xdr:cNvPr>
        <xdr:cNvSpPr/>
      </xdr:nvSpPr>
      <xdr:spPr>
        <a:xfrm rot="10800000">
          <a:off x="4306266" y="164366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36089</xdr:colOff>
      <xdr:row>59</xdr:row>
      <xdr:rowOff>3514</xdr:rowOff>
    </xdr:from>
    <xdr:to>
      <xdr:col>96</xdr:col>
      <xdr:colOff>59418</xdr:colOff>
      <xdr:row>61</xdr:row>
      <xdr:rowOff>50582</xdr:rowOff>
    </xdr:to>
    <xdr:sp macro="" textlink="">
      <xdr:nvSpPr>
        <xdr:cNvPr id="14" name="Freccia curva 8">
          <a:extLst>
            <a:ext uri="{FF2B5EF4-FFF2-40B4-BE49-F238E27FC236}">
              <a16:creationId xmlns:a16="http://schemas.microsoft.com/office/drawing/2014/main" id="{00000000-0008-0000-1C00-00000E000000}"/>
            </a:ext>
          </a:extLst>
        </xdr:cNvPr>
        <xdr:cNvSpPr/>
      </xdr:nvSpPr>
      <xdr:spPr>
        <a:xfrm flipH="1">
          <a:off x="3874664" y="164722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100</xdr:col>
      <xdr:colOff>41799</xdr:colOff>
      <xdr:row>59</xdr:row>
      <xdr:rowOff>18603</xdr:rowOff>
    </xdr:from>
    <xdr:to>
      <xdr:col>102</xdr:col>
      <xdr:colOff>74730</xdr:colOff>
      <xdr:row>61</xdr:row>
      <xdr:rowOff>42207</xdr:rowOff>
    </xdr:to>
    <xdr:sp macro="" textlink="">
      <xdr:nvSpPr>
        <xdr:cNvPr id="15" name="Freccia curva 7">
          <a:extLst>
            <a:ext uri="{FF2B5EF4-FFF2-40B4-BE49-F238E27FC236}">
              <a16:creationId xmlns:a16="http://schemas.microsoft.com/office/drawing/2014/main" id="{00000000-0008-0000-1C00-00000F000000}"/>
            </a:ext>
          </a:extLst>
        </xdr:cNvPr>
        <xdr:cNvSpPr/>
      </xdr:nvSpPr>
      <xdr:spPr>
        <a:xfrm>
          <a:off x="4623324" y="164873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90</xdr:col>
      <xdr:colOff>12087</xdr:colOff>
      <xdr:row>23</xdr:row>
      <xdr:rowOff>34693</xdr:rowOff>
    </xdr:from>
    <xdr:ext cx="963800" cy="311715"/>
    <xdr:sp macro="" textlink="">
      <xdr:nvSpPr>
        <xdr:cNvPr id="16" name="Rectangle 15">
          <a:extLst>
            <a:ext uri="{FF2B5EF4-FFF2-40B4-BE49-F238E27FC236}">
              <a16:creationId xmlns:a16="http://schemas.microsoft.com/office/drawing/2014/main" id="{00000000-0008-0000-1C00-000010000000}"/>
            </a:ext>
          </a:extLst>
        </xdr:cNvPr>
        <xdr:cNvSpPr/>
      </xdr:nvSpPr>
      <xdr:spPr>
        <a:xfrm>
          <a:off x="3355362" y="1204571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90</xdr:col>
      <xdr:colOff>12087</xdr:colOff>
      <xdr:row>46</xdr:row>
      <xdr:rowOff>34693</xdr:rowOff>
    </xdr:from>
    <xdr:ext cx="963800" cy="311715"/>
    <xdr:sp macro="" textlink="">
      <xdr:nvSpPr>
        <xdr:cNvPr id="17" name="Rectangle 16">
          <a:extLst>
            <a:ext uri="{FF2B5EF4-FFF2-40B4-BE49-F238E27FC236}">
              <a16:creationId xmlns:a16="http://schemas.microsoft.com/office/drawing/2014/main" id="{00000000-0008-0000-1C00-000011000000}"/>
            </a:ext>
          </a:extLst>
        </xdr:cNvPr>
        <xdr:cNvSpPr/>
      </xdr:nvSpPr>
      <xdr:spPr>
        <a:xfrm>
          <a:off x="3355362" y="1489369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97</xdr:col>
      <xdr:colOff>53688</xdr:colOff>
      <xdr:row>36</xdr:row>
      <xdr:rowOff>62470</xdr:rowOff>
    </xdr:from>
    <xdr:to>
      <xdr:col>99</xdr:col>
      <xdr:colOff>77017</xdr:colOff>
      <xdr:row>38</xdr:row>
      <xdr:rowOff>109538</xdr:rowOff>
    </xdr:to>
    <xdr:sp macro="" textlink="">
      <xdr:nvSpPr>
        <xdr:cNvPr id="18" name="Freccia curva 8">
          <a:extLst>
            <a:ext uri="{FF2B5EF4-FFF2-40B4-BE49-F238E27FC236}">
              <a16:creationId xmlns:a16="http://schemas.microsoft.com/office/drawing/2014/main" id="{00000000-0008-0000-1C00-000012000000}"/>
            </a:ext>
          </a:extLst>
        </xdr:cNvPr>
        <xdr:cNvSpPr/>
      </xdr:nvSpPr>
      <xdr:spPr>
        <a:xfrm rot="10800000" flipH="1">
          <a:off x="4263738" y="136832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36089</xdr:colOff>
      <xdr:row>36</xdr:row>
      <xdr:rowOff>3514</xdr:rowOff>
    </xdr:from>
    <xdr:to>
      <xdr:col>90</xdr:col>
      <xdr:colOff>59418</xdr:colOff>
      <xdr:row>38</xdr:row>
      <xdr:rowOff>50582</xdr:rowOff>
    </xdr:to>
    <xdr:sp macro="" textlink="">
      <xdr:nvSpPr>
        <xdr:cNvPr id="19" name="Freccia curva 8">
          <a:extLst>
            <a:ext uri="{FF2B5EF4-FFF2-40B4-BE49-F238E27FC236}">
              <a16:creationId xmlns:a16="http://schemas.microsoft.com/office/drawing/2014/main" id="{00000000-0008-0000-1C00-000013000000}"/>
            </a:ext>
          </a:extLst>
        </xdr:cNvPr>
        <xdr:cNvSpPr/>
      </xdr:nvSpPr>
      <xdr:spPr>
        <a:xfrm flipH="1">
          <a:off x="3131714" y="136242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22" name="Right Arrow 21">
          <a:hlinkClick xmlns:r="http://schemas.openxmlformats.org/officeDocument/2006/relationships" r:id="rId2"/>
          <a:extLst>
            <a:ext uri="{FF2B5EF4-FFF2-40B4-BE49-F238E27FC236}">
              <a16:creationId xmlns:a16="http://schemas.microsoft.com/office/drawing/2014/main" id="{00000000-0008-0000-1C00-000016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98370</xdr:colOff>
      <xdr:row>15</xdr:row>
      <xdr:rowOff>93394</xdr:rowOff>
    </xdr:from>
    <xdr:to>
      <xdr:col>44</xdr:col>
      <xdr:colOff>81291</xdr:colOff>
      <xdr:row>69</xdr:row>
      <xdr:rowOff>36243</xdr:rowOff>
    </xdr:to>
    <xdr:pic>
      <xdr:nvPicPr>
        <xdr:cNvPr id="24" name="Picture 23" descr="PCL-Model.jp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 cstate="print"/>
        <a:srcRect l="-1" t="26674" r="712" b="23220"/>
        <a:stretch>
          <a:fillRect/>
        </a:stretch>
      </xdr:blipFill>
      <xdr:spPr>
        <a:xfrm rot="5400000">
          <a:off x="469846" y="3630452"/>
          <a:ext cx="6682608" cy="3352801"/>
        </a:xfrm>
        <a:prstGeom prst="rect">
          <a:avLst/>
        </a:prstGeom>
      </xdr:spPr>
    </xdr:pic>
    <xdr:clientData/>
  </xdr:twoCellAnchor>
  <xdr:twoCellAnchor editAs="oneCell">
    <xdr:from>
      <xdr:col>5</xdr:col>
      <xdr:colOff>37697</xdr:colOff>
      <xdr:row>26</xdr:row>
      <xdr:rowOff>93289</xdr:rowOff>
    </xdr:from>
    <xdr:to>
      <xdr:col>59</xdr:col>
      <xdr:colOff>3120</xdr:colOff>
      <xdr:row>56</xdr:row>
      <xdr:rowOff>83765</xdr:rowOff>
    </xdr:to>
    <xdr:pic>
      <xdr:nvPicPr>
        <xdr:cNvPr id="25" name="Picture 24" descr="PCL-Model.jp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1" cstate="print"/>
        <a:srcRect l="20399" r="24108"/>
        <a:stretch>
          <a:fillRect/>
        </a:stretch>
      </xdr:blipFill>
      <xdr:spPr>
        <a:xfrm rot="5400000">
          <a:off x="2054707" y="1860003"/>
          <a:ext cx="3734786" cy="6691496"/>
        </a:xfrm>
        <a:prstGeom prst="rect">
          <a:avLst/>
        </a:prstGeom>
      </xdr:spPr>
    </xdr:pic>
    <xdr:clientData/>
  </xdr:twoCellAnchor>
  <xdr:oneCellAnchor>
    <xdr:from>
      <xdr:col>48</xdr:col>
      <xdr:colOff>2241</xdr:colOff>
      <xdr:row>15</xdr:row>
      <xdr:rowOff>36420</xdr:rowOff>
    </xdr:from>
    <xdr:ext cx="1235761" cy="313954"/>
    <xdr:sp macro="" textlink="">
      <xdr:nvSpPr>
        <xdr:cNvPr id="4" name="Rectangle 3">
          <a:extLst>
            <a:ext uri="{FF2B5EF4-FFF2-40B4-BE49-F238E27FC236}">
              <a16:creationId xmlns:a16="http://schemas.microsoft.com/office/drawing/2014/main" id="{00000000-0008-0000-1D00-000004000000}"/>
            </a:ext>
          </a:extLst>
        </xdr:cNvPr>
        <xdr:cNvSpPr/>
      </xdr:nvSpPr>
      <xdr:spPr>
        <a:xfrm>
          <a:off x="5829300" y="1885391"/>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xdr:col>
      <xdr:colOff>114300</xdr:colOff>
      <xdr:row>60</xdr:row>
      <xdr:rowOff>47625</xdr:rowOff>
    </xdr:from>
    <xdr:ext cx="1235761" cy="313954"/>
    <xdr:sp macro="" textlink="">
      <xdr:nvSpPr>
        <xdr:cNvPr id="5" name="Rectangle 4">
          <a:extLst>
            <a:ext uri="{FF2B5EF4-FFF2-40B4-BE49-F238E27FC236}">
              <a16:creationId xmlns:a16="http://schemas.microsoft.com/office/drawing/2014/main" id="{00000000-0008-0000-1D00-000005000000}"/>
            </a:ext>
          </a:extLst>
        </xdr:cNvPr>
        <xdr:cNvSpPr/>
      </xdr:nvSpPr>
      <xdr:spPr>
        <a:xfrm>
          <a:off x="238125" y="747712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16</xdr:col>
      <xdr:colOff>49696</xdr:colOff>
      <xdr:row>43</xdr:row>
      <xdr:rowOff>27005</xdr:rowOff>
    </xdr:from>
    <xdr:to>
      <xdr:col>17</xdr:col>
      <xdr:colOff>100570</xdr:colOff>
      <xdr:row>44</xdr:row>
      <xdr:rowOff>85206</xdr:rowOff>
    </xdr:to>
    <xdr:sp macro="" textlink="">
      <xdr:nvSpPr>
        <xdr:cNvPr id="6" name="Oval 5">
          <a:extLst>
            <a:ext uri="{FF2B5EF4-FFF2-40B4-BE49-F238E27FC236}">
              <a16:creationId xmlns:a16="http://schemas.microsoft.com/office/drawing/2014/main" id="{00000000-0008-0000-1D00-000006000000}"/>
            </a:ext>
          </a:extLst>
        </xdr:cNvPr>
        <xdr:cNvSpPr/>
      </xdr:nvSpPr>
      <xdr:spPr>
        <a:xfrm>
          <a:off x="1907071" y="5351480"/>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46</xdr:col>
      <xdr:colOff>94425</xdr:colOff>
      <xdr:row>40</xdr:row>
      <xdr:rowOff>80015</xdr:rowOff>
    </xdr:from>
    <xdr:to>
      <xdr:col>48</xdr:col>
      <xdr:colOff>21060</xdr:colOff>
      <xdr:row>42</xdr:row>
      <xdr:rowOff>13977</xdr:rowOff>
    </xdr:to>
    <xdr:sp macro="" textlink="">
      <xdr:nvSpPr>
        <xdr:cNvPr id="7" name="Oval 6">
          <a:extLst>
            <a:ext uri="{FF2B5EF4-FFF2-40B4-BE49-F238E27FC236}">
              <a16:creationId xmlns:a16="http://schemas.microsoft.com/office/drawing/2014/main" id="{00000000-0008-0000-1D00-000007000000}"/>
            </a:ext>
          </a:extLst>
        </xdr:cNvPr>
        <xdr:cNvSpPr/>
      </xdr:nvSpPr>
      <xdr:spPr>
        <a:xfrm>
          <a:off x="5666550" y="5033015"/>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67</xdr:col>
      <xdr:colOff>51289</xdr:colOff>
      <xdr:row>34</xdr:row>
      <xdr:rowOff>58615</xdr:rowOff>
    </xdr:from>
    <xdr:to>
      <xdr:col>69</xdr:col>
      <xdr:colOff>116943</xdr:colOff>
      <xdr:row>36</xdr:row>
      <xdr:rowOff>63358</xdr:rowOff>
    </xdr:to>
    <xdr:sp macro="" textlink="">
      <xdr:nvSpPr>
        <xdr:cNvPr id="8" name="Freccia curva 8">
          <a:extLst>
            <a:ext uri="{FF2B5EF4-FFF2-40B4-BE49-F238E27FC236}">
              <a16:creationId xmlns:a16="http://schemas.microsoft.com/office/drawing/2014/main" id="{00000000-0008-0000-1D00-000008000000}"/>
            </a:ext>
          </a:extLst>
        </xdr:cNvPr>
        <xdr:cNvSpPr/>
      </xdr:nvSpPr>
      <xdr:spPr>
        <a:xfrm rot="5400000" flipH="1">
          <a:off x="577044" y="134012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67</xdr:col>
      <xdr:colOff>73270</xdr:colOff>
      <xdr:row>40</xdr:row>
      <xdr:rowOff>80596</xdr:rowOff>
    </xdr:from>
    <xdr:to>
      <xdr:col>69</xdr:col>
      <xdr:colOff>134510</xdr:colOff>
      <xdr:row>42</xdr:row>
      <xdr:rowOff>94943</xdr:rowOff>
    </xdr:to>
    <xdr:sp macro="" textlink="">
      <xdr:nvSpPr>
        <xdr:cNvPr id="9" name="Freccia curva 7">
          <a:extLst>
            <a:ext uri="{FF2B5EF4-FFF2-40B4-BE49-F238E27FC236}">
              <a16:creationId xmlns:a16="http://schemas.microsoft.com/office/drawing/2014/main" id="{00000000-0008-0000-1D00-000009000000}"/>
            </a:ext>
          </a:extLst>
        </xdr:cNvPr>
        <xdr:cNvSpPr/>
      </xdr:nvSpPr>
      <xdr:spPr>
        <a:xfrm rot="5400000">
          <a:off x="587254" y="1417796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0</xdr:colOff>
      <xdr:row>31</xdr:row>
      <xdr:rowOff>136072</xdr:rowOff>
    </xdr:from>
    <xdr:to>
      <xdr:col>118</xdr:col>
      <xdr:colOff>55717</xdr:colOff>
      <xdr:row>33</xdr:row>
      <xdr:rowOff>82778</xdr:rowOff>
    </xdr:to>
    <xdr:sp macro="" textlink="">
      <xdr:nvSpPr>
        <xdr:cNvPr id="10" name="Freccia curva 66">
          <a:extLst>
            <a:ext uri="{FF2B5EF4-FFF2-40B4-BE49-F238E27FC236}">
              <a16:creationId xmlns:a16="http://schemas.microsoft.com/office/drawing/2014/main" id="{00000000-0008-0000-1D00-00000A000000}"/>
            </a:ext>
          </a:extLst>
        </xdr:cNvPr>
        <xdr:cNvSpPr/>
      </xdr:nvSpPr>
      <xdr:spPr>
        <a:xfrm rot="16200000" flipH="1">
          <a:off x="6612468" y="130784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0</xdr:colOff>
      <xdr:row>31</xdr:row>
      <xdr:rowOff>136072</xdr:rowOff>
    </xdr:from>
    <xdr:to>
      <xdr:col>118</xdr:col>
      <xdr:colOff>55717</xdr:colOff>
      <xdr:row>33</xdr:row>
      <xdr:rowOff>82778</xdr:rowOff>
    </xdr:to>
    <xdr:sp macro="" textlink="">
      <xdr:nvSpPr>
        <xdr:cNvPr id="11" name="Freccia curva 66">
          <a:extLst>
            <a:ext uri="{FF2B5EF4-FFF2-40B4-BE49-F238E27FC236}">
              <a16:creationId xmlns:a16="http://schemas.microsoft.com/office/drawing/2014/main" id="{00000000-0008-0000-1D00-00000B000000}"/>
            </a:ext>
          </a:extLst>
        </xdr:cNvPr>
        <xdr:cNvSpPr/>
      </xdr:nvSpPr>
      <xdr:spPr>
        <a:xfrm rot="16200000" flipH="1">
          <a:off x="6612468" y="130784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0</xdr:colOff>
      <xdr:row>31</xdr:row>
      <xdr:rowOff>136072</xdr:rowOff>
    </xdr:from>
    <xdr:to>
      <xdr:col>118</xdr:col>
      <xdr:colOff>55717</xdr:colOff>
      <xdr:row>33</xdr:row>
      <xdr:rowOff>82778</xdr:rowOff>
    </xdr:to>
    <xdr:sp macro="" textlink="">
      <xdr:nvSpPr>
        <xdr:cNvPr id="12" name="Freccia curva 66">
          <a:extLst>
            <a:ext uri="{FF2B5EF4-FFF2-40B4-BE49-F238E27FC236}">
              <a16:creationId xmlns:a16="http://schemas.microsoft.com/office/drawing/2014/main" id="{00000000-0008-0000-1D00-00000C000000}"/>
            </a:ext>
          </a:extLst>
        </xdr:cNvPr>
        <xdr:cNvSpPr/>
      </xdr:nvSpPr>
      <xdr:spPr>
        <a:xfrm rot="16200000" flipH="1">
          <a:off x="6612468" y="130784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0</xdr:colOff>
      <xdr:row>31</xdr:row>
      <xdr:rowOff>136072</xdr:rowOff>
    </xdr:from>
    <xdr:to>
      <xdr:col>118</xdr:col>
      <xdr:colOff>55717</xdr:colOff>
      <xdr:row>33</xdr:row>
      <xdr:rowOff>82778</xdr:rowOff>
    </xdr:to>
    <xdr:sp macro="" textlink="">
      <xdr:nvSpPr>
        <xdr:cNvPr id="13" name="Freccia curva 66">
          <a:extLst>
            <a:ext uri="{FF2B5EF4-FFF2-40B4-BE49-F238E27FC236}">
              <a16:creationId xmlns:a16="http://schemas.microsoft.com/office/drawing/2014/main" id="{00000000-0008-0000-1D00-00000D000000}"/>
            </a:ext>
          </a:extLst>
        </xdr:cNvPr>
        <xdr:cNvSpPr/>
      </xdr:nvSpPr>
      <xdr:spPr>
        <a:xfrm rot="16200000" flipH="1">
          <a:off x="6612468" y="130784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117200</xdr:colOff>
      <xdr:row>25</xdr:row>
      <xdr:rowOff>48453</xdr:rowOff>
    </xdr:from>
    <xdr:to>
      <xdr:col>118</xdr:col>
      <xdr:colOff>16564</xdr:colOff>
      <xdr:row>27</xdr:row>
      <xdr:rowOff>81385</xdr:rowOff>
    </xdr:to>
    <xdr:sp macro="" textlink="">
      <xdr:nvSpPr>
        <xdr:cNvPr id="14" name="Freccia curva 7">
          <a:extLst>
            <a:ext uri="{FF2B5EF4-FFF2-40B4-BE49-F238E27FC236}">
              <a16:creationId xmlns:a16="http://schemas.microsoft.com/office/drawing/2014/main" id="{00000000-0008-0000-1D00-00000E000000}"/>
            </a:ext>
          </a:extLst>
        </xdr:cNvPr>
        <xdr:cNvSpPr/>
      </xdr:nvSpPr>
      <xdr:spPr>
        <a:xfrm rot="16200000">
          <a:off x="6551229" y="123119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12087</xdr:colOff>
      <xdr:row>31</xdr:row>
      <xdr:rowOff>34693</xdr:rowOff>
    </xdr:from>
    <xdr:ext cx="963800" cy="311715"/>
    <xdr:sp macro="" textlink="">
      <xdr:nvSpPr>
        <xdr:cNvPr id="15" name="Rectangle 14">
          <a:extLst>
            <a:ext uri="{FF2B5EF4-FFF2-40B4-BE49-F238E27FC236}">
              <a16:creationId xmlns:a16="http://schemas.microsoft.com/office/drawing/2014/main" id="{00000000-0008-0000-1D00-00000F000000}"/>
            </a:ext>
          </a:extLst>
        </xdr:cNvPr>
        <xdr:cNvSpPr/>
      </xdr:nvSpPr>
      <xdr:spPr>
        <a:xfrm>
          <a:off x="4841262" y="1303631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76</xdr:col>
      <xdr:colOff>12087</xdr:colOff>
      <xdr:row>31</xdr:row>
      <xdr:rowOff>34693</xdr:rowOff>
    </xdr:from>
    <xdr:ext cx="963800" cy="311715"/>
    <xdr:sp macro="" textlink="">
      <xdr:nvSpPr>
        <xdr:cNvPr id="16" name="Rectangle 15">
          <a:extLst>
            <a:ext uri="{FF2B5EF4-FFF2-40B4-BE49-F238E27FC236}">
              <a16:creationId xmlns:a16="http://schemas.microsoft.com/office/drawing/2014/main" id="{00000000-0008-0000-1D00-000010000000}"/>
            </a:ext>
          </a:extLst>
        </xdr:cNvPr>
        <xdr:cNvSpPr/>
      </xdr:nvSpPr>
      <xdr:spPr>
        <a:xfrm>
          <a:off x="1621812" y="1303631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67</xdr:col>
      <xdr:colOff>58937</xdr:colOff>
      <xdr:row>38</xdr:row>
      <xdr:rowOff>6397</xdr:rowOff>
    </xdr:from>
    <xdr:to>
      <xdr:col>70</xdr:col>
      <xdr:colOff>5058</xdr:colOff>
      <xdr:row>39</xdr:row>
      <xdr:rowOff>9918</xdr:rowOff>
    </xdr:to>
    <xdr:sp macro="" textlink="">
      <xdr:nvSpPr>
        <xdr:cNvPr id="17" name="Freccia in giù 9">
          <a:extLst>
            <a:ext uri="{FF2B5EF4-FFF2-40B4-BE49-F238E27FC236}">
              <a16:creationId xmlns:a16="http://schemas.microsoft.com/office/drawing/2014/main" id="{00000000-0008-0000-1D00-000011000000}"/>
            </a:ext>
          </a:extLst>
        </xdr:cNvPr>
        <xdr:cNvSpPr/>
      </xdr:nvSpPr>
      <xdr:spPr>
        <a:xfrm rot="16200000">
          <a:off x="649362" y="137796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115</xdr:col>
      <xdr:colOff>97574</xdr:colOff>
      <xdr:row>29</xdr:row>
      <xdr:rowOff>4645</xdr:rowOff>
    </xdr:from>
    <xdr:to>
      <xdr:col>118</xdr:col>
      <xdr:colOff>43694</xdr:colOff>
      <xdr:row>30</xdr:row>
      <xdr:rowOff>8166</xdr:rowOff>
    </xdr:to>
    <xdr:sp macro="" textlink="">
      <xdr:nvSpPr>
        <xdr:cNvPr id="18" name="Freccia in giù 9">
          <a:extLst>
            <a:ext uri="{FF2B5EF4-FFF2-40B4-BE49-F238E27FC236}">
              <a16:creationId xmlns:a16="http://schemas.microsoft.com/office/drawing/2014/main" id="{00000000-0008-0000-1D00-000012000000}"/>
            </a:ext>
          </a:extLst>
        </xdr:cNvPr>
        <xdr:cNvSpPr/>
      </xdr:nvSpPr>
      <xdr:spPr>
        <a:xfrm rot="5400000">
          <a:off x="6631599" y="126634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0</xdr:colOff>
      <xdr:row>37</xdr:row>
      <xdr:rowOff>136072</xdr:rowOff>
    </xdr:from>
    <xdr:to>
      <xdr:col>92</xdr:col>
      <xdr:colOff>55717</xdr:colOff>
      <xdr:row>39</xdr:row>
      <xdr:rowOff>82778</xdr:rowOff>
    </xdr:to>
    <xdr:sp macro="" textlink="">
      <xdr:nvSpPr>
        <xdr:cNvPr id="19" name="Freccia curva 66">
          <a:extLst>
            <a:ext uri="{FF2B5EF4-FFF2-40B4-BE49-F238E27FC236}">
              <a16:creationId xmlns:a16="http://schemas.microsoft.com/office/drawing/2014/main" id="{00000000-0008-0000-1D00-000013000000}"/>
            </a:ext>
          </a:extLst>
        </xdr:cNvPr>
        <xdr:cNvSpPr/>
      </xdr:nvSpPr>
      <xdr:spPr>
        <a:xfrm rot="16200000" flipH="1">
          <a:off x="3393018" y="138213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0</xdr:colOff>
      <xdr:row>37</xdr:row>
      <xdr:rowOff>136072</xdr:rowOff>
    </xdr:from>
    <xdr:to>
      <xdr:col>92</xdr:col>
      <xdr:colOff>55717</xdr:colOff>
      <xdr:row>39</xdr:row>
      <xdr:rowOff>82778</xdr:rowOff>
    </xdr:to>
    <xdr:sp macro="" textlink="">
      <xdr:nvSpPr>
        <xdr:cNvPr id="20" name="Freccia curva 66">
          <a:extLst>
            <a:ext uri="{FF2B5EF4-FFF2-40B4-BE49-F238E27FC236}">
              <a16:creationId xmlns:a16="http://schemas.microsoft.com/office/drawing/2014/main" id="{00000000-0008-0000-1D00-000014000000}"/>
            </a:ext>
          </a:extLst>
        </xdr:cNvPr>
        <xdr:cNvSpPr/>
      </xdr:nvSpPr>
      <xdr:spPr>
        <a:xfrm rot="16200000" flipH="1">
          <a:off x="3393018" y="138213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0</xdr:colOff>
      <xdr:row>37</xdr:row>
      <xdr:rowOff>136072</xdr:rowOff>
    </xdr:from>
    <xdr:to>
      <xdr:col>92</xdr:col>
      <xdr:colOff>55717</xdr:colOff>
      <xdr:row>39</xdr:row>
      <xdr:rowOff>82778</xdr:rowOff>
    </xdr:to>
    <xdr:sp macro="" textlink="">
      <xdr:nvSpPr>
        <xdr:cNvPr id="21" name="Freccia curva 66">
          <a:extLst>
            <a:ext uri="{FF2B5EF4-FFF2-40B4-BE49-F238E27FC236}">
              <a16:creationId xmlns:a16="http://schemas.microsoft.com/office/drawing/2014/main" id="{00000000-0008-0000-1D00-000015000000}"/>
            </a:ext>
          </a:extLst>
        </xdr:cNvPr>
        <xdr:cNvSpPr/>
      </xdr:nvSpPr>
      <xdr:spPr>
        <a:xfrm rot="16200000" flipH="1">
          <a:off x="3393018" y="138213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0</xdr:colOff>
      <xdr:row>37</xdr:row>
      <xdr:rowOff>136072</xdr:rowOff>
    </xdr:from>
    <xdr:to>
      <xdr:col>92</xdr:col>
      <xdr:colOff>55717</xdr:colOff>
      <xdr:row>39</xdr:row>
      <xdr:rowOff>82778</xdr:rowOff>
    </xdr:to>
    <xdr:sp macro="" textlink="">
      <xdr:nvSpPr>
        <xdr:cNvPr id="22" name="Freccia curva 66">
          <a:extLst>
            <a:ext uri="{FF2B5EF4-FFF2-40B4-BE49-F238E27FC236}">
              <a16:creationId xmlns:a16="http://schemas.microsoft.com/office/drawing/2014/main" id="{00000000-0008-0000-1D00-000016000000}"/>
            </a:ext>
          </a:extLst>
        </xdr:cNvPr>
        <xdr:cNvSpPr/>
      </xdr:nvSpPr>
      <xdr:spPr>
        <a:xfrm rot="16200000" flipH="1">
          <a:off x="3393018" y="138213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51289</xdr:colOff>
      <xdr:row>28</xdr:row>
      <xdr:rowOff>58615</xdr:rowOff>
    </xdr:from>
    <xdr:to>
      <xdr:col>95</xdr:col>
      <xdr:colOff>116943</xdr:colOff>
      <xdr:row>30</xdr:row>
      <xdr:rowOff>63358</xdr:rowOff>
    </xdr:to>
    <xdr:sp macro="" textlink="">
      <xdr:nvSpPr>
        <xdr:cNvPr id="23" name="Freccia curva 8">
          <a:extLst>
            <a:ext uri="{FF2B5EF4-FFF2-40B4-BE49-F238E27FC236}">
              <a16:creationId xmlns:a16="http://schemas.microsoft.com/office/drawing/2014/main" id="{00000000-0008-0000-1D00-000017000000}"/>
            </a:ext>
          </a:extLst>
        </xdr:cNvPr>
        <xdr:cNvSpPr/>
      </xdr:nvSpPr>
      <xdr:spPr>
        <a:xfrm rot="5400000" flipH="1">
          <a:off x="3796494" y="126583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xdr:col>
      <xdr:colOff>6569</xdr:colOff>
      <xdr:row>44</xdr:row>
      <xdr:rowOff>61917</xdr:rowOff>
    </xdr:from>
    <xdr:to>
      <xdr:col>16</xdr:col>
      <xdr:colOff>91047</xdr:colOff>
      <xdr:row>62</xdr:row>
      <xdr:rowOff>117389</xdr:rowOff>
    </xdr:to>
    <xdr:cxnSp macro="">
      <xdr:nvCxnSpPr>
        <xdr:cNvPr id="26" name="Straight Connector 25">
          <a:extLst>
            <a:ext uri="{FF2B5EF4-FFF2-40B4-BE49-F238E27FC236}">
              <a16:creationId xmlns:a16="http://schemas.microsoft.com/office/drawing/2014/main" id="{00000000-0008-0000-1D00-00001A000000}"/>
            </a:ext>
          </a:extLst>
        </xdr:cNvPr>
        <xdr:cNvCxnSpPr/>
      </xdr:nvCxnSpPr>
      <xdr:spPr>
        <a:xfrm rot="5400000">
          <a:off x="-1919" y="5851094"/>
          <a:ext cx="2302058" cy="170701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47</xdr:col>
      <xdr:colOff>117652</xdr:colOff>
      <xdr:row>24</xdr:row>
      <xdr:rowOff>6569</xdr:rowOff>
    </xdr:from>
    <xdr:to>
      <xdr:col>57</xdr:col>
      <xdr:colOff>111673</xdr:colOff>
      <xdr:row>40</xdr:row>
      <xdr:rowOff>112445</xdr:rowOff>
    </xdr:to>
    <xdr:cxnSp macro="">
      <xdr:nvCxnSpPr>
        <xdr:cNvPr id="27" name="Straight Connector 26">
          <a:extLst>
            <a:ext uri="{FF2B5EF4-FFF2-40B4-BE49-F238E27FC236}">
              <a16:creationId xmlns:a16="http://schemas.microsoft.com/office/drawing/2014/main" id="{00000000-0008-0000-1D00-00001B000000}"/>
            </a:ext>
          </a:extLst>
        </xdr:cNvPr>
        <xdr:cNvCxnSpPr/>
      </xdr:nvCxnSpPr>
      <xdr:spPr>
        <a:xfrm rot="5400000" flipH="1" flipV="1">
          <a:off x="5467983" y="3432376"/>
          <a:ext cx="2102842" cy="124212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112</xdr:col>
      <xdr:colOff>85725</xdr:colOff>
      <xdr:row>68</xdr:row>
      <xdr:rowOff>9525</xdr:rowOff>
    </xdr:from>
    <xdr:to>
      <xdr:col>122</xdr:col>
      <xdr:colOff>28574</xdr:colOff>
      <xdr:row>71</xdr:row>
      <xdr:rowOff>114300</xdr:rowOff>
    </xdr:to>
    <xdr:sp macro="" textlink="">
      <xdr:nvSpPr>
        <xdr:cNvPr id="28" name="Right Arrow 27">
          <a:hlinkClick xmlns:r="http://schemas.openxmlformats.org/officeDocument/2006/relationships" r:id="rId2"/>
          <a:extLst>
            <a:ext uri="{FF2B5EF4-FFF2-40B4-BE49-F238E27FC236}">
              <a16:creationId xmlns:a16="http://schemas.microsoft.com/office/drawing/2014/main" id="{00000000-0008-0000-1D00-00001C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55321</xdr:colOff>
      <xdr:row>23</xdr:row>
      <xdr:rowOff>34373</xdr:rowOff>
    </xdr:from>
    <xdr:to>
      <xdr:col>30</xdr:col>
      <xdr:colOff>72058</xdr:colOff>
      <xdr:row>26</xdr:row>
      <xdr:rowOff>76853</xdr:rowOff>
    </xdr:to>
    <xdr:sp macro="" textlink="">
      <xdr:nvSpPr>
        <xdr:cNvPr id="2" name="Freccia in giù 9">
          <a:extLst>
            <a:ext uri="{FF2B5EF4-FFF2-40B4-BE49-F238E27FC236}">
              <a16:creationId xmlns:a16="http://schemas.microsoft.com/office/drawing/2014/main" id="{00000000-0008-0000-0200-000002000000}"/>
            </a:ext>
          </a:extLst>
        </xdr:cNvPr>
        <xdr:cNvSpPr/>
      </xdr:nvSpPr>
      <xdr:spPr>
        <a:xfrm rot="10800000">
          <a:off x="3522421" y="2510873"/>
          <a:ext cx="140562" cy="4139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xdr:col>
      <xdr:colOff>112643</xdr:colOff>
      <xdr:row>23</xdr:row>
      <xdr:rowOff>40791</xdr:rowOff>
    </xdr:from>
    <xdr:to>
      <xdr:col>15</xdr:col>
      <xdr:colOff>13666</xdr:colOff>
      <xdr:row>26</xdr:row>
      <xdr:rowOff>72059</xdr:rowOff>
    </xdr:to>
    <xdr:sp macro="" textlink="">
      <xdr:nvSpPr>
        <xdr:cNvPr id="3" name="Freccia a inversione 13">
          <a:extLst>
            <a:ext uri="{FF2B5EF4-FFF2-40B4-BE49-F238E27FC236}">
              <a16:creationId xmlns:a16="http://schemas.microsoft.com/office/drawing/2014/main" id="{00000000-0008-0000-0200-000003000000}"/>
            </a:ext>
          </a:extLst>
        </xdr:cNvPr>
        <xdr:cNvSpPr/>
      </xdr:nvSpPr>
      <xdr:spPr>
        <a:xfrm rot="10800000" flipV="1">
          <a:off x="1474718" y="2517291"/>
          <a:ext cx="272498" cy="402743"/>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20</xdr:col>
      <xdr:colOff>117363</xdr:colOff>
      <xdr:row>23</xdr:row>
      <xdr:rowOff>27686</xdr:rowOff>
    </xdr:from>
    <xdr:to>
      <xdr:col>23</xdr:col>
      <xdr:colOff>20706</xdr:colOff>
      <xdr:row>26</xdr:row>
      <xdr:rowOff>82825</xdr:rowOff>
    </xdr:to>
    <xdr:sp macro="" textlink="">
      <xdr:nvSpPr>
        <xdr:cNvPr id="4" name="Freccia curva 8">
          <a:extLst>
            <a:ext uri="{FF2B5EF4-FFF2-40B4-BE49-F238E27FC236}">
              <a16:creationId xmlns:a16="http://schemas.microsoft.com/office/drawing/2014/main" id="{00000000-0008-0000-0200-000004000000}"/>
            </a:ext>
          </a:extLst>
        </xdr:cNvPr>
        <xdr:cNvSpPr/>
      </xdr:nvSpPr>
      <xdr:spPr>
        <a:xfrm flipH="1">
          <a:off x="2470038" y="2504186"/>
          <a:ext cx="274818" cy="42661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36</xdr:col>
      <xdr:colOff>104438</xdr:colOff>
      <xdr:row>23</xdr:row>
      <xdr:rowOff>23727</xdr:rowOff>
    </xdr:from>
    <xdr:to>
      <xdr:col>39</xdr:col>
      <xdr:colOff>13544</xdr:colOff>
      <xdr:row>26</xdr:row>
      <xdr:rowOff>55493</xdr:rowOff>
    </xdr:to>
    <xdr:sp macro="" textlink="">
      <xdr:nvSpPr>
        <xdr:cNvPr id="5" name="Freccia curva 7">
          <a:extLst>
            <a:ext uri="{FF2B5EF4-FFF2-40B4-BE49-F238E27FC236}">
              <a16:creationId xmlns:a16="http://schemas.microsoft.com/office/drawing/2014/main" id="{00000000-0008-0000-0200-000005000000}"/>
            </a:ext>
          </a:extLst>
        </xdr:cNvPr>
        <xdr:cNvSpPr/>
      </xdr:nvSpPr>
      <xdr:spPr>
        <a:xfrm>
          <a:off x="4438313" y="2500227"/>
          <a:ext cx="280581" cy="403241"/>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37</xdr:col>
      <xdr:colOff>36271</xdr:colOff>
      <xdr:row>51</xdr:row>
      <xdr:rowOff>15323</xdr:rowOff>
    </xdr:from>
    <xdr:to>
      <xdr:col>38</xdr:col>
      <xdr:colOff>53008</xdr:colOff>
      <xdr:row>54</xdr:row>
      <xdr:rowOff>57803</xdr:rowOff>
    </xdr:to>
    <xdr:sp macro="" textlink="">
      <xdr:nvSpPr>
        <xdr:cNvPr id="10" name="Freccia in giù 9">
          <a:extLst>
            <a:ext uri="{FF2B5EF4-FFF2-40B4-BE49-F238E27FC236}">
              <a16:creationId xmlns:a16="http://schemas.microsoft.com/office/drawing/2014/main" id="{00000000-0008-0000-0200-00000A000000}"/>
            </a:ext>
          </a:extLst>
        </xdr:cNvPr>
        <xdr:cNvSpPr/>
      </xdr:nvSpPr>
      <xdr:spPr>
        <a:xfrm rot="10800000">
          <a:off x="4246321" y="6082748"/>
          <a:ext cx="140562" cy="41395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20</xdr:col>
      <xdr:colOff>45968</xdr:colOff>
      <xdr:row>51</xdr:row>
      <xdr:rowOff>40791</xdr:rowOff>
    </xdr:from>
    <xdr:to>
      <xdr:col>22</xdr:col>
      <xdr:colOff>70816</xdr:colOff>
      <xdr:row>54</xdr:row>
      <xdr:rowOff>72059</xdr:rowOff>
    </xdr:to>
    <xdr:sp macro="" textlink="">
      <xdr:nvSpPr>
        <xdr:cNvPr id="11" name="Freccia a inversione 13">
          <a:extLst>
            <a:ext uri="{FF2B5EF4-FFF2-40B4-BE49-F238E27FC236}">
              <a16:creationId xmlns:a16="http://schemas.microsoft.com/office/drawing/2014/main" id="{00000000-0008-0000-0200-00000B000000}"/>
            </a:ext>
          </a:extLst>
        </xdr:cNvPr>
        <xdr:cNvSpPr/>
      </xdr:nvSpPr>
      <xdr:spPr>
        <a:xfrm rot="10800000" flipV="1">
          <a:off x="2150993" y="6108216"/>
          <a:ext cx="272498" cy="402743"/>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79263</xdr:colOff>
      <xdr:row>51</xdr:row>
      <xdr:rowOff>18161</xdr:rowOff>
    </xdr:from>
    <xdr:to>
      <xdr:col>30</xdr:col>
      <xdr:colOff>106431</xdr:colOff>
      <xdr:row>54</xdr:row>
      <xdr:rowOff>73300</xdr:rowOff>
    </xdr:to>
    <xdr:sp macro="" textlink="">
      <xdr:nvSpPr>
        <xdr:cNvPr id="12" name="Freccia curva 8">
          <a:extLst>
            <a:ext uri="{FF2B5EF4-FFF2-40B4-BE49-F238E27FC236}">
              <a16:creationId xmlns:a16="http://schemas.microsoft.com/office/drawing/2014/main" id="{00000000-0008-0000-0200-00000C000000}"/>
            </a:ext>
          </a:extLst>
        </xdr:cNvPr>
        <xdr:cNvSpPr/>
      </xdr:nvSpPr>
      <xdr:spPr>
        <a:xfrm flipH="1">
          <a:off x="3174888" y="6085586"/>
          <a:ext cx="274818" cy="42661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45</xdr:col>
      <xdr:colOff>9188</xdr:colOff>
      <xdr:row>51</xdr:row>
      <xdr:rowOff>33252</xdr:rowOff>
    </xdr:from>
    <xdr:to>
      <xdr:col>47</xdr:col>
      <xdr:colOff>42119</xdr:colOff>
      <xdr:row>54</xdr:row>
      <xdr:rowOff>65018</xdr:rowOff>
    </xdr:to>
    <xdr:sp macro="" textlink="">
      <xdr:nvSpPr>
        <xdr:cNvPr id="13" name="Freccia curva 7">
          <a:extLst>
            <a:ext uri="{FF2B5EF4-FFF2-40B4-BE49-F238E27FC236}">
              <a16:creationId xmlns:a16="http://schemas.microsoft.com/office/drawing/2014/main" id="{00000000-0008-0000-0200-00000D000000}"/>
            </a:ext>
          </a:extLst>
        </xdr:cNvPr>
        <xdr:cNvSpPr/>
      </xdr:nvSpPr>
      <xdr:spPr>
        <a:xfrm>
          <a:off x="5209838" y="6100677"/>
          <a:ext cx="280581" cy="403241"/>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95250</xdr:colOff>
      <xdr:row>14</xdr:row>
      <xdr:rowOff>85911</xdr:rowOff>
    </xdr:from>
    <xdr:to>
      <xdr:col>25</xdr:col>
      <xdr:colOff>76200</xdr:colOff>
      <xdr:row>71</xdr:row>
      <xdr:rowOff>57150</xdr:rowOff>
    </xdr:to>
    <xdr:pic>
      <xdr:nvPicPr>
        <xdr:cNvPr id="39" name="Picture 38" descr="DLT-Model.jpg">
          <a:extLst>
            <a:ext uri="{FF2B5EF4-FFF2-40B4-BE49-F238E27FC236}">
              <a16:creationId xmlns:a16="http://schemas.microsoft.com/office/drawing/2014/main" id="{00000000-0008-0000-1E00-000027000000}"/>
            </a:ext>
          </a:extLst>
        </xdr:cNvPr>
        <xdr:cNvPicPr>
          <a:picLocks noChangeAspect="1"/>
        </xdr:cNvPicPr>
      </xdr:nvPicPr>
      <xdr:blipFill>
        <a:blip xmlns:r="http://schemas.openxmlformats.org/officeDocument/2006/relationships" r:embed="rId1" cstate="print"/>
        <a:srcRect b="474"/>
        <a:stretch>
          <a:fillRect/>
        </a:stretch>
      </xdr:blipFill>
      <xdr:spPr>
        <a:xfrm>
          <a:off x="876300" y="1819461"/>
          <a:ext cx="2209800" cy="7029264"/>
        </a:xfrm>
        <a:prstGeom prst="rect">
          <a:avLst/>
        </a:prstGeom>
      </xdr:spPr>
    </xdr:pic>
    <xdr:clientData/>
  </xdr:twoCellAnchor>
  <xdr:oneCellAnchor>
    <xdr:from>
      <xdr:col>40</xdr:col>
      <xdr:colOff>114328</xdr:colOff>
      <xdr:row>29</xdr:row>
      <xdr:rowOff>59710</xdr:rowOff>
    </xdr:from>
    <xdr:ext cx="1235761" cy="313954"/>
    <xdr:sp macro="" textlink="">
      <xdr:nvSpPr>
        <xdr:cNvPr id="2" name="Rectangle 1">
          <a:extLst>
            <a:ext uri="{FF2B5EF4-FFF2-40B4-BE49-F238E27FC236}">
              <a16:creationId xmlns:a16="http://schemas.microsoft.com/office/drawing/2014/main" id="{00000000-0008-0000-1E00-000002000000}"/>
            </a:ext>
          </a:extLst>
        </xdr:cNvPr>
        <xdr:cNvSpPr/>
      </xdr:nvSpPr>
      <xdr:spPr>
        <a:xfrm>
          <a:off x="4943503" y="365063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40</xdr:col>
      <xdr:colOff>114300</xdr:colOff>
      <xdr:row>14</xdr:row>
      <xdr:rowOff>57150</xdr:rowOff>
    </xdr:from>
    <xdr:ext cx="1235761" cy="313954"/>
    <xdr:sp macro="" textlink="">
      <xdr:nvSpPr>
        <xdr:cNvPr id="3" name="Rectangle 2">
          <a:extLst>
            <a:ext uri="{FF2B5EF4-FFF2-40B4-BE49-F238E27FC236}">
              <a16:creationId xmlns:a16="http://schemas.microsoft.com/office/drawing/2014/main" id="{00000000-0008-0000-1E00-000003000000}"/>
            </a:ext>
          </a:extLst>
        </xdr:cNvPr>
        <xdr:cNvSpPr/>
      </xdr:nvSpPr>
      <xdr:spPr>
        <a:xfrm>
          <a:off x="4943475" y="179070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40</xdr:col>
      <xdr:colOff>114300</xdr:colOff>
      <xdr:row>60</xdr:row>
      <xdr:rowOff>28575</xdr:rowOff>
    </xdr:from>
    <xdr:ext cx="1235761" cy="313954"/>
    <xdr:sp macro="" textlink="">
      <xdr:nvSpPr>
        <xdr:cNvPr id="4" name="Rectangle 3">
          <a:extLst>
            <a:ext uri="{FF2B5EF4-FFF2-40B4-BE49-F238E27FC236}">
              <a16:creationId xmlns:a16="http://schemas.microsoft.com/office/drawing/2014/main" id="{00000000-0008-0000-1E00-000004000000}"/>
            </a:ext>
          </a:extLst>
        </xdr:cNvPr>
        <xdr:cNvSpPr/>
      </xdr:nvSpPr>
      <xdr:spPr>
        <a:xfrm>
          <a:off x="4943475" y="745807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40</xdr:col>
      <xdr:colOff>114300</xdr:colOff>
      <xdr:row>46</xdr:row>
      <xdr:rowOff>38100</xdr:rowOff>
    </xdr:from>
    <xdr:ext cx="1235761" cy="313954"/>
    <xdr:sp macro="" textlink="">
      <xdr:nvSpPr>
        <xdr:cNvPr id="5" name="Rectangle 4">
          <a:extLst>
            <a:ext uri="{FF2B5EF4-FFF2-40B4-BE49-F238E27FC236}">
              <a16:creationId xmlns:a16="http://schemas.microsoft.com/office/drawing/2014/main" id="{00000000-0008-0000-1E00-000005000000}"/>
            </a:ext>
          </a:extLst>
        </xdr:cNvPr>
        <xdr:cNvSpPr/>
      </xdr:nvSpPr>
      <xdr:spPr>
        <a:xfrm>
          <a:off x="4943475" y="57340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17</xdr:col>
      <xdr:colOff>79863</xdr:colOff>
      <xdr:row>49</xdr:row>
      <xdr:rowOff>0</xdr:rowOff>
    </xdr:from>
    <xdr:to>
      <xdr:col>41</xdr:col>
      <xdr:colOff>0</xdr:colOff>
      <xdr:row>50</xdr:row>
      <xdr:rowOff>35808</xdr:rowOff>
    </xdr:to>
    <xdr:cxnSp macro="">
      <xdr:nvCxnSpPr>
        <xdr:cNvPr id="6" name="Straight Connector 5">
          <a:extLst>
            <a:ext uri="{FF2B5EF4-FFF2-40B4-BE49-F238E27FC236}">
              <a16:creationId xmlns:a16="http://schemas.microsoft.com/office/drawing/2014/main" id="{00000000-0008-0000-1E00-000006000000}"/>
            </a:ext>
          </a:extLst>
        </xdr:cNvPr>
        <xdr:cNvCxnSpPr>
          <a:stCxn id="7" idx="6"/>
        </xdr:cNvCxnSpPr>
      </xdr:nvCxnSpPr>
      <xdr:spPr>
        <a:xfrm flipV="1">
          <a:off x="2099163" y="6067425"/>
          <a:ext cx="2891937" cy="15963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28575</xdr:colOff>
      <xdr:row>49</xdr:row>
      <xdr:rowOff>68413</xdr:rowOff>
    </xdr:from>
    <xdr:to>
      <xdr:col>17</xdr:col>
      <xdr:colOff>79863</xdr:colOff>
      <xdr:row>51</xdr:row>
      <xdr:rowOff>3203</xdr:rowOff>
    </xdr:to>
    <xdr:sp macro="" textlink="">
      <xdr:nvSpPr>
        <xdr:cNvPr id="7" name="Oval 6">
          <a:extLst>
            <a:ext uri="{FF2B5EF4-FFF2-40B4-BE49-F238E27FC236}">
              <a16:creationId xmlns:a16="http://schemas.microsoft.com/office/drawing/2014/main" id="{00000000-0008-0000-1E00-000007000000}"/>
            </a:ext>
          </a:extLst>
        </xdr:cNvPr>
        <xdr:cNvSpPr/>
      </xdr:nvSpPr>
      <xdr:spPr>
        <a:xfrm>
          <a:off x="1924050" y="613583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117963</xdr:colOff>
      <xdr:row>63</xdr:row>
      <xdr:rowOff>0</xdr:rowOff>
    </xdr:from>
    <xdr:to>
      <xdr:col>40</xdr:col>
      <xdr:colOff>104775</xdr:colOff>
      <xdr:row>67</xdr:row>
      <xdr:rowOff>45333</xdr:rowOff>
    </xdr:to>
    <xdr:cxnSp macro="">
      <xdr:nvCxnSpPr>
        <xdr:cNvPr id="8" name="Straight Connector 7">
          <a:extLst>
            <a:ext uri="{FF2B5EF4-FFF2-40B4-BE49-F238E27FC236}">
              <a16:creationId xmlns:a16="http://schemas.microsoft.com/office/drawing/2014/main" id="{00000000-0008-0000-1E00-000008000000}"/>
            </a:ext>
          </a:extLst>
        </xdr:cNvPr>
        <xdr:cNvCxnSpPr>
          <a:stCxn id="9" idx="6"/>
        </xdr:cNvCxnSpPr>
      </xdr:nvCxnSpPr>
      <xdr:spPr>
        <a:xfrm flipV="1">
          <a:off x="2013438" y="7800975"/>
          <a:ext cx="2958612" cy="54063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66675</xdr:colOff>
      <xdr:row>66</xdr:row>
      <xdr:rowOff>77938</xdr:rowOff>
    </xdr:from>
    <xdr:to>
      <xdr:col>16</xdr:col>
      <xdr:colOff>117963</xdr:colOff>
      <xdr:row>68</xdr:row>
      <xdr:rowOff>12728</xdr:rowOff>
    </xdr:to>
    <xdr:sp macro="" textlink="">
      <xdr:nvSpPr>
        <xdr:cNvPr id="9" name="Oval 8">
          <a:extLst>
            <a:ext uri="{FF2B5EF4-FFF2-40B4-BE49-F238E27FC236}">
              <a16:creationId xmlns:a16="http://schemas.microsoft.com/office/drawing/2014/main" id="{00000000-0008-0000-1E00-000009000000}"/>
            </a:ext>
          </a:extLst>
        </xdr:cNvPr>
        <xdr:cNvSpPr/>
      </xdr:nvSpPr>
      <xdr:spPr>
        <a:xfrm>
          <a:off x="1838325" y="825038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30577</xdr:colOff>
      <xdr:row>31</xdr:row>
      <xdr:rowOff>114300</xdr:rowOff>
    </xdr:from>
    <xdr:to>
      <xdr:col>40</xdr:col>
      <xdr:colOff>104775</xdr:colOff>
      <xdr:row>35</xdr:row>
      <xdr:rowOff>68109</xdr:rowOff>
    </xdr:to>
    <xdr:cxnSp macro="">
      <xdr:nvCxnSpPr>
        <xdr:cNvPr id="10" name="Straight Connector 9">
          <a:extLst>
            <a:ext uri="{FF2B5EF4-FFF2-40B4-BE49-F238E27FC236}">
              <a16:creationId xmlns:a16="http://schemas.microsoft.com/office/drawing/2014/main" id="{00000000-0008-0000-1E00-00000A000000}"/>
            </a:ext>
          </a:extLst>
        </xdr:cNvPr>
        <xdr:cNvCxnSpPr>
          <a:stCxn id="11" idx="6"/>
        </xdr:cNvCxnSpPr>
      </xdr:nvCxnSpPr>
      <xdr:spPr>
        <a:xfrm flipV="1">
          <a:off x="2173702" y="3952875"/>
          <a:ext cx="2798348" cy="44910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103114</xdr:colOff>
      <xdr:row>34</xdr:row>
      <xdr:rowOff>100714</xdr:rowOff>
    </xdr:from>
    <xdr:to>
      <xdr:col>18</xdr:col>
      <xdr:colOff>30577</xdr:colOff>
      <xdr:row>36</xdr:row>
      <xdr:rowOff>35504</xdr:rowOff>
    </xdr:to>
    <xdr:sp macro="" textlink="">
      <xdr:nvSpPr>
        <xdr:cNvPr id="11" name="Oval 10">
          <a:extLst>
            <a:ext uri="{FF2B5EF4-FFF2-40B4-BE49-F238E27FC236}">
              <a16:creationId xmlns:a16="http://schemas.microsoft.com/office/drawing/2014/main" id="{00000000-0008-0000-1E00-00000B000000}"/>
            </a:ext>
          </a:extLst>
        </xdr:cNvPr>
        <xdr:cNvSpPr/>
      </xdr:nvSpPr>
      <xdr:spPr>
        <a:xfrm>
          <a:off x="1998589" y="431076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78202</xdr:colOff>
      <xdr:row>16</xdr:row>
      <xdr:rowOff>114300</xdr:rowOff>
    </xdr:from>
    <xdr:to>
      <xdr:col>40</xdr:col>
      <xdr:colOff>114300</xdr:colOff>
      <xdr:row>18</xdr:row>
      <xdr:rowOff>20485</xdr:rowOff>
    </xdr:to>
    <xdr:cxnSp macro="">
      <xdr:nvCxnSpPr>
        <xdr:cNvPr id="12" name="Straight Connector 11">
          <a:extLst>
            <a:ext uri="{FF2B5EF4-FFF2-40B4-BE49-F238E27FC236}">
              <a16:creationId xmlns:a16="http://schemas.microsoft.com/office/drawing/2014/main" id="{00000000-0008-0000-1E00-00000C000000}"/>
            </a:ext>
          </a:extLst>
        </xdr:cNvPr>
        <xdr:cNvCxnSpPr/>
      </xdr:nvCxnSpPr>
      <xdr:spPr>
        <a:xfrm flipV="1">
          <a:off x="2221327" y="2095500"/>
          <a:ext cx="2760248" cy="15383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26914</xdr:colOff>
      <xdr:row>17</xdr:row>
      <xdr:rowOff>24514</xdr:rowOff>
    </xdr:from>
    <xdr:to>
      <xdr:col>18</xdr:col>
      <xdr:colOff>78202</xdr:colOff>
      <xdr:row>18</xdr:row>
      <xdr:rowOff>83129</xdr:rowOff>
    </xdr:to>
    <xdr:sp macro="" textlink="">
      <xdr:nvSpPr>
        <xdr:cNvPr id="13" name="Oval 12">
          <a:extLst>
            <a:ext uri="{FF2B5EF4-FFF2-40B4-BE49-F238E27FC236}">
              <a16:creationId xmlns:a16="http://schemas.microsoft.com/office/drawing/2014/main" id="{00000000-0008-0000-1E00-00000D000000}"/>
            </a:ext>
          </a:extLst>
        </xdr:cNvPr>
        <xdr:cNvSpPr/>
      </xdr:nvSpPr>
      <xdr:spPr>
        <a:xfrm>
          <a:off x="2046214" y="212953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92</xdr:col>
      <xdr:colOff>53688</xdr:colOff>
      <xdr:row>6</xdr:row>
      <xdr:rowOff>62470</xdr:rowOff>
    </xdr:from>
    <xdr:to>
      <xdr:col>94</xdr:col>
      <xdr:colOff>77017</xdr:colOff>
      <xdr:row>8</xdr:row>
      <xdr:rowOff>109538</xdr:rowOff>
    </xdr:to>
    <xdr:sp macro="" textlink="">
      <xdr:nvSpPr>
        <xdr:cNvPr id="14" name="Freccia curva 8">
          <a:extLst>
            <a:ext uri="{FF2B5EF4-FFF2-40B4-BE49-F238E27FC236}">
              <a16:creationId xmlns:a16="http://schemas.microsoft.com/office/drawing/2014/main" id="{00000000-0008-0000-1E00-00000E000000}"/>
            </a:ext>
          </a:extLst>
        </xdr:cNvPr>
        <xdr:cNvSpPr/>
      </xdr:nvSpPr>
      <xdr:spPr>
        <a:xfrm rot="10800000" flipH="1">
          <a:off x="3644613" y="97208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101397</xdr:colOff>
      <xdr:row>6</xdr:row>
      <xdr:rowOff>51932</xdr:rowOff>
    </xdr:from>
    <xdr:to>
      <xdr:col>90</xdr:col>
      <xdr:colOff>114211</xdr:colOff>
      <xdr:row>8</xdr:row>
      <xdr:rowOff>95625</xdr:rowOff>
    </xdr:to>
    <xdr:sp macro="" textlink="">
      <xdr:nvSpPr>
        <xdr:cNvPr id="15" name="Freccia in giù 9">
          <a:extLst>
            <a:ext uri="{FF2B5EF4-FFF2-40B4-BE49-F238E27FC236}">
              <a16:creationId xmlns:a16="http://schemas.microsoft.com/office/drawing/2014/main" id="{00000000-0008-0000-1E00-00000F000000}"/>
            </a:ext>
          </a:extLst>
        </xdr:cNvPr>
        <xdr:cNvSpPr/>
      </xdr:nvSpPr>
      <xdr:spPr>
        <a:xfrm>
          <a:off x="3320847" y="97102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32507</xdr:colOff>
      <xdr:row>6</xdr:row>
      <xdr:rowOff>111530</xdr:rowOff>
    </xdr:from>
    <xdr:to>
      <xdr:col>88</xdr:col>
      <xdr:colOff>65439</xdr:colOff>
      <xdr:row>9</xdr:row>
      <xdr:rowOff>9683</xdr:rowOff>
    </xdr:to>
    <xdr:sp macro="" textlink="">
      <xdr:nvSpPr>
        <xdr:cNvPr id="16" name="Freccia curva 7">
          <a:extLst>
            <a:ext uri="{FF2B5EF4-FFF2-40B4-BE49-F238E27FC236}">
              <a16:creationId xmlns:a16="http://schemas.microsoft.com/office/drawing/2014/main" id="{00000000-0008-0000-1E00-000010000000}"/>
            </a:ext>
          </a:extLst>
        </xdr:cNvPr>
        <xdr:cNvSpPr/>
      </xdr:nvSpPr>
      <xdr:spPr>
        <a:xfrm rot="10800000">
          <a:off x="2880482" y="97698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966</xdr:colOff>
      <xdr:row>68</xdr:row>
      <xdr:rowOff>53683</xdr:rowOff>
    </xdr:from>
    <xdr:to>
      <xdr:col>94</xdr:col>
      <xdr:colOff>13779</xdr:colOff>
      <xdr:row>70</xdr:row>
      <xdr:rowOff>95750</xdr:rowOff>
    </xdr:to>
    <xdr:sp macro="" textlink="">
      <xdr:nvSpPr>
        <xdr:cNvPr id="17" name="Freccia in giù 9">
          <a:extLst>
            <a:ext uri="{FF2B5EF4-FFF2-40B4-BE49-F238E27FC236}">
              <a16:creationId xmlns:a16="http://schemas.microsoft.com/office/drawing/2014/main" id="{00000000-0008-0000-1E00-000011000000}"/>
            </a:ext>
          </a:extLst>
        </xdr:cNvPr>
        <xdr:cNvSpPr/>
      </xdr:nvSpPr>
      <xdr:spPr>
        <a:xfrm rot="10800000">
          <a:off x="3753816" y="178368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36089</xdr:colOff>
      <xdr:row>68</xdr:row>
      <xdr:rowOff>60664</xdr:rowOff>
    </xdr:from>
    <xdr:to>
      <xdr:col>91</xdr:col>
      <xdr:colOff>59418</xdr:colOff>
      <xdr:row>70</xdr:row>
      <xdr:rowOff>98207</xdr:rowOff>
    </xdr:to>
    <xdr:sp macro="" textlink="">
      <xdr:nvSpPr>
        <xdr:cNvPr id="18" name="Freccia curva 8">
          <a:extLst>
            <a:ext uri="{FF2B5EF4-FFF2-40B4-BE49-F238E27FC236}">
              <a16:creationId xmlns:a16="http://schemas.microsoft.com/office/drawing/2014/main" id="{00000000-0008-0000-1E00-000012000000}"/>
            </a:ext>
          </a:extLst>
        </xdr:cNvPr>
        <xdr:cNvSpPr/>
      </xdr:nvSpPr>
      <xdr:spPr>
        <a:xfrm flipH="1">
          <a:off x="3293639" y="17843839"/>
          <a:ext cx="270979" cy="285193"/>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51324</xdr:colOff>
      <xdr:row>68</xdr:row>
      <xdr:rowOff>66228</xdr:rowOff>
    </xdr:from>
    <xdr:to>
      <xdr:col>97</xdr:col>
      <xdr:colOff>84255</xdr:colOff>
      <xdr:row>70</xdr:row>
      <xdr:rowOff>89832</xdr:rowOff>
    </xdr:to>
    <xdr:sp macro="" textlink="">
      <xdr:nvSpPr>
        <xdr:cNvPr id="19" name="Freccia curva 7">
          <a:extLst>
            <a:ext uri="{FF2B5EF4-FFF2-40B4-BE49-F238E27FC236}">
              <a16:creationId xmlns:a16="http://schemas.microsoft.com/office/drawing/2014/main" id="{00000000-0008-0000-1E00-000013000000}"/>
            </a:ext>
          </a:extLst>
        </xdr:cNvPr>
        <xdr:cNvSpPr/>
      </xdr:nvSpPr>
      <xdr:spPr>
        <a:xfrm>
          <a:off x="4051824" y="178494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66020</xdr:colOff>
      <xdr:row>43</xdr:row>
      <xdr:rowOff>58156</xdr:rowOff>
    </xdr:from>
    <xdr:to>
      <xdr:col>82</xdr:col>
      <xdr:colOff>24702</xdr:colOff>
      <xdr:row>45</xdr:row>
      <xdr:rowOff>69436</xdr:rowOff>
    </xdr:to>
    <xdr:sp macro="" textlink="">
      <xdr:nvSpPr>
        <xdr:cNvPr id="20" name="Freccia a inversione 13">
          <a:extLst>
            <a:ext uri="{FF2B5EF4-FFF2-40B4-BE49-F238E27FC236}">
              <a16:creationId xmlns:a16="http://schemas.microsoft.com/office/drawing/2014/main" id="{00000000-0008-0000-1E00-000014000000}"/>
            </a:ext>
          </a:extLst>
        </xdr:cNvPr>
        <xdr:cNvSpPr/>
      </xdr:nvSpPr>
      <xdr:spPr>
        <a:xfrm rot="16200000" flipV="1">
          <a:off x="2082834" y="1451006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51289</xdr:colOff>
      <xdr:row>46</xdr:row>
      <xdr:rowOff>58615</xdr:rowOff>
    </xdr:from>
    <xdr:to>
      <xdr:col>81</xdr:col>
      <xdr:colOff>116943</xdr:colOff>
      <xdr:row>48</xdr:row>
      <xdr:rowOff>63358</xdr:rowOff>
    </xdr:to>
    <xdr:sp macro="" textlink="">
      <xdr:nvSpPr>
        <xdr:cNvPr id="21" name="Freccia curva 8">
          <a:extLst>
            <a:ext uri="{FF2B5EF4-FFF2-40B4-BE49-F238E27FC236}">
              <a16:creationId xmlns:a16="http://schemas.microsoft.com/office/drawing/2014/main" id="{00000000-0008-0000-1E00-000015000000}"/>
            </a:ext>
          </a:extLst>
        </xdr:cNvPr>
        <xdr:cNvSpPr/>
      </xdr:nvSpPr>
      <xdr:spPr>
        <a:xfrm rot="5400000" flipH="1">
          <a:off x="2062944" y="148871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73270</xdr:colOff>
      <xdr:row>61</xdr:row>
      <xdr:rowOff>80596</xdr:rowOff>
    </xdr:from>
    <xdr:to>
      <xdr:col>81</xdr:col>
      <xdr:colOff>134510</xdr:colOff>
      <xdr:row>63</xdr:row>
      <xdr:rowOff>94943</xdr:rowOff>
    </xdr:to>
    <xdr:sp macro="" textlink="">
      <xdr:nvSpPr>
        <xdr:cNvPr id="22" name="Freccia curva 7">
          <a:extLst>
            <a:ext uri="{FF2B5EF4-FFF2-40B4-BE49-F238E27FC236}">
              <a16:creationId xmlns:a16="http://schemas.microsoft.com/office/drawing/2014/main" id="{00000000-0008-0000-1E00-000016000000}"/>
            </a:ext>
          </a:extLst>
        </xdr:cNvPr>
        <xdr:cNvSpPr/>
      </xdr:nvSpPr>
      <xdr:spPr>
        <a:xfrm rot="5400000">
          <a:off x="2073154" y="170259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87</xdr:col>
      <xdr:colOff>121222</xdr:colOff>
      <xdr:row>27</xdr:row>
      <xdr:rowOff>36155</xdr:rowOff>
    </xdr:from>
    <xdr:ext cx="963800" cy="311715"/>
    <xdr:sp macro="" textlink="">
      <xdr:nvSpPr>
        <xdr:cNvPr id="23" name="Rectangle 22">
          <a:extLst>
            <a:ext uri="{FF2B5EF4-FFF2-40B4-BE49-F238E27FC236}">
              <a16:creationId xmlns:a16="http://schemas.microsoft.com/office/drawing/2014/main" id="{00000000-0008-0000-1E00-000017000000}"/>
            </a:ext>
          </a:extLst>
        </xdr:cNvPr>
        <xdr:cNvSpPr/>
      </xdr:nvSpPr>
      <xdr:spPr>
        <a:xfrm>
          <a:off x="3093022" y="1254248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102</xdr:col>
      <xdr:colOff>0</xdr:colOff>
      <xdr:row>29</xdr:row>
      <xdr:rowOff>136072</xdr:rowOff>
    </xdr:from>
    <xdr:to>
      <xdr:col>104</xdr:col>
      <xdr:colOff>55717</xdr:colOff>
      <xdr:row>31</xdr:row>
      <xdr:rowOff>82778</xdr:rowOff>
    </xdr:to>
    <xdr:sp macro="" textlink="">
      <xdr:nvSpPr>
        <xdr:cNvPr id="24" name="Freccia curva 66">
          <a:extLst>
            <a:ext uri="{FF2B5EF4-FFF2-40B4-BE49-F238E27FC236}">
              <a16:creationId xmlns:a16="http://schemas.microsoft.com/office/drawing/2014/main" id="{00000000-0008-0000-1E00-000018000000}"/>
            </a:ext>
          </a:extLst>
        </xdr:cNvPr>
        <xdr:cNvSpPr/>
      </xdr:nvSpPr>
      <xdr:spPr>
        <a:xfrm rot="16200000" flipH="1">
          <a:off x="4878918"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29</xdr:row>
      <xdr:rowOff>136072</xdr:rowOff>
    </xdr:from>
    <xdr:to>
      <xdr:col>104</xdr:col>
      <xdr:colOff>55717</xdr:colOff>
      <xdr:row>31</xdr:row>
      <xdr:rowOff>82778</xdr:rowOff>
    </xdr:to>
    <xdr:sp macro="" textlink="">
      <xdr:nvSpPr>
        <xdr:cNvPr id="25" name="Freccia curva 66">
          <a:extLst>
            <a:ext uri="{FF2B5EF4-FFF2-40B4-BE49-F238E27FC236}">
              <a16:creationId xmlns:a16="http://schemas.microsoft.com/office/drawing/2014/main" id="{00000000-0008-0000-1E00-000019000000}"/>
            </a:ext>
          </a:extLst>
        </xdr:cNvPr>
        <xdr:cNvSpPr/>
      </xdr:nvSpPr>
      <xdr:spPr>
        <a:xfrm rot="16200000" flipH="1">
          <a:off x="4878918"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29</xdr:row>
      <xdr:rowOff>136072</xdr:rowOff>
    </xdr:from>
    <xdr:to>
      <xdr:col>104</xdr:col>
      <xdr:colOff>55717</xdr:colOff>
      <xdr:row>31</xdr:row>
      <xdr:rowOff>82778</xdr:rowOff>
    </xdr:to>
    <xdr:sp macro="" textlink="">
      <xdr:nvSpPr>
        <xdr:cNvPr id="26" name="Freccia curva 66">
          <a:extLst>
            <a:ext uri="{FF2B5EF4-FFF2-40B4-BE49-F238E27FC236}">
              <a16:creationId xmlns:a16="http://schemas.microsoft.com/office/drawing/2014/main" id="{00000000-0008-0000-1E00-00001A000000}"/>
            </a:ext>
          </a:extLst>
        </xdr:cNvPr>
        <xdr:cNvSpPr/>
      </xdr:nvSpPr>
      <xdr:spPr>
        <a:xfrm rot="16200000" flipH="1">
          <a:off x="4878918"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29</xdr:row>
      <xdr:rowOff>136072</xdr:rowOff>
    </xdr:from>
    <xdr:to>
      <xdr:col>104</xdr:col>
      <xdr:colOff>55717</xdr:colOff>
      <xdr:row>31</xdr:row>
      <xdr:rowOff>82778</xdr:rowOff>
    </xdr:to>
    <xdr:sp macro="" textlink="">
      <xdr:nvSpPr>
        <xdr:cNvPr id="27" name="Freccia curva 66">
          <a:extLst>
            <a:ext uri="{FF2B5EF4-FFF2-40B4-BE49-F238E27FC236}">
              <a16:creationId xmlns:a16="http://schemas.microsoft.com/office/drawing/2014/main" id="{00000000-0008-0000-1E00-00001B000000}"/>
            </a:ext>
          </a:extLst>
        </xdr:cNvPr>
        <xdr:cNvSpPr/>
      </xdr:nvSpPr>
      <xdr:spPr>
        <a:xfrm rot="16200000" flipH="1">
          <a:off x="4878918"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66415</xdr:colOff>
      <xdr:row>32</xdr:row>
      <xdr:rowOff>63226</xdr:rowOff>
    </xdr:from>
    <xdr:to>
      <xdr:col>104</xdr:col>
      <xdr:colOff>28329</xdr:colOff>
      <xdr:row>34</xdr:row>
      <xdr:rowOff>72486</xdr:rowOff>
    </xdr:to>
    <xdr:sp macro="" textlink="">
      <xdr:nvSpPr>
        <xdr:cNvPr id="28" name="Freccia a inversione 13">
          <a:extLst>
            <a:ext uri="{FF2B5EF4-FFF2-40B4-BE49-F238E27FC236}">
              <a16:creationId xmlns:a16="http://schemas.microsoft.com/office/drawing/2014/main" id="{00000000-0008-0000-1E00-00001C000000}"/>
            </a:ext>
          </a:extLst>
        </xdr:cNvPr>
        <xdr:cNvSpPr/>
      </xdr:nvSpPr>
      <xdr:spPr>
        <a:xfrm rot="5400000" flipV="1">
          <a:off x="4810005" y="13150436"/>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107674</xdr:colOff>
      <xdr:row>14</xdr:row>
      <xdr:rowOff>57978</xdr:rowOff>
    </xdr:from>
    <xdr:to>
      <xdr:col>104</xdr:col>
      <xdr:colOff>7038</xdr:colOff>
      <xdr:row>16</xdr:row>
      <xdr:rowOff>90910</xdr:rowOff>
    </xdr:to>
    <xdr:sp macro="" textlink="">
      <xdr:nvSpPr>
        <xdr:cNvPr id="29" name="Freccia curva 7">
          <a:extLst>
            <a:ext uri="{FF2B5EF4-FFF2-40B4-BE49-F238E27FC236}">
              <a16:creationId xmlns:a16="http://schemas.microsoft.com/office/drawing/2014/main" id="{00000000-0008-0000-1E00-00001D000000}"/>
            </a:ext>
          </a:extLst>
        </xdr:cNvPr>
        <xdr:cNvSpPr/>
      </xdr:nvSpPr>
      <xdr:spPr>
        <a:xfrm rot="16200000">
          <a:off x="4808153" y="107117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87</xdr:col>
      <xdr:colOff>99274</xdr:colOff>
      <xdr:row>44</xdr:row>
      <xdr:rowOff>113597</xdr:rowOff>
    </xdr:from>
    <xdr:ext cx="963800" cy="311715"/>
    <xdr:sp macro="" textlink="">
      <xdr:nvSpPr>
        <xdr:cNvPr id="30" name="Rectangle 29">
          <a:extLst>
            <a:ext uri="{FF2B5EF4-FFF2-40B4-BE49-F238E27FC236}">
              <a16:creationId xmlns:a16="http://schemas.microsoft.com/office/drawing/2014/main" id="{00000000-0008-0000-1E00-00001E000000}"/>
            </a:ext>
          </a:extLst>
        </xdr:cNvPr>
        <xdr:cNvSpPr/>
      </xdr:nvSpPr>
      <xdr:spPr>
        <a:xfrm>
          <a:off x="3071074" y="147249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88</xdr:col>
      <xdr:colOff>12720</xdr:colOff>
      <xdr:row>56</xdr:row>
      <xdr:rowOff>8822</xdr:rowOff>
    </xdr:from>
    <xdr:ext cx="963800" cy="311715"/>
    <xdr:sp macro="" textlink="">
      <xdr:nvSpPr>
        <xdr:cNvPr id="31" name="Rectangle 30">
          <a:extLst>
            <a:ext uri="{FF2B5EF4-FFF2-40B4-BE49-F238E27FC236}">
              <a16:creationId xmlns:a16="http://schemas.microsoft.com/office/drawing/2014/main" id="{00000000-0008-0000-1E00-00001F000000}"/>
            </a:ext>
          </a:extLst>
        </xdr:cNvPr>
        <xdr:cNvSpPr/>
      </xdr:nvSpPr>
      <xdr:spPr>
        <a:xfrm>
          <a:off x="3108345" y="163537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93</xdr:col>
      <xdr:colOff>112782</xdr:colOff>
      <xdr:row>39</xdr:row>
      <xdr:rowOff>116632</xdr:rowOff>
    </xdr:from>
    <xdr:to>
      <xdr:col>95</xdr:col>
      <xdr:colOff>1356</xdr:colOff>
      <xdr:row>42</xdr:row>
      <xdr:rowOff>34874</xdr:rowOff>
    </xdr:to>
    <xdr:sp macro="" textlink="">
      <xdr:nvSpPr>
        <xdr:cNvPr id="32" name="Freccia in giù 9">
          <a:extLst>
            <a:ext uri="{FF2B5EF4-FFF2-40B4-BE49-F238E27FC236}">
              <a16:creationId xmlns:a16="http://schemas.microsoft.com/office/drawing/2014/main" id="{00000000-0008-0000-1E00-000020000000}"/>
            </a:ext>
          </a:extLst>
        </xdr:cNvPr>
        <xdr:cNvSpPr/>
      </xdr:nvSpPr>
      <xdr:spPr>
        <a:xfrm rot="10800000">
          <a:off x="3827532" y="14108857"/>
          <a:ext cx="136224"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101397</xdr:colOff>
      <xdr:row>35</xdr:row>
      <xdr:rowOff>51932</xdr:rowOff>
    </xdr:from>
    <xdr:to>
      <xdr:col>89</xdr:col>
      <xdr:colOff>114211</xdr:colOff>
      <xdr:row>37</xdr:row>
      <xdr:rowOff>95625</xdr:rowOff>
    </xdr:to>
    <xdr:sp macro="" textlink="">
      <xdr:nvSpPr>
        <xdr:cNvPr id="33" name="Freccia in giù 9">
          <a:extLst>
            <a:ext uri="{FF2B5EF4-FFF2-40B4-BE49-F238E27FC236}">
              <a16:creationId xmlns:a16="http://schemas.microsoft.com/office/drawing/2014/main" id="{00000000-0008-0000-1E00-000021000000}"/>
            </a:ext>
          </a:extLst>
        </xdr:cNvPr>
        <xdr:cNvSpPr/>
      </xdr:nvSpPr>
      <xdr:spPr>
        <a:xfrm>
          <a:off x="3197022" y="135488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88</xdr:col>
      <xdr:colOff>13549</xdr:colOff>
      <xdr:row>16</xdr:row>
      <xdr:rowOff>27872</xdr:rowOff>
    </xdr:from>
    <xdr:ext cx="963800" cy="311715"/>
    <xdr:sp macro="" textlink="">
      <xdr:nvSpPr>
        <xdr:cNvPr id="34" name="Rectangle 33">
          <a:extLst>
            <a:ext uri="{FF2B5EF4-FFF2-40B4-BE49-F238E27FC236}">
              <a16:creationId xmlns:a16="http://schemas.microsoft.com/office/drawing/2014/main" id="{00000000-0008-0000-1E00-000022000000}"/>
            </a:ext>
          </a:extLst>
        </xdr:cNvPr>
        <xdr:cNvSpPr/>
      </xdr:nvSpPr>
      <xdr:spPr>
        <a:xfrm>
          <a:off x="3109174" y="109244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86</xdr:col>
      <xdr:colOff>46691</xdr:colOff>
      <xdr:row>68</xdr:row>
      <xdr:rowOff>51818</xdr:rowOff>
    </xdr:from>
    <xdr:to>
      <xdr:col>88</xdr:col>
      <xdr:colOff>74536</xdr:colOff>
      <xdr:row>70</xdr:row>
      <xdr:rowOff>90629</xdr:rowOff>
    </xdr:to>
    <xdr:sp macro="" textlink="">
      <xdr:nvSpPr>
        <xdr:cNvPr id="35" name="Freccia a inversione 13">
          <a:extLst>
            <a:ext uri="{FF2B5EF4-FFF2-40B4-BE49-F238E27FC236}">
              <a16:creationId xmlns:a16="http://schemas.microsoft.com/office/drawing/2014/main" id="{00000000-0008-0000-1E00-000023000000}"/>
            </a:ext>
          </a:extLst>
        </xdr:cNvPr>
        <xdr:cNvSpPr/>
      </xdr:nvSpPr>
      <xdr:spPr>
        <a:xfrm rot="10800000" flipV="1">
          <a:off x="2932766" y="17834993"/>
          <a:ext cx="275495" cy="28646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55058</xdr:colOff>
      <xdr:row>6</xdr:row>
      <xdr:rowOff>67264</xdr:rowOff>
    </xdr:from>
    <xdr:to>
      <xdr:col>97</xdr:col>
      <xdr:colOff>84922</xdr:colOff>
      <xdr:row>8</xdr:row>
      <xdr:rowOff>123518</xdr:rowOff>
    </xdr:to>
    <xdr:sp macro="" textlink="">
      <xdr:nvSpPr>
        <xdr:cNvPr id="36" name="Freccia a inversione 13">
          <a:extLst>
            <a:ext uri="{FF2B5EF4-FFF2-40B4-BE49-F238E27FC236}">
              <a16:creationId xmlns:a16="http://schemas.microsoft.com/office/drawing/2014/main" id="{00000000-0008-0000-1E00-000024000000}"/>
            </a:ext>
          </a:extLst>
        </xdr:cNvPr>
        <xdr:cNvSpPr/>
      </xdr:nvSpPr>
      <xdr:spPr>
        <a:xfrm flipV="1">
          <a:off x="4017458" y="97256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91114</xdr:colOff>
      <xdr:row>49</xdr:row>
      <xdr:rowOff>114574</xdr:rowOff>
    </xdr:from>
    <xdr:to>
      <xdr:col>82</xdr:col>
      <xdr:colOff>7995</xdr:colOff>
      <xdr:row>51</xdr:row>
      <xdr:rowOff>2202</xdr:rowOff>
    </xdr:to>
    <xdr:sp macro="" textlink="">
      <xdr:nvSpPr>
        <xdr:cNvPr id="37" name="Freccia in giù 9">
          <a:extLst>
            <a:ext uri="{FF2B5EF4-FFF2-40B4-BE49-F238E27FC236}">
              <a16:creationId xmlns:a16="http://schemas.microsoft.com/office/drawing/2014/main" id="{00000000-0008-0000-1E00-000025000000}"/>
            </a:ext>
          </a:extLst>
        </xdr:cNvPr>
        <xdr:cNvSpPr/>
      </xdr:nvSpPr>
      <xdr:spPr>
        <a:xfrm rot="16200000">
          <a:off x="2148853" y="15268510"/>
          <a:ext cx="135278" cy="28835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87086</xdr:colOff>
      <xdr:row>26</xdr:row>
      <xdr:rowOff>119743</xdr:rowOff>
    </xdr:from>
    <xdr:to>
      <xdr:col>104</xdr:col>
      <xdr:colOff>3968</xdr:colOff>
      <xdr:row>28</xdr:row>
      <xdr:rowOff>7370</xdr:rowOff>
    </xdr:to>
    <xdr:sp macro="" textlink="">
      <xdr:nvSpPr>
        <xdr:cNvPr id="38" name="Freccia in giù 9">
          <a:extLst>
            <a:ext uri="{FF2B5EF4-FFF2-40B4-BE49-F238E27FC236}">
              <a16:creationId xmlns:a16="http://schemas.microsoft.com/office/drawing/2014/main" id="{00000000-0008-0000-1E00-000026000000}"/>
            </a:ext>
          </a:extLst>
        </xdr:cNvPr>
        <xdr:cNvSpPr/>
      </xdr:nvSpPr>
      <xdr:spPr>
        <a:xfrm rot="5400000">
          <a:off x="4868976" y="12425703"/>
          <a:ext cx="135277" cy="28835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40" name="Right Arrow 39">
          <a:hlinkClick xmlns:r="http://schemas.openxmlformats.org/officeDocument/2006/relationships" r:id="rId2"/>
          <a:extLst>
            <a:ext uri="{FF2B5EF4-FFF2-40B4-BE49-F238E27FC236}">
              <a16:creationId xmlns:a16="http://schemas.microsoft.com/office/drawing/2014/main" id="{00000000-0008-0000-1E00-000028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47624</xdr:colOff>
      <xdr:row>28</xdr:row>
      <xdr:rowOff>61383</xdr:rowOff>
    </xdr:from>
    <xdr:to>
      <xdr:col>77</xdr:col>
      <xdr:colOff>95249</xdr:colOff>
      <xdr:row>51</xdr:row>
      <xdr:rowOff>95256</xdr:rowOff>
    </xdr:to>
    <xdr:pic>
      <xdr:nvPicPr>
        <xdr:cNvPr id="41" name="Picture 40" descr="DLT-Model.jpg">
          <a:extLst>
            <a:ext uri="{FF2B5EF4-FFF2-40B4-BE49-F238E27FC236}">
              <a16:creationId xmlns:a16="http://schemas.microsoft.com/office/drawing/2014/main" id="{00000000-0008-0000-1F00-000029000000}"/>
            </a:ext>
          </a:extLst>
        </xdr:cNvPr>
        <xdr:cNvPicPr>
          <a:picLocks noChangeAspect="1"/>
        </xdr:cNvPicPr>
      </xdr:nvPicPr>
      <xdr:blipFill>
        <a:blip xmlns:r="http://schemas.openxmlformats.org/officeDocument/2006/relationships" r:embed="rId1" cstate="print"/>
        <a:stretch>
          <a:fillRect/>
        </a:stretch>
      </xdr:blipFill>
      <xdr:spPr>
        <a:xfrm rot="5400000">
          <a:off x="3488263" y="364069"/>
          <a:ext cx="2881848" cy="9210675"/>
        </a:xfrm>
        <a:prstGeom prst="rect">
          <a:avLst/>
        </a:prstGeom>
      </xdr:spPr>
    </xdr:pic>
    <xdr:clientData/>
  </xdr:twoCellAnchor>
  <xdr:oneCellAnchor>
    <xdr:from>
      <xdr:col>5</xdr:col>
      <xdr:colOff>16228</xdr:colOff>
      <xdr:row>13</xdr:row>
      <xdr:rowOff>36152</xdr:rowOff>
    </xdr:from>
    <xdr:ext cx="963800" cy="311715"/>
    <xdr:sp macro="" textlink="">
      <xdr:nvSpPr>
        <xdr:cNvPr id="3" name="Rectangle 2">
          <a:extLst>
            <a:ext uri="{FF2B5EF4-FFF2-40B4-BE49-F238E27FC236}">
              <a16:creationId xmlns:a16="http://schemas.microsoft.com/office/drawing/2014/main" id="{00000000-0008-0000-1F00-000003000000}"/>
            </a:ext>
          </a:extLst>
        </xdr:cNvPr>
        <xdr:cNvSpPr/>
      </xdr:nvSpPr>
      <xdr:spPr>
        <a:xfrm>
          <a:off x="511528" y="164587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19</xdr:col>
      <xdr:colOff>27434</xdr:colOff>
      <xdr:row>13</xdr:row>
      <xdr:rowOff>58565</xdr:rowOff>
    </xdr:from>
    <xdr:ext cx="963800" cy="311715"/>
    <xdr:sp macro="" textlink="">
      <xdr:nvSpPr>
        <xdr:cNvPr id="4" name="Rectangle 3">
          <a:extLst>
            <a:ext uri="{FF2B5EF4-FFF2-40B4-BE49-F238E27FC236}">
              <a16:creationId xmlns:a16="http://schemas.microsoft.com/office/drawing/2014/main" id="{00000000-0008-0000-1F00-000004000000}"/>
            </a:ext>
          </a:extLst>
        </xdr:cNvPr>
        <xdr:cNvSpPr/>
      </xdr:nvSpPr>
      <xdr:spPr>
        <a:xfrm>
          <a:off x="2256284" y="1668290"/>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52</xdr:col>
      <xdr:colOff>117082</xdr:colOff>
      <xdr:row>13</xdr:row>
      <xdr:rowOff>58565</xdr:rowOff>
    </xdr:from>
    <xdr:ext cx="963800" cy="311715"/>
    <xdr:sp macro="" textlink="">
      <xdr:nvSpPr>
        <xdr:cNvPr id="5" name="Rectangle 4">
          <a:extLst>
            <a:ext uri="{FF2B5EF4-FFF2-40B4-BE49-F238E27FC236}">
              <a16:creationId xmlns:a16="http://schemas.microsoft.com/office/drawing/2014/main" id="{00000000-0008-0000-1F00-000005000000}"/>
            </a:ext>
          </a:extLst>
        </xdr:cNvPr>
        <xdr:cNvSpPr/>
      </xdr:nvSpPr>
      <xdr:spPr>
        <a:xfrm>
          <a:off x="6437200" y="1661006"/>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66</xdr:col>
      <xdr:colOff>117082</xdr:colOff>
      <xdr:row>13</xdr:row>
      <xdr:rowOff>69771</xdr:rowOff>
    </xdr:from>
    <xdr:ext cx="963800" cy="311715"/>
    <xdr:sp macro="" textlink="">
      <xdr:nvSpPr>
        <xdr:cNvPr id="6" name="Rectangle 5">
          <a:extLst>
            <a:ext uri="{FF2B5EF4-FFF2-40B4-BE49-F238E27FC236}">
              <a16:creationId xmlns:a16="http://schemas.microsoft.com/office/drawing/2014/main" id="{00000000-0008-0000-1F00-000006000000}"/>
            </a:ext>
          </a:extLst>
        </xdr:cNvPr>
        <xdr:cNvSpPr/>
      </xdr:nvSpPr>
      <xdr:spPr>
        <a:xfrm>
          <a:off x="8162906" y="167221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xdr:col>
      <xdr:colOff>63776</xdr:colOff>
      <xdr:row>38</xdr:row>
      <xdr:rowOff>90776</xdr:rowOff>
    </xdr:from>
    <xdr:to>
      <xdr:col>8</xdr:col>
      <xdr:colOff>114236</xdr:colOff>
      <xdr:row>40</xdr:row>
      <xdr:rowOff>24738</xdr:rowOff>
    </xdr:to>
    <xdr:sp macro="" textlink="">
      <xdr:nvSpPr>
        <xdr:cNvPr id="7" name="Oval 6">
          <a:extLst>
            <a:ext uri="{FF2B5EF4-FFF2-40B4-BE49-F238E27FC236}">
              <a16:creationId xmlns:a16="http://schemas.microsoft.com/office/drawing/2014/main" id="{00000000-0008-0000-1F00-000007000000}"/>
            </a:ext>
          </a:extLst>
        </xdr:cNvPr>
        <xdr:cNvSpPr/>
      </xdr:nvSpPr>
      <xdr:spPr>
        <a:xfrm>
          <a:off x="835301" y="4796126"/>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104773</xdr:colOff>
      <xdr:row>22</xdr:row>
      <xdr:rowOff>19050</xdr:rowOff>
    </xdr:from>
    <xdr:to>
      <xdr:col>30</xdr:col>
      <xdr:colOff>50494</xdr:colOff>
      <xdr:row>39</xdr:row>
      <xdr:rowOff>49576</xdr:rowOff>
    </xdr:to>
    <xdr:cxnSp macro="">
      <xdr:nvCxnSpPr>
        <xdr:cNvPr id="8" name="Straight Connector 7">
          <a:extLst>
            <a:ext uri="{FF2B5EF4-FFF2-40B4-BE49-F238E27FC236}">
              <a16:creationId xmlns:a16="http://schemas.microsoft.com/office/drawing/2014/main" id="{00000000-0008-0000-1F00-000008000000}"/>
            </a:ext>
          </a:extLst>
        </xdr:cNvPr>
        <xdr:cNvCxnSpPr/>
      </xdr:nvCxnSpPr>
      <xdr:spPr>
        <a:xfrm rot="16200000" flipV="1">
          <a:off x="1886408" y="3095165"/>
          <a:ext cx="2135551" cy="1431621"/>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30</xdr:col>
      <xdr:colOff>25262</xdr:colOff>
      <xdr:row>39</xdr:row>
      <xdr:rowOff>55989</xdr:rowOff>
    </xdr:from>
    <xdr:to>
      <xdr:col>31</xdr:col>
      <xdr:colOff>75721</xdr:colOff>
      <xdr:row>40</xdr:row>
      <xdr:rowOff>113776</xdr:rowOff>
    </xdr:to>
    <xdr:sp macro="" textlink="">
      <xdr:nvSpPr>
        <xdr:cNvPr id="9" name="Oval 8">
          <a:extLst>
            <a:ext uri="{FF2B5EF4-FFF2-40B4-BE49-F238E27FC236}">
              <a16:creationId xmlns:a16="http://schemas.microsoft.com/office/drawing/2014/main" id="{00000000-0008-0000-1F00-000009000000}"/>
            </a:ext>
          </a:extLst>
        </xdr:cNvPr>
        <xdr:cNvSpPr/>
      </xdr:nvSpPr>
      <xdr:spPr>
        <a:xfrm>
          <a:off x="3644762" y="4885164"/>
          <a:ext cx="174284"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50</xdr:col>
      <xdr:colOff>13426</xdr:colOff>
      <xdr:row>22</xdr:row>
      <xdr:rowOff>1</xdr:rowOff>
    </xdr:from>
    <xdr:to>
      <xdr:col>53</xdr:col>
      <xdr:colOff>104774</xdr:colOff>
      <xdr:row>40</xdr:row>
      <xdr:rowOff>3395</xdr:rowOff>
    </xdr:to>
    <xdr:cxnSp macro="">
      <xdr:nvCxnSpPr>
        <xdr:cNvPr id="10" name="Straight Connector 9">
          <a:extLst>
            <a:ext uri="{FF2B5EF4-FFF2-40B4-BE49-F238E27FC236}">
              <a16:creationId xmlns:a16="http://schemas.microsoft.com/office/drawing/2014/main" id="{00000000-0008-0000-1F00-00000A000000}"/>
            </a:ext>
          </a:extLst>
        </xdr:cNvPr>
        <xdr:cNvCxnSpPr>
          <a:stCxn id="11" idx="0"/>
        </xdr:cNvCxnSpPr>
      </xdr:nvCxnSpPr>
      <xdr:spPr>
        <a:xfrm rot="5400000" flipH="1" flipV="1">
          <a:off x="5224716" y="3608861"/>
          <a:ext cx="2232244" cy="46282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49</xdr:col>
      <xdr:colOff>50110</xdr:colOff>
      <xdr:row>40</xdr:row>
      <xdr:rowOff>3394</xdr:rowOff>
    </xdr:from>
    <xdr:to>
      <xdr:col>50</xdr:col>
      <xdr:colOff>100569</xdr:colOff>
      <xdr:row>41</xdr:row>
      <xdr:rowOff>61181</xdr:rowOff>
    </xdr:to>
    <xdr:sp macro="" textlink="">
      <xdr:nvSpPr>
        <xdr:cNvPr id="11" name="Oval 10">
          <a:extLst>
            <a:ext uri="{FF2B5EF4-FFF2-40B4-BE49-F238E27FC236}">
              <a16:creationId xmlns:a16="http://schemas.microsoft.com/office/drawing/2014/main" id="{00000000-0008-0000-1F00-00000B000000}"/>
            </a:ext>
          </a:extLst>
        </xdr:cNvPr>
        <xdr:cNvSpPr/>
      </xdr:nvSpPr>
      <xdr:spPr>
        <a:xfrm>
          <a:off x="6022285" y="4956394"/>
          <a:ext cx="174284"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72</xdr:col>
      <xdr:colOff>98470</xdr:colOff>
      <xdr:row>22</xdr:row>
      <xdr:rowOff>1</xdr:rowOff>
    </xdr:from>
    <xdr:to>
      <xdr:col>75</xdr:col>
      <xdr:colOff>104774</xdr:colOff>
      <xdr:row>41</xdr:row>
      <xdr:rowOff>29224</xdr:rowOff>
    </xdr:to>
    <xdr:cxnSp macro="">
      <xdr:nvCxnSpPr>
        <xdr:cNvPr id="12" name="Straight Connector 11">
          <a:extLst>
            <a:ext uri="{FF2B5EF4-FFF2-40B4-BE49-F238E27FC236}">
              <a16:creationId xmlns:a16="http://schemas.microsoft.com/office/drawing/2014/main" id="{00000000-0008-0000-1F00-00000C000000}"/>
            </a:ext>
          </a:extLst>
        </xdr:cNvPr>
        <xdr:cNvCxnSpPr>
          <a:stCxn id="13" idx="1"/>
        </xdr:cNvCxnSpPr>
      </xdr:nvCxnSpPr>
      <xdr:spPr>
        <a:xfrm rot="5400000" flipH="1" flipV="1">
          <a:off x="7916561" y="3726210"/>
          <a:ext cx="2381898" cy="37777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72</xdr:col>
      <xdr:colOff>72887</xdr:colOff>
      <xdr:row>41</xdr:row>
      <xdr:rowOff>2566</xdr:rowOff>
    </xdr:from>
    <xdr:to>
      <xdr:col>73</xdr:col>
      <xdr:colOff>123761</xdr:colOff>
      <xdr:row>42</xdr:row>
      <xdr:rowOff>60767</xdr:rowOff>
    </xdr:to>
    <xdr:sp macro="" textlink="">
      <xdr:nvSpPr>
        <xdr:cNvPr id="13" name="Oval 12">
          <a:extLst>
            <a:ext uri="{FF2B5EF4-FFF2-40B4-BE49-F238E27FC236}">
              <a16:creationId xmlns:a16="http://schemas.microsoft.com/office/drawing/2014/main" id="{00000000-0008-0000-1F00-00000D000000}"/>
            </a:ext>
          </a:extLst>
        </xdr:cNvPr>
        <xdr:cNvSpPr/>
      </xdr:nvSpPr>
      <xdr:spPr>
        <a:xfrm>
          <a:off x="8893037" y="5079391"/>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28</xdr:col>
      <xdr:colOff>53688</xdr:colOff>
      <xdr:row>71</xdr:row>
      <xdr:rowOff>62470</xdr:rowOff>
    </xdr:from>
    <xdr:to>
      <xdr:col>30</xdr:col>
      <xdr:colOff>77017</xdr:colOff>
      <xdr:row>73</xdr:row>
      <xdr:rowOff>109538</xdr:rowOff>
    </xdr:to>
    <xdr:sp macro="" textlink="">
      <xdr:nvSpPr>
        <xdr:cNvPr id="14" name="Freccia curva 8">
          <a:extLst>
            <a:ext uri="{FF2B5EF4-FFF2-40B4-BE49-F238E27FC236}">
              <a16:creationId xmlns:a16="http://schemas.microsoft.com/office/drawing/2014/main" id="{00000000-0008-0000-1F00-00000E000000}"/>
            </a:ext>
          </a:extLst>
        </xdr:cNvPr>
        <xdr:cNvSpPr/>
      </xdr:nvSpPr>
      <xdr:spPr>
        <a:xfrm rot="10800000" flipH="1">
          <a:off x="3396963" y="88540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31</xdr:col>
      <xdr:colOff>55058</xdr:colOff>
      <xdr:row>71</xdr:row>
      <xdr:rowOff>67264</xdr:rowOff>
    </xdr:from>
    <xdr:to>
      <xdr:col>33</xdr:col>
      <xdr:colOff>84922</xdr:colOff>
      <xdr:row>73</xdr:row>
      <xdr:rowOff>123518</xdr:rowOff>
    </xdr:to>
    <xdr:sp macro="" textlink="">
      <xdr:nvSpPr>
        <xdr:cNvPr id="15" name="Freccia a inversione 13">
          <a:extLst>
            <a:ext uri="{FF2B5EF4-FFF2-40B4-BE49-F238E27FC236}">
              <a16:creationId xmlns:a16="http://schemas.microsoft.com/office/drawing/2014/main" id="{00000000-0008-0000-1F00-00000F000000}"/>
            </a:ext>
          </a:extLst>
        </xdr:cNvPr>
        <xdr:cNvSpPr/>
      </xdr:nvSpPr>
      <xdr:spPr>
        <a:xfrm flipV="1">
          <a:off x="3769808" y="88588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26</xdr:col>
      <xdr:colOff>2862</xdr:colOff>
      <xdr:row>71</xdr:row>
      <xdr:rowOff>71639</xdr:rowOff>
    </xdr:from>
    <xdr:to>
      <xdr:col>27</xdr:col>
      <xdr:colOff>15676</xdr:colOff>
      <xdr:row>73</xdr:row>
      <xdr:rowOff>115332</xdr:rowOff>
    </xdr:to>
    <xdr:sp macro="" textlink="">
      <xdr:nvSpPr>
        <xdr:cNvPr id="16" name="Freccia in giù 9">
          <a:extLst>
            <a:ext uri="{FF2B5EF4-FFF2-40B4-BE49-F238E27FC236}">
              <a16:creationId xmlns:a16="http://schemas.microsoft.com/office/drawing/2014/main" id="{00000000-0008-0000-1F00-000010000000}"/>
            </a:ext>
          </a:extLst>
        </xdr:cNvPr>
        <xdr:cNvSpPr/>
      </xdr:nvSpPr>
      <xdr:spPr>
        <a:xfrm>
          <a:off x="3098487" y="8863214"/>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xdr:col>
      <xdr:colOff>32507</xdr:colOff>
      <xdr:row>71</xdr:row>
      <xdr:rowOff>111530</xdr:rowOff>
    </xdr:from>
    <xdr:to>
      <xdr:col>14</xdr:col>
      <xdr:colOff>65439</xdr:colOff>
      <xdr:row>74</xdr:row>
      <xdr:rowOff>9683</xdr:rowOff>
    </xdr:to>
    <xdr:sp macro="" textlink="">
      <xdr:nvSpPr>
        <xdr:cNvPr id="17" name="Freccia curva 7">
          <a:extLst>
            <a:ext uri="{FF2B5EF4-FFF2-40B4-BE49-F238E27FC236}">
              <a16:creationId xmlns:a16="http://schemas.microsoft.com/office/drawing/2014/main" id="{00000000-0008-0000-1F00-000011000000}"/>
            </a:ext>
          </a:extLst>
        </xdr:cNvPr>
        <xdr:cNvSpPr/>
      </xdr:nvSpPr>
      <xdr:spPr>
        <a:xfrm rot="10800000">
          <a:off x="1394582" y="89031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xdr:col>
      <xdr:colOff>51289</xdr:colOff>
      <xdr:row>81</xdr:row>
      <xdr:rowOff>58615</xdr:rowOff>
    </xdr:from>
    <xdr:to>
      <xdr:col>5</xdr:col>
      <xdr:colOff>116943</xdr:colOff>
      <xdr:row>83</xdr:row>
      <xdr:rowOff>63358</xdr:rowOff>
    </xdr:to>
    <xdr:sp macro="" textlink="">
      <xdr:nvSpPr>
        <xdr:cNvPr id="18" name="Freccia curva 8">
          <a:extLst>
            <a:ext uri="{FF2B5EF4-FFF2-40B4-BE49-F238E27FC236}">
              <a16:creationId xmlns:a16="http://schemas.microsoft.com/office/drawing/2014/main" id="{00000000-0008-0000-1F00-000012000000}"/>
            </a:ext>
          </a:extLst>
        </xdr:cNvPr>
        <xdr:cNvSpPr/>
      </xdr:nvSpPr>
      <xdr:spPr>
        <a:xfrm rot="5400000" flipH="1">
          <a:off x="329394" y="100579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xdr:col>
      <xdr:colOff>73270</xdr:colOff>
      <xdr:row>87</xdr:row>
      <xdr:rowOff>80596</xdr:rowOff>
    </xdr:from>
    <xdr:to>
      <xdr:col>5</xdr:col>
      <xdr:colOff>134510</xdr:colOff>
      <xdr:row>89</xdr:row>
      <xdr:rowOff>94943</xdr:rowOff>
    </xdr:to>
    <xdr:sp macro="" textlink="">
      <xdr:nvSpPr>
        <xdr:cNvPr id="19" name="Freccia curva 7">
          <a:extLst>
            <a:ext uri="{FF2B5EF4-FFF2-40B4-BE49-F238E27FC236}">
              <a16:creationId xmlns:a16="http://schemas.microsoft.com/office/drawing/2014/main" id="{00000000-0008-0000-1F00-000013000000}"/>
            </a:ext>
          </a:extLst>
        </xdr:cNvPr>
        <xdr:cNvSpPr/>
      </xdr:nvSpPr>
      <xdr:spPr>
        <a:xfrm rot="5400000">
          <a:off x="339604" y="108346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11</xdr:col>
      <xdr:colOff>117081</xdr:colOff>
      <xdr:row>81</xdr:row>
      <xdr:rowOff>36154</xdr:rowOff>
    </xdr:from>
    <xdr:ext cx="963800" cy="311715"/>
    <xdr:sp macro="" textlink="">
      <xdr:nvSpPr>
        <xdr:cNvPr id="20" name="Rectangle 19">
          <a:extLst>
            <a:ext uri="{FF2B5EF4-FFF2-40B4-BE49-F238E27FC236}">
              <a16:creationId xmlns:a16="http://schemas.microsoft.com/office/drawing/2014/main" id="{00000000-0008-0000-1F00-000014000000}"/>
            </a:ext>
          </a:extLst>
        </xdr:cNvPr>
        <xdr:cNvSpPr/>
      </xdr:nvSpPr>
      <xdr:spPr>
        <a:xfrm>
          <a:off x="1355331" y="1006597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xdr:col>
      <xdr:colOff>58937</xdr:colOff>
      <xdr:row>85</xdr:row>
      <xdr:rowOff>6397</xdr:rowOff>
    </xdr:from>
    <xdr:to>
      <xdr:col>6</xdr:col>
      <xdr:colOff>5058</xdr:colOff>
      <xdr:row>86</xdr:row>
      <xdr:rowOff>9918</xdr:rowOff>
    </xdr:to>
    <xdr:sp macro="" textlink="">
      <xdr:nvSpPr>
        <xdr:cNvPr id="21" name="Freccia in giù 9">
          <a:extLst>
            <a:ext uri="{FF2B5EF4-FFF2-40B4-BE49-F238E27FC236}">
              <a16:creationId xmlns:a16="http://schemas.microsoft.com/office/drawing/2014/main" id="{00000000-0008-0000-1F00-000015000000}"/>
            </a:ext>
          </a:extLst>
        </xdr:cNvPr>
        <xdr:cNvSpPr/>
      </xdr:nvSpPr>
      <xdr:spPr>
        <a:xfrm rot="16200000">
          <a:off x="401712" y="104363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39</xdr:col>
      <xdr:colOff>97574</xdr:colOff>
      <xdr:row>82</xdr:row>
      <xdr:rowOff>4645</xdr:rowOff>
    </xdr:from>
    <xdr:to>
      <xdr:col>42</xdr:col>
      <xdr:colOff>43694</xdr:colOff>
      <xdr:row>83</xdr:row>
      <xdr:rowOff>8166</xdr:rowOff>
    </xdr:to>
    <xdr:sp macro="" textlink="">
      <xdr:nvSpPr>
        <xdr:cNvPr id="22" name="Freccia in giù 9">
          <a:extLst>
            <a:ext uri="{FF2B5EF4-FFF2-40B4-BE49-F238E27FC236}">
              <a16:creationId xmlns:a16="http://schemas.microsoft.com/office/drawing/2014/main" id="{00000000-0008-0000-1F00-000016000000}"/>
            </a:ext>
          </a:extLst>
        </xdr:cNvPr>
        <xdr:cNvSpPr/>
      </xdr:nvSpPr>
      <xdr:spPr>
        <a:xfrm rot="5400000">
          <a:off x="4898049" y="100631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0</xdr:colOff>
      <xdr:row>84</xdr:row>
      <xdr:rowOff>136072</xdr:rowOff>
    </xdr:from>
    <xdr:to>
      <xdr:col>77</xdr:col>
      <xdr:colOff>55717</xdr:colOff>
      <xdr:row>86</xdr:row>
      <xdr:rowOff>82778</xdr:rowOff>
    </xdr:to>
    <xdr:sp macro="" textlink="">
      <xdr:nvSpPr>
        <xdr:cNvPr id="23" name="Freccia curva 66">
          <a:extLst>
            <a:ext uri="{FF2B5EF4-FFF2-40B4-BE49-F238E27FC236}">
              <a16:creationId xmlns:a16="http://schemas.microsoft.com/office/drawing/2014/main" id="{00000000-0008-0000-1F00-000017000000}"/>
            </a:ext>
          </a:extLst>
        </xdr:cNvPr>
        <xdr:cNvSpPr/>
      </xdr:nvSpPr>
      <xdr:spPr>
        <a:xfrm rot="16200000" flipH="1">
          <a:off x="9212793" y="104781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0</xdr:colOff>
      <xdr:row>84</xdr:row>
      <xdr:rowOff>136072</xdr:rowOff>
    </xdr:from>
    <xdr:to>
      <xdr:col>77</xdr:col>
      <xdr:colOff>55717</xdr:colOff>
      <xdr:row>86</xdr:row>
      <xdr:rowOff>82778</xdr:rowOff>
    </xdr:to>
    <xdr:sp macro="" textlink="">
      <xdr:nvSpPr>
        <xdr:cNvPr id="24" name="Freccia curva 66">
          <a:extLst>
            <a:ext uri="{FF2B5EF4-FFF2-40B4-BE49-F238E27FC236}">
              <a16:creationId xmlns:a16="http://schemas.microsoft.com/office/drawing/2014/main" id="{00000000-0008-0000-1F00-000018000000}"/>
            </a:ext>
          </a:extLst>
        </xdr:cNvPr>
        <xdr:cNvSpPr/>
      </xdr:nvSpPr>
      <xdr:spPr>
        <a:xfrm rot="16200000" flipH="1">
          <a:off x="9212793" y="104781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0</xdr:colOff>
      <xdr:row>84</xdr:row>
      <xdr:rowOff>136072</xdr:rowOff>
    </xdr:from>
    <xdr:to>
      <xdr:col>77</xdr:col>
      <xdr:colOff>55717</xdr:colOff>
      <xdr:row>86</xdr:row>
      <xdr:rowOff>82778</xdr:rowOff>
    </xdr:to>
    <xdr:sp macro="" textlink="">
      <xdr:nvSpPr>
        <xdr:cNvPr id="25" name="Freccia curva 66">
          <a:extLst>
            <a:ext uri="{FF2B5EF4-FFF2-40B4-BE49-F238E27FC236}">
              <a16:creationId xmlns:a16="http://schemas.microsoft.com/office/drawing/2014/main" id="{00000000-0008-0000-1F00-000019000000}"/>
            </a:ext>
          </a:extLst>
        </xdr:cNvPr>
        <xdr:cNvSpPr/>
      </xdr:nvSpPr>
      <xdr:spPr>
        <a:xfrm rot="16200000" flipH="1">
          <a:off x="9212793" y="104781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75</xdr:col>
      <xdr:colOff>0</xdr:colOff>
      <xdr:row>84</xdr:row>
      <xdr:rowOff>136072</xdr:rowOff>
    </xdr:from>
    <xdr:to>
      <xdr:col>77</xdr:col>
      <xdr:colOff>55717</xdr:colOff>
      <xdr:row>86</xdr:row>
      <xdr:rowOff>82778</xdr:rowOff>
    </xdr:to>
    <xdr:sp macro="" textlink="">
      <xdr:nvSpPr>
        <xdr:cNvPr id="26" name="Freccia curva 66">
          <a:extLst>
            <a:ext uri="{FF2B5EF4-FFF2-40B4-BE49-F238E27FC236}">
              <a16:creationId xmlns:a16="http://schemas.microsoft.com/office/drawing/2014/main" id="{00000000-0008-0000-1F00-00001A000000}"/>
            </a:ext>
          </a:extLst>
        </xdr:cNvPr>
        <xdr:cNvSpPr/>
      </xdr:nvSpPr>
      <xdr:spPr>
        <a:xfrm rot="16200000" flipH="1">
          <a:off x="9212793" y="104781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46</xdr:col>
      <xdr:colOff>46691</xdr:colOff>
      <xdr:row>93</xdr:row>
      <xdr:rowOff>118493</xdr:rowOff>
    </xdr:from>
    <xdr:to>
      <xdr:col>48</xdr:col>
      <xdr:colOff>74536</xdr:colOff>
      <xdr:row>96</xdr:row>
      <xdr:rowOff>52529</xdr:rowOff>
    </xdr:to>
    <xdr:sp macro="" textlink="">
      <xdr:nvSpPr>
        <xdr:cNvPr id="27" name="Freccia a inversione 13">
          <a:extLst>
            <a:ext uri="{FF2B5EF4-FFF2-40B4-BE49-F238E27FC236}">
              <a16:creationId xmlns:a16="http://schemas.microsoft.com/office/drawing/2014/main" id="{00000000-0008-0000-1F00-00001B000000}"/>
            </a:ext>
          </a:extLst>
        </xdr:cNvPr>
        <xdr:cNvSpPr/>
      </xdr:nvSpPr>
      <xdr:spPr>
        <a:xfrm rot="10800000" flipV="1">
          <a:off x="5618816" y="116342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49</xdr:col>
      <xdr:colOff>36089</xdr:colOff>
      <xdr:row>94</xdr:row>
      <xdr:rowOff>3514</xdr:rowOff>
    </xdr:from>
    <xdr:to>
      <xdr:col>51</xdr:col>
      <xdr:colOff>59418</xdr:colOff>
      <xdr:row>96</xdr:row>
      <xdr:rowOff>50582</xdr:rowOff>
    </xdr:to>
    <xdr:sp macro="" textlink="">
      <xdr:nvSpPr>
        <xdr:cNvPr id="28" name="Freccia curva 8">
          <a:extLst>
            <a:ext uri="{FF2B5EF4-FFF2-40B4-BE49-F238E27FC236}">
              <a16:creationId xmlns:a16="http://schemas.microsoft.com/office/drawing/2014/main" id="{00000000-0008-0000-1F00-00001C000000}"/>
            </a:ext>
          </a:extLst>
        </xdr:cNvPr>
        <xdr:cNvSpPr/>
      </xdr:nvSpPr>
      <xdr:spPr>
        <a:xfrm flipH="1">
          <a:off x="5979689" y="116430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38</xdr:col>
      <xdr:colOff>75504</xdr:colOff>
      <xdr:row>84</xdr:row>
      <xdr:rowOff>122353</xdr:rowOff>
    </xdr:from>
    <xdr:to>
      <xdr:col>41</xdr:col>
      <xdr:colOff>21625</xdr:colOff>
      <xdr:row>86</xdr:row>
      <xdr:rowOff>1635</xdr:rowOff>
    </xdr:to>
    <xdr:sp macro="" textlink="">
      <xdr:nvSpPr>
        <xdr:cNvPr id="29" name="Freccia in giù 9">
          <a:extLst>
            <a:ext uri="{FF2B5EF4-FFF2-40B4-BE49-F238E27FC236}">
              <a16:creationId xmlns:a16="http://schemas.microsoft.com/office/drawing/2014/main" id="{00000000-0008-0000-1F00-00001D000000}"/>
            </a:ext>
          </a:extLst>
        </xdr:cNvPr>
        <xdr:cNvSpPr/>
      </xdr:nvSpPr>
      <xdr:spPr>
        <a:xfrm rot="16200000">
          <a:off x="4752361" y="10428321"/>
          <a:ext cx="126932"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97574</xdr:colOff>
      <xdr:row>82</xdr:row>
      <xdr:rowOff>4645</xdr:rowOff>
    </xdr:from>
    <xdr:to>
      <xdr:col>77</xdr:col>
      <xdr:colOff>43694</xdr:colOff>
      <xdr:row>83</xdr:row>
      <xdr:rowOff>8166</xdr:rowOff>
    </xdr:to>
    <xdr:sp macro="" textlink="">
      <xdr:nvSpPr>
        <xdr:cNvPr id="30" name="Freccia in giù 9">
          <a:extLst>
            <a:ext uri="{FF2B5EF4-FFF2-40B4-BE49-F238E27FC236}">
              <a16:creationId xmlns:a16="http://schemas.microsoft.com/office/drawing/2014/main" id="{00000000-0008-0000-1F00-00001E000000}"/>
            </a:ext>
          </a:extLst>
        </xdr:cNvPr>
        <xdr:cNvSpPr/>
      </xdr:nvSpPr>
      <xdr:spPr>
        <a:xfrm rot="5400000">
          <a:off x="9231924" y="100631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41799</xdr:colOff>
      <xdr:row>94</xdr:row>
      <xdr:rowOff>18603</xdr:rowOff>
    </xdr:from>
    <xdr:to>
      <xdr:col>68</xdr:col>
      <xdr:colOff>74730</xdr:colOff>
      <xdr:row>96</xdr:row>
      <xdr:rowOff>42207</xdr:rowOff>
    </xdr:to>
    <xdr:sp macro="" textlink="">
      <xdr:nvSpPr>
        <xdr:cNvPr id="31" name="Freccia curva 7">
          <a:extLst>
            <a:ext uri="{FF2B5EF4-FFF2-40B4-BE49-F238E27FC236}">
              <a16:creationId xmlns:a16="http://schemas.microsoft.com/office/drawing/2014/main" id="{00000000-0008-0000-1F00-00001F000000}"/>
            </a:ext>
          </a:extLst>
        </xdr:cNvPr>
        <xdr:cNvSpPr/>
      </xdr:nvSpPr>
      <xdr:spPr>
        <a:xfrm>
          <a:off x="8090424" y="116581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107674</xdr:colOff>
      <xdr:row>78</xdr:row>
      <xdr:rowOff>57978</xdr:rowOff>
    </xdr:from>
    <xdr:to>
      <xdr:col>77</xdr:col>
      <xdr:colOff>7038</xdr:colOff>
      <xdr:row>80</xdr:row>
      <xdr:rowOff>90910</xdr:rowOff>
    </xdr:to>
    <xdr:sp macro="" textlink="">
      <xdr:nvSpPr>
        <xdr:cNvPr id="32" name="Freccia curva 7">
          <a:extLst>
            <a:ext uri="{FF2B5EF4-FFF2-40B4-BE49-F238E27FC236}">
              <a16:creationId xmlns:a16="http://schemas.microsoft.com/office/drawing/2014/main" id="{00000000-0008-0000-1F00-000020000000}"/>
            </a:ext>
          </a:extLst>
        </xdr:cNvPr>
        <xdr:cNvSpPr/>
      </xdr:nvSpPr>
      <xdr:spPr>
        <a:xfrm rot="16200000">
          <a:off x="9142028" y="97211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60</xdr:col>
      <xdr:colOff>115839</xdr:colOff>
      <xdr:row>81</xdr:row>
      <xdr:rowOff>22488</xdr:rowOff>
    </xdr:from>
    <xdr:ext cx="963800" cy="311715"/>
    <xdr:sp macro="" textlink="">
      <xdr:nvSpPr>
        <xdr:cNvPr id="33" name="Rectangle 32">
          <a:extLst>
            <a:ext uri="{FF2B5EF4-FFF2-40B4-BE49-F238E27FC236}">
              <a16:creationId xmlns:a16="http://schemas.microsoft.com/office/drawing/2014/main" id="{00000000-0008-0000-1F00-000021000000}"/>
            </a:ext>
          </a:extLst>
        </xdr:cNvPr>
        <xdr:cNvSpPr/>
      </xdr:nvSpPr>
      <xdr:spPr>
        <a:xfrm>
          <a:off x="7421514" y="1005231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26</xdr:col>
      <xdr:colOff>4024</xdr:colOff>
      <xdr:row>81</xdr:row>
      <xdr:rowOff>27872</xdr:rowOff>
    </xdr:from>
    <xdr:ext cx="963800" cy="311715"/>
    <xdr:sp macro="" textlink="">
      <xdr:nvSpPr>
        <xdr:cNvPr id="34" name="Rectangle 33">
          <a:extLst>
            <a:ext uri="{FF2B5EF4-FFF2-40B4-BE49-F238E27FC236}">
              <a16:creationId xmlns:a16="http://schemas.microsoft.com/office/drawing/2014/main" id="{00000000-0008-0000-1F00-000022000000}"/>
            </a:ext>
          </a:extLst>
        </xdr:cNvPr>
        <xdr:cNvSpPr/>
      </xdr:nvSpPr>
      <xdr:spPr>
        <a:xfrm>
          <a:off x="3099649" y="100576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46</xdr:col>
      <xdr:colOff>111698</xdr:colOff>
      <xdr:row>80</xdr:row>
      <xdr:rowOff>118981</xdr:rowOff>
    </xdr:from>
    <xdr:ext cx="963800" cy="311715"/>
    <xdr:sp macro="" textlink="">
      <xdr:nvSpPr>
        <xdr:cNvPr id="35" name="Rectangle 34">
          <a:extLst>
            <a:ext uri="{FF2B5EF4-FFF2-40B4-BE49-F238E27FC236}">
              <a16:creationId xmlns:a16="http://schemas.microsoft.com/office/drawing/2014/main" id="{00000000-0008-0000-1F00-000023000000}"/>
            </a:ext>
          </a:extLst>
        </xdr:cNvPr>
        <xdr:cNvSpPr/>
      </xdr:nvSpPr>
      <xdr:spPr>
        <a:xfrm>
          <a:off x="5683823" y="10024981"/>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50</xdr:col>
      <xdr:colOff>97574</xdr:colOff>
      <xdr:row>76</xdr:row>
      <xdr:rowOff>4645</xdr:rowOff>
    </xdr:from>
    <xdr:to>
      <xdr:col>53</xdr:col>
      <xdr:colOff>43694</xdr:colOff>
      <xdr:row>77</xdr:row>
      <xdr:rowOff>8166</xdr:rowOff>
    </xdr:to>
    <xdr:sp macro="" textlink="">
      <xdr:nvSpPr>
        <xdr:cNvPr id="36" name="Freccia in giù 9">
          <a:extLst>
            <a:ext uri="{FF2B5EF4-FFF2-40B4-BE49-F238E27FC236}">
              <a16:creationId xmlns:a16="http://schemas.microsoft.com/office/drawing/2014/main" id="{00000000-0008-0000-1F00-000024000000}"/>
            </a:ext>
          </a:extLst>
        </xdr:cNvPr>
        <xdr:cNvSpPr/>
      </xdr:nvSpPr>
      <xdr:spPr>
        <a:xfrm rot="5400000">
          <a:off x="6260124" y="93202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27</xdr:col>
      <xdr:colOff>75504</xdr:colOff>
      <xdr:row>90</xdr:row>
      <xdr:rowOff>122353</xdr:rowOff>
    </xdr:from>
    <xdr:to>
      <xdr:col>30</xdr:col>
      <xdr:colOff>21625</xdr:colOff>
      <xdr:row>92</xdr:row>
      <xdr:rowOff>1635</xdr:rowOff>
    </xdr:to>
    <xdr:sp macro="" textlink="">
      <xdr:nvSpPr>
        <xdr:cNvPr id="37" name="Freccia in giù 9">
          <a:extLst>
            <a:ext uri="{FF2B5EF4-FFF2-40B4-BE49-F238E27FC236}">
              <a16:creationId xmlns:a16="http://schemas.microsoft.com/office/drawing/2014/main" id="{00000000-0008-0000-1F00-000025000000}"/>
            </a:ext>
          </a:extLst>
        </xdr:cNvPr>
        <xdr:cNvSpPr/>
      </xdr:nvSpPr>
      <xdr:spPr>
        <a:xfrm rot="16200000">
          <a:off x="3390286" y="11171271"/>
          <a:ext cx="126932"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53</xdr:col>
      <xdr:colOff>4251</xdr:colOff>
      <xdr:row>93</xdr:row>
      <xdr:rowOff>111490</xdr:rowOff>
    </xdr:from>
    <xdr:to>
      <xdr:col>54</xdr:col>
      <xdr:colOff>17064</xdr:colOff>
      <xdr:row>96</xdr:row>
      <xdr:rowOff>29732</xdr:rowOff>
    </xdr:to>
    <xdr:sp macro="" textlink="">
      <xdr:nvSpPr>
        <xdr:cNvPr id="38" name="Freccia in giù 9">
          <a:extLst>
            <a:ext uri="{FF2B5EF4-FFF2-40B4-BE49-F238E27FC236}">
              <a16:creationId xmlns:a16="http://schemas.microsoft.com/office/drawing/2014/main" id="{00000000-0008-0000-1F00-000026000000}"/>
            </a:ext>
          </a:extLst>
        </xdr:cNvPr>
        <xdr:cNvSpPr/>
      </xdr:nvSpPr>
      <xdr:spPr>
        <a:xfrm rot="10800000">
          <a:off x="6443151" y="11627215"/>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xdr:col>
      <xdr:colOff>66020</xdr:colOff>
      <xdr:row>78</xdr:row>
      <xdr:rowOff>58156</xdr:rowOff>
    </xdr:from>
    <xdr:to>
      <xdr:col>6</xdr:col>
      <xdr:colOff>24702</xdr:colOff>
      <xdr:row>80</xdr:row>
      <xdr:rowOff>69436</xdr:rowOff>
    </xdr:to>
    <xdr:sp macro="" textlink="">
      <xdr:nvSpPr>
        <xdr:cNvPr id="39" name="Freccia a inversione 13">
          <a:extLst>
            <a:ext uri="{FF2B5EF4-FFF2-40B4-BE49-F238E27FC236}">
              <a16:creationId xmlns:a16="http://schemas.microsoft.com/office/drawing/2014/main" id="{00000000-0008-0000-1F00-000027000000}"/>
            </a:ext>
          </a:extLst>
        </xdr:cNvPr>
        <xdr:cNvSpPr/>
      </xdr:nvSpPr>
      <xdr:spPr>
        <a:xfrm rot="16200000" flipV="1">
          <a:off x="349284" y="968089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94989</xdr:colOff>
      <xdr:row>87</xdr:row>
      <xdr:rowOff>82275</xdr:rowOff>
    </xdr:from>
    <xdr:to>
      <xdr:col>77</xdr:col>
      <xdr:colOff>56903</xdr:colOff>
      <xdr:row>89</xdr:row>
      <xdr:rowOff>91535</xdr:rowOff>
    </xdr:to>
    <xdr:sp macro="" textlink="">
      <xdr:nvSpPr>
        <xdr:cNvPr id="40" name="Freccia a inversione 13">
          <a:extLst>
            <a:ext uri="{FF2B5EF4-FFF2-40B4-BE49-F238E27FC236}">
              <a16:creationId xmlns:a16="http://schemas.microsoft.com/office/drawing/2014/main" id="{00000000-0008-0000-1F00-000028000000}"/>
            </a:ext>
          </a:extLst>
        </xdr:cNvPr>
        <xdr:cNvSpPr/>
      </xdr:nvSpPr>
      <xdr:spPr>
        <a:xfrm rot="5400000" flipV="1">
          <a:off x="9172454" y="1081681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xdr:col>
      <xdr:colOff>104776</xdr:colOff>
      <xdr:row>22</xdr:row>
      <xdr:rowOff>9525</xdr:rowOff>
    </xdr:from>
    <xdr:to>
      <xdr:col>8</xdr:col>
      <xdr:colOff>5</xdr:colOff>
      <xdr:row>38</xdr:row>
      <xdr:rowOff>76202</xdr:rowOff>
    </xdr:to>
    <xdr:cxnSp macro="">
      <xdr:nvCxnSpPr>
        <xdr:cNvPr id="42" name="Straight Connector 41">
          <a:extLst>
            <a:ext uri="{FF2B5EF4-FFF2-40B4-BE49-F238E27FC236}">
              <a16:creationId xmlns:a16="http://schemas.microsoft.com/office/drawing/2014/main" id="{00000000-0008-0000-1F00-00002A000000}"/>
            </a:ext>
          </a:extLst>
        </xdr:cNvPr>
        <xdr:cNvCxnSpPr/>
      </xdr:nvCxnSpPr>
      <xdr:spPr>
        <a:xfrm rot="16200000" flipV="1">
          <a:off x="-323848" y="3562349"/>
          <a:ext cx="2047877" cy="39052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69</xdr:col>
      <xdr:colOff>85725</xdr:colOff>
      <xdr:row>106</xdr:row>
      <xdr:rowOff>9525</xdr:rowOff>
    </xdr:from>
    <xdr:to>
      <xdr:col>79</xdr:col>
      <xdr:colOff>28574</xdr:colOff>
      <xdr:row>109</xdr:row>
      <xdr:rowOff>114300</xdr:rowOff>
    </xdr:to>
    <xdr:sp macro="" textlink="">
      <xdr:nvSpPr>
        <xdr:cNvPr id="43" name="Right Arrow 42">
          <a:hlinkClick xmlns:r="http://schemas.openxmlformats.org/officeDocument/2006/relationships" r:id="rId2"/>
          <a:extLst>
            <a:ext uri="{FF2B5EF4-FFF2-40B4-BE49-F238E27FC236}">
              <a16:creationId xmlns:a16="http://schemas.microsoft.com/office/drawing/2014/main" id="{00000000-0008-0000-1F00-00002B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17</xdr:col>
      <xdr:colOff>14286</xdr:colOff>
      <xdr:row>13</xdr:row>
      <xdr:rowOff>114303</xdr:rowOff>
    </xdr:from>
    <xdr:to>
      <xdr:col>44</xdr:col>
      <xdr:colOff>66868</xdr:colOff>
      <xdr:row>71</xdr:row>
      <xdr:rowOff>66679</xdr:rowOff>
    </xdr:to>
    <xdr:pic>
      <xdr:nvPicPr>
        <xdr:cNvPr id="46" name="Picture 45" descr="DCD-Model.jpg">
          <a:extLst>
            <a:ext uri="{FF2B5EF4-FFF2-40B4-BE49-F238E27FC236}">
              <a16:creationId xmlns:a16="http://schemas.microsoft.com/office/drawing/2014/main" id="{00000000-0008-0000-2000-00002E000000}"/>
            </a:ext>
          </a:extLst>
        </xdr:cNvPr>
        <xdr:cNvPicPr>
          <a:picLocks noChangeAspect="1"/>
        </xdr:cNvPicPr>
      </xdr:nvPicPr>
      <xdr:blipFill>
        <a:blip xmlns:r="http://schemas.openxmlformats.org/officeDocument/2006/relationships" r:embed="rId1" cstate="print"/>
        <a:srcRect t="16177" r="465" b="17754"/>
        <a:stretch>
          <a:fillRect/>
        </a:stretch>
      </xdr:blipFill>
      <xdr:spPr>
        <a:xfrm rot="5400000">
          <a:off x="164402" y="3593212"/>
          <a:ext cx="7134226" cy="3395857"/>
        </a:xfrm>
        <a:prstGeom prst="rect">
          <a:avLst/>
        </a:prstGeom>
      </xdr:spPr>
    </xdr:pic>
    <xdr:clientData/>
  </xdr:twoCellAnchor>
  <xdr:oneCellAnchor>
    <xdr:from>
      <xdr:col>4</xdr:col>
      <xdr:colOff>9553</xdr:colOff>
      <xdr:row>27</xdr:row>
      <xdr:rowOff>21610</xdr:rowOff>
    </xdr:from>
    <xdr:ext cx="1235761" cy="313954"/>
    <xdr:sp macro="" textlink="">
      <xdr:nvSpPr>
        <xdr:cNvPr id="3" name="Rectangle 2">
          <a:extLst>
            <a:ext uri="{FF2B5EF4-FFF2-40B4-BE49-F238E27FC236}">
              <a16:creationId xmlns:a16="http://schemas.microsoft.com/office/drawing/2014/main" id="{00000000-0008-0000-2000-000003000000}"/>
            </a:ext>
          </a:extLst>
        </xdr:cNvPr>
        <xdr:cNvSpPr/>
      </xdr:nvSpPr>
      <xdr:spPr>
        <a:xfrm>
          <a:off x="381028" y="336488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31</xdr:col>
      <xdr:colOff>3663</xdr:colOff>
      <xdr:row>52</xdr:row>
      <xdr:rowOff>0</xdr:rowOff>
    </xdr:from>
    <xdr:to>
      <xdr:col>47</xdr:col>
      <xdr:colOff>104775</xdr:colOff>
      <xdr:row>55</xdr:row>
      <xdr:rowOff>19783</xdr:rowOff>
    </xdr:to>
    <xdr:cxnSp macro="">
      <xdr:nvCxnSpPr>
        <xdr:cNvPr id="4" name="Straight Connector 3">
          <a:extLst>
            <a:ext uri="{FF2B5EF4-FFF2-40B4-BE49-F238E27FC236}">
              <a16:creationId xmlns:a16="http://schemas.microsoft.com/office/drawing/2014/main" id="{00000000-0008-0000-2000-000004000000}"/>
            </a:ext>
          </a:extLst>
        </xdr:cNvPr>
        <xdr:cNvCxnSpPr>
          <a:stCxn id="20" idx="6"/>
        </xdr:cNvCxnSpPr>
      </xdr:nvCxnSpPr>
      <xdr:spPr>
        <a:xfrm flipV="1">
          <a:off x="3718413" y="6438900"/>
          <a:ext cx="2082312" cy="39125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13188</xdr:colOff>
      <xdr:row>22</xdr:row>
      <xdr:rowOff>114300</xdr:rowOff>
    </xdr:from>
    <xdr:to>
      <xdr:col>48</xdr:col>
      <xdr:colOff>0</xdr:colOff>
      <xdr:row>25</xdr:row>
      <xdr:rowOff>38833</xdr:rowOff>
    </xdr:to>
    <xdr:cxnSp macro="">
      <xdr:nvCxnSpPr>
        <xdr:cNvPr id="5" name="Straight Connector 4">
          <a:extLst>
            <a:ext uri="{FF2B5EF4-FFF2-40B4-BE49-F238E27FC236}">
              <a16:creationId xmlns:a16="http://schemas.microsoft.com/office/drawing/2014/main" id="{00000000-0008-0000-2000-000005000000}"/>
            </a:ext>
          </a:extLst>
        </xdr:cNvPr>
        <xdr:cNvCxnSpPr>
          <a:stCxn id="16" idx="6"/>
        </xdr:cNvCxnSpPr>
      </xdr:nvCxnSpPr>
      <xdr:spPr>
        <a:xfrm flipV="1">
          <a:off x="4099413" y="2838450"/>
          <a:ext cx="1720362" cy="29600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0</xdr:colOff>
      <xdr:row>45</xdr:row>
      <xdr:rowOff>114300</xdr:rowOff>
    </xdr:from>
    <xdr:to>
      <xdr:col>26</xdr:col>
      <xdr:colOff>28575</xdr:colOff>
      <xdr:row>49</xdr:row>
      <xdr:rowOff>38100</xdr:rowOff>
    </xdr:to>
    <xdr:cxnSp macro="">
      <xdr:nvCxnSpPr>
        <xdr:cNvPr id="6" name="Straight Connector 5">
          <a:extLst>
            <a:ext uri="{FF2B5EF4-FFF2-40B4-BE49-F238E27FC236}">
              <a16:creationId xmlns:a16="http://schemas.microsoft.com/office/drawing/2014/main" id="{00000000-0008-0000-2000-000006000000}"/>
            </a:ext>
          </a:extLst>
        </xdr:cNvPr>
        <xdr:cNvCxnSpPr/>
      </xdr:nvCxnSpPr>
      <xdr:spPr>
        <a:xfrm>
          <a:off x="1609725" y="5686425"/>
          <a:ext cx="1514475" cy="41910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29</xdr:row>
      <xdr:rowOff>114300</xdr:rowOff>
    </xdr:from>
    <xdr:to>
      <xdr:col>29</xdr:col>
      <xdr:colOff>76200</xdr:colOff>
      <xdr:row>31</xdr:row>
      <xdr:rowOff>76933</xdr:rowOff>
    </xdr:to>
    <xdr:cxnSp macro="">
      <xdr:nvCxnSpPr>
        <xdr:cNvPr id="7" name="Straight Connector 6">
          <a:extLst>
            <a:ext uri="{FF2B5EF4-FFF2-40B4-BE49-F238E27FC236}">
              <a16:creationId xmlns:a16="http://schemas.microsoft.com/office/drawing/2014/main" id="{00000000-0008-0000-2000-000007000000}"/>
            </a:ext>
          </a:extLst>
        </xdr:cNvPr>
        <xdr:cNvCxnSpPr>
          <a:endCxn id="15" idx="2"/>
        </xdr:cNvCxnSpPr>
      </xdr:nvCxnSpPr>
      <xdr:spPr>
        <a:xfrm>
          <a:off x="1619250" y="3705225"/>
          <a:ext cx="1924050" cy="210283"/>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114300</xdr:colOff>
      <xdr:row>20</xdr:row>
      <xdr:rowOff>57150</xdr:rowOff>
    </xdr:from>
    <xdr:ext cx="1235761" cy="313954"/>
    <xdr:sp macro="" textlink="">
      <xdr:nvSpPr>
        <xdr:cNvPr id="8" name="Rectangle 7">
          <a:extLst>
            <a:ext uri="{FF2B5EF4-FFF2-40B4-BE49-F238E27FC236}">
              <a16:creationId xmlns:a16="http://schemas.microsoft.com/office/drawing/2014/main" id="{00000000-0008-0000-2000-000008000000}"/>
            </a:ext>
          </a:extLst>
        </xdr:cNvPr>
        <xdr:cNvSpPr/>
      </xdr:nvSpPr>
      <xdr:spPr>
        <a:xfrm>
          <a:off x="5810250" y="253365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xdr:col>
      <xdr:colOff>114300</xdr:colOff>
      <xdr:row>56</xdr:row>
      <xdr:rowOff>28575</xdr:rowOff>
    </xdr:from>
    <xdr:ext cx="1235761" cy="313954"/>
    <xdr:sp macro="" textlink="">
      <xdr:nvSpPr>
        <xdr:cNvPr id="9" name="Rectangle 8">
          <a:extLst>
            <a:ext uri="{FF2B5EF4-FFF2-40B4-BE49-F238E27FC236}">
              <a16:creationId xmlns:a16="http://schemas.microsoft.com/office/drawing/2014/main" id="{00000000-0008-0000-2000-000009000000}"/>
            </a:ext>
          </a:extLst>
        </xdr:cNvPr>
        <xdr:cNvSpPr/>
      </xdr:nvSpPr>
      <xdr:spPr>
        <a:xfrm>
          <a:off x="361950" y="696277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34</xdr:col>
      <xdr:colOff>13188</xdr:colOff>
      <xdr:row>34</xdr:row>
      <xdr:rowOff>123824</xdr:rowOff>
    </xdr:from>
    <xdr:to>
      <xdr:col>47</xdr:col>
      <xdr:colOff>104775</xdr:colOff>
      <xdr:row>37</xdr:row>
      <xdr:rowOff>19782</xdr:rowOff>
    </xdr:to>
    <xdr:cxnSp macro="">
      <xdr:nvCxnSpPr>
        <xdr:cNvPr id="10" name="Straight Connector 9">
          <a:extLst>
            <a:ext uri="{FF2B5EF4-FFF2-40B4-BE49-F238E27FC236}">
              <a16:creationId xmlns:a16="http://schemas.microsoft.com/office/drawing/2014/main" id="{00000000-0008-0000-2000-00000A000000}"/>
            </a:ext>
          </a:extLst>
        </xdr:cNvPr>
        <xdr:cNvCxnSpPr>
          <a:endCxn id="17" idx="6"/>
        </xdr:cNvCxnSpPr>
      </xdr:nvCxnSpPr>
      <xdr:spPr>
        <a:xfrm rot="10800000" flipV="1">
          <a:off x="4099413" y="4333874"/>
          <a:ext cx="1701312" cy="26743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47</xdr:col>
      <xdr:colOff>114300</xdr:colOff>
      <xdr:row>49</xdr:row>
      <xdr:rowOff>38100</xdr:rowOff>
    </xdr:from>
    <xdr:ext cx="1235761" cy="313954"/>
    <xdr:sp macro="" textlink="">
      <xdr:nvSpPr>
        <xdr:cNvPr id="11" name="Rectangle 10">
          <a:extLst>
            <a:ext uri="{FF2B5EF4-FFF2-40B4-BE49-F238E27FC236}">
              <a16:creationId xmlns:a16="http://schemas.microsoft.com/office/drawing/2014/main" id="{00000000-0008-0000-2000-00000B000000}"/>
            </a:ext>
          </a:extLst>
        </xdr:cNvPr>
        <xdr:cNvSpPr/>
      </xdr:nvSpPr>
      <xdr:spPr>
        <a:xfrm>
          <a:off x="5810250" y="610552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13</xdr:col>
      <xdr:colOff>114300</xdr:colOff>
      <xdr:row>59</xdr:row>
      <xdr:rowOff>0</xdr:rowOff>
    </xdr:from>
    <xdr:to>
      <xdr:col>26</xdr:col>
      <xdr:colOff>57150</xdr:colOff>
      <xdr:row>61</xdr:row>
      <xdr:rowOff>67408</xdr:rowOff>
    </xdr:to>
    <xdr:cxnSp macro="">
      <xdr:nvCxnSpPr>
        <xdr:cNvPr id="12" name="Straight Connector 11">
          <a:extLst>
            <a:ext uri="{FF2B5EF4-FFF2-40B4-BE49-F238E27FC236}">
              <a16:creationId xmlns:a16="http://schemas.microsoft.com/office/drawing/2014/main" id="{00000000-0008-0000-2000-00000C000000}"/>
            </a:ext>
          </a:extLst>
        </xdr:cNvPr>
        <xdr:cNvCxnSpPr>
          <a:endCxn id="18" idx="2"/>
        </xdr:cNvCxnSpPr>
      </xdr:nvCxnSpPr>
      <xdr:spPr>
        <a:xfrm>
          <a:off x="1600200" y="7305675"/>
          <a:ext cx="1552575" cy="315058"/>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9553</xdr:colOff>
      <xdr:row>32</xdr:row>
      <xdr:rowOff>21610</xdr:rowOff>
    </xdr:from>
    <xdr:ext cx="1235761" cy="313954"/>
    <xdr:sp macro="" textlink="">
      <xdr:nvSpPr>
        <xdr:cNvPr id="13" name="Rectangle 12">
          <a:extLst>
            <a:ext uri="{FF2B5EF4-FFF2-40B4-BE49-F238E27FC236}">
              <a16:creationId xmlns:a16="http://schemas.microsoft.com/office/drawing/2014/main" id="{00000000-0008-0000-2000-00000D000000}"/>
            </a:ext>
          </a:extLst>
        </xdr:cNvPr>
        <xdr:cNvSpPr/>
      </xdr:nvSpPr>
      <xdr:spPr>
        <a:xfrm>
          <a:off x="5829328" y="398401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xdr:col>
      <xdr:colOff>9553</xdr:colOff>
      <xdr:row>43</xdr:row>
      <xdr:rowOff>21610</xdr:rowOff>
    </xdr:from>
    <xdr:ext cx="1235761" cy="313954"/>
    <xdr:sp macro="" textlink="">
      <xdr:nvSpPr>
        <xdr:cNvPr id="14" name="Rectangle 13">
          <a:extLst>
            <a:ext uri="{FF2B5EF4-FFF2-40B4-BE49-F238E27FC236}">
              <a16:creationId xmlns:a16="http://schemas.microsoft.com/office/drawing/2014/main" id="{00000000-0008-0000-2000-00000E000000}"/>
            </a:ext>
          </a:extLst>
        </xdr:cNvPr>
        <xdr:cNvSpPr/>
      </xdr:nvSpPr>
      <xdr:spPr>
        <a:xfrm>
          <a:off x="381028" y="534608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29</xdr:col>
      <xdr:colOff>76200</xdr:colOff>
      <xdr:row>30</xdr:row>
      <xdr:rowOff>109538</xdr:rowOff>
    </xdr:from>
    <xdr:to>
      <xdr:col>31</xdr:col>
      <xdr:colOff>3663</xdr:colOff>
      <xdr:row>32</xdr:row>
      <xdr:rowOff>44328</xdr:rowOff>
    </xdr:to>
    <xdr:sp macro="" textlink="">
      <xdr:nvSpPr>
        <xdr:cNvPr id="15" name="Oval 14">
          <a:extLst>
            <a:ext uri="{FF2B5EF4-FFF2-40B4-BE49-F238E27FC236}">
              <a16:creationId xmlns:a16="http://schemas.microsoft.com/office/drawing/2014/main" id="{00000000-0008-0000-2000-00000F000000}"/>
            </a:ext>
          </a:extLst>
        </xdr:cNvPr>
        <xdr:cNvSpPr/>
      </xdr:nvSpPr>
      <xdr:spPr>
        <a:xfrm>
          <a:off x="3543300" y="382428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85725</xdr:colOff>
      <xdr:row>24</xdr:row>
      <xdr:rowOff>71438</xdr:rowOff>
    </xdr:from>
    <xdr:to>
      <xdr:col>34</xdr:col>
      <xdr:colOff>13188</xdr:colOff>
      <xdr:row>26</xdr:row>
      <xdr:rowOff>6228</xdr:rowOff>
    </xdr:to>
    <xdr:sp macro="" textlink="">
      <xdr:nvSpPr>
        <xdr:cNvPr id="16" name="Oval 15">
          <a:extLst>
            <a:ext uri="{FF2B5EF4-FFF2-40B4-BE49-F238E27FC236}">
              <a16:creationId xmlns:a16="http://schemas.microsoft.com/office/drawing/2014/main" id="{00000000-0008-0000-2000-000010000000}"/>
            </a:ext>
          </a:extLst>
        </xdr:cNvPr>
        <xdr:cNvSpPr/>
      </xdr:nvSpPr>
      <xdr:spPr>
        <a:xfrm>
          <a:off x="3924300" y="304323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85725</xdr:colOff>
      <xdr:row>36</xdr:row>
      <xdr:rowOff>52388</xdr:rowOff>
    </xdr:from>
    <xdr:to>
      <xdr:col>34</xdr:col>
      <xdr:colOff>13188</xdr:colOff>
      <xdr:row>37</xdr:row>
      <xdr:rowOff>111003</xdr:rowOff>
    </xdr:to>
    <xdr:sp macro="" textlink="">
      <xdr:nvSpPr>
        <xdr:cNvPr id="17" name="Oval 16">
          <a:extLst>
            <a:ext uri="{FF2B5EF4-FFF2-40B4-BE49-F238E27FC236}">
              <a16:creationId xmlns:a16="http://schemas.microsoft.com/office/drawing/2014/main" id="{00000000-0008-0000-2000-000011000000}"/>
            </a:ext>
          </a:extLst>
        </xdr:cNvPr>
        <xdr:cNvSpPr/>
      </xdr:nvSpPr>
      <xdr:spPr>
        <a:xfrm>
          <a:off x="3924300" y="451008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57150</xdr:colOff>
      <xdr:row>60</xdr:row>
      <xdr:rowOff>100013</xdr:rowOff>
    </xdr:from>
    <xdr:to>
      <xdr:col>27</xdr:col>
      <xdr:colOff>108438</xdr:colOff>
      <xdr:row>62</xdr:row>
      <xdr:rowOff>34803</xdr:rowOff>
    </xdr:to>
    <xdr:sp macro="" textlink="">
      <xdr:nvSpPr>
        <xdr:cNvPr id="18" name="Oval 17">
          <a:extLst>
            <a:ext uri="{FF2B5EF4-FFF2-40B4-BE49-F238E27FC236}">
              <a16:creationId xmlns:a16="http://schemas.microsoft.com/office/drawing/2014/main" id="{00000000-0008-0000-2000-000012000000}"/>
            </a:ext>
          </a:extLst>
        </xdr:cNvPr>
        <xdr:cNvSpPr/>
      </xdr:nvSpPr>
      <xdr:spPr>
        <a:xfrm>
          <a:off x="3152775" y="752951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57150</xdr:colOff>
      <xdr:row>48</xdr:row>
      <xdr:rowOff>61913</xdr:rowOff>
    </xdr:from>
    <xdr:to>
      <xdr:col>27</xdr:col>
      <xdr:colOff>108438</xdr:colOff>
      <xdr:row>49</xdr:row>
      <xdr:rowOff>120528</xdr:rowOff>
    </xdr:to>
    <xdr:sp macro="" textlink="">
      <xdr:nvSpPr>
        <xdr:cNvPr id="19" name="Oval 18">
          <a:extLst>
            <a:ext uri="{FF2B5EF4-FFF2-40B4-BE49-F238E27FC236}">
              <a16:creationId xmlns:a16="http://schemas.microsoft.com/office/drawing/2014/main" id="{00000000-0008-0000-2000-000013000000}"/>
            </a:ext>
          </a:extLst>
        </xdr:cNvPr>
        <xdr:cNvSpPr/>
      </xdr:nvSpPr>
      <xdr:spPr>
        <a:xfrm>
          <a:off x="3152775" y="600551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29</xdr:col>
      <xdr:colOff>76200</xdr:colOff>
      <xdr:row>54</xdr:row>
      <xdr:rowOff>52388</xdr:rowOff>
    </xdr:from>
    <xdr:to>
      <xdr:col>31</xdr:col>
      <xdr:colOff>3663</xdr:colOff>
      <xdr:row>55</xdr:row>
      <xdr:rowOff>111003</xdr:rowOff>
    </xdr:to>
    <xdr:sp macro="" textlink="">
      <xdr:nvSpPr>
        <xdr:cNvPr id="20" name="Oval 19">
          <a:extLst>
            <a:ext uri="{FF2B5EF4-FFF2-40B4-BE49-F238E27FC236}">
              <a16:creationId xmlns:a16="http://schemas.microsoft.com/office/drawing/2014/main" id="{00000000-0008-0000-2000-000014000000}"/>
            </a:ext>
          </a:extLst>
        </xdr:cNvPr>
        <xdr:cNvSpPr/>
      </xdr:nvSpPr>
      <xdr:spPr>
        <a:xfrm>
          <a:off x="3543300" y="673893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85</xdr:col>
      <xdr:colOff>63213</xdr:colOff>
      <xdr:row>5</xdr:row>
      <xdr:rowOff>91045</xdr:rowOff>
    </xdr:from>
    <xdr:to>
      <xdr:col>87</xdr:col>
      <xdr:colOff>86542</xdr:colOff>
      <xdr:row>8</xdr:row>
      <xdr:rowOff>14288</xdr:rowOff>
    </xdr:to>
    <xdr:sp macro="" textlink="">
      <xdr:nvSpPr>
        <xdr:cNvPr id="21" name="Freccia curva 8">
          <a:extLst>
            <a:ext uri="{FF2B5EF4-FFF2-40B4-BE49-F238E27FC236}">
              <a16:creationId xmlns:a16="http://schemas.microsoft.com/office/drawing/2014/main" id="{00000000-0008-0000-2000-000015000000}"/>
            </a:ext>
          </a:extLst>
        </xdr:cNvPr>
        <xdr:cNvSpPr/>
      </xdr:nvSpPr>
      <xdr:spPr>
        <a:xfrm rot="10800000" flipH="1">
          <a:off x="2787363" y="98732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101397</xdr:colOff>
      <xdr:row>5</xdr:row>
      <xdr:rowOff>51932</xdr:rowOff>
    </xdr:from>
    <xdr:to>
      <xdr:col>83</xdr:col>
      <xdr:colOff>114211</xdr:colOff>
      <xdr:row>7</xdr:row>
      <xdr:rowOff>95625</xdr:rowOff>
    </xdr:to>
    <xdr:sp macro="" textlink="">
      <xdr:nvSpPr>
        <xdr:cNvPr id="22" name="Freccia in giù 9">
          <a:extLst>
            <a:ext uri="{FF2B5EF4-FFF2-40B4-BE49-F238E27FC236}">
              <a16:creationId xmlns:a16="http://schemas.microsoft.com/office/drawing/2014/main" id="{00000000-0008-0000-2000-000016000000}"/>
            </a:ext>
          </a:extLst>
        </xdr:cNvPr>
        <xdr:cNvSpPr/>
      </xdr:nvSpPr>
      <xdr:spPr>
        <a:xfrm>
          <a:off x="2454072" y="98341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32507</xdr:colOff>
      <xdr:row>5</xdr:row>
      <xdr:rowOff>111530</xdr:rowOff>
    </xdr:from>
    <xdr:to>
      <xdr:col>81</xdr:col>
      <xdr:colOff>65439</xdr:colOff>
      <xdr:row>8</xdr:row>
      <xdr:rowOff>9683</xdr:rowOff>
    </xdr:to>
    <xdr:sp macro="" textlink="">
      <xdr:nvSpPr>
        <xdr:cNvPr id="23" name="Freccia curva 7">
          <a:extLst>
            <a:ext uri="{FF2B5EF4-FFF2-40B4-BE49-F238E27FC236}">
              <a16:creationId xmlns:a16="http://schemas.microsoft.com/office/drawing/2014/main" id="{00000000-0008-0000-2000-000017000000}"/>
            </a:ext>
          </a:extLst>
        </xdr:cNvPr>
        <xdr:cNvSpPr/>
      </xdr:nvSpPr>
      <xdr:spPr>
        <a:xfrm rot="10800000">
          <a:off x="2013707" y="98937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966</xdr:colOff>
      <xdr:row>68</xdr:row>
      <xdr:rowOff>110833</xdr:rowOff>
    </xdr:from>
    <xdr:to>
      <xdr:col>103</xdr:col>
      <xdr:colOff>13779</xdr:colOff>
      <xdr:row>71</xdr:row>
      <xdr:rowOff>29075</xdr:rowOff>
    </xdr:to>
    <xdr:sp macro="" textlink="">
      <xdr:nvSpPr>
        <xdr:cNvPr id="24" name="Freccia in giù 9">
          <a:extLst>
            <a:ext uri="{FF2B5EF4-FFF2-40B4-BE49-F238E27FC236}">
              <a16:creationId xmlns:a16="http://schemas.microsoft.com/office/drawing/2014/main" id="{00000000-0008-0000-2000-000018000000}"/>
            </a:ext>
          </a:extLst>
        </xdr:cNvPr>
        <xdr:cNvSpPr/>
      </xdr:nvSpPr>
      <xdr:spPr>
        <a:xfrm rot="10800000">
          <a:off x="4830141" y="178178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36089</xdr:colOff>
      <xdr:row>69</xdr:row>
      <xdr:rowOff>3514</xdr:rowOff>
    </xdr:from>
    <xdr:to>
      <xdr:col>100</xdr:col>
      <xdr:colOff>59418</xdr:colOff>
      <xdr:row>71</xdr:row>
      <xdr:rowOff>50582</xdr:rowOff>
    </xdr:to>
    <xdr:sp macro="" textlink="">
      <xdr:nvSpPr>
        <xdr:cNvPr id="25" name="Freccia curva 8">
          <a:extLst>
            <a:ext uri="{FF2B5EF4-FFF2-40B4-BE49-F238E27FC236}">
              <a16:creationId xmlns:a16="http://schemas.microsoft.com/office/drawing/2014/main" id="{00000000-0008-0000-2000-000019000000}"/>
            </a:ext>
          </a:extLst>
        </xdr:cNvPr>
        <xdr:cNvSpPr/>
      </xdr:nvSpPr>
      <xdr:spPr>
        <a:xfrm flipH="1">
          <a:off x="4369964" y="178343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51324</xdr:colOff>
      <xdr:row>69</xdr:row>
      <xdr:rowOff>9078</xdr:rowOff>
    </xdr:from>
    <xdr:to>
      <xdr:col>106</xdr:col>
      <xdr:colOff>84255</xdr:colOff>
      <xdr:row>71</xdr:row>
      <xdr:rowOff>32682</xdr:rowOff>
    </xdr:to>
    <xdr:sp macro="" textlink="">
      <xdr:nvSpPr>
        <xdr:cNvPr id="26" name="Freccia curva 7">
          <a:extLst>
            <a:ext uri="{FF2B5EF4-FFF2-40B4-BE49-F238E27FC236}">
              <a16:creationId xmlns:a16="http://schemas.microsoft.com/office/drawing/2014/main" id="{00000000-0008-0000-2000-00001A000000}"/>
            </a:ext>
          </a:extLst>
        </xdr:cNvPr>
        <xdr:cNvSpPr/>
      </xdr:nvSpPr>
      <xdr:spPr>
        <a:xfrm>
          <a:off x="5128149" y="1783987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66020</xdr:colOff>
      <xdr:row>42</xdr:row>
      <xdr:rowOff>58156</xdr:rowOff>
    </xdr:from>
    <xdr:to>
      <xdr:col>73</xdr:col>
      <xdr:colOff>24702</xdr:colOff>
      <xdr:row>44</xdr:row>
      <xdr:rowOff>69436</xdr:rowOff>
    </xdr:to>
    <xdr:sp macro="" textlink="">
      <xdr:nvSpPr>
        <xdr:cNvPr id="27" name="Freccia a inversione 13">
          <a:extLst>
            <a:ext uri="{FF2B5EF4-FFF2-40B4-BE49-F238E27FC236}">
              <a16:creationId xmlns:a16="http://schemas.microsoft.com/office/drawing/2014/main" id="{00000000-0008-0000-2000-00001B000000}"/>
            </a:ext>
          </a:extLst>
        </xdr:cNvPr>
        <xdr:cNvSpPr/>
      </xdr:nvSpPr>
      <xdr:spPr>
        <a:xfrm rot="16200000" flipV="1">
          <a:off x="968409" y="1451006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51289</xdr:colOff>
      <xdr:row>45</xdr:row>
      <xdr:rowOff>58615</xdr:rowOff>
    </xdr:from>
    <xdr:to>
      <xdr:col>72</xdr:col>
      <xdr:colOff>116943</xdr:colOff>
      <xdr:row>47</xdr:row>
      <xdr:rowOff>63358</xdr:rowOff>
    </xdr:to>
    <xdr:sp macro="" textlink="">
      <xdr:nvSpPr>
        <xdr:cNvPr id="28" name="Freccia curva 8">
          <a:extLst>
            <a:ext uri="{FF2B5EF4-FFF2-40B4-BE49-F238E27FC236}">
              <a16:creationId xmlns:a16="http://schemas.microsoft.com/office/drawing/2014/main" id="{00000000-0008-0000-2000-00001C000000}"/>
            </a:ext>
          </a:extLst>
        </xdr:cNvPr>
        <xdr:cNvSpPr/>
      </xdr:nvSpPr>
      <xdr:spPr>
        <a:xfrm rot="5400000" flipH="1">
          <a:off x="948519" y="148871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70</xdr:col>
      <xdr:colOff>73270</xdr:colOff>
      <xdr:row>59</xdr:row>
      <xdr:rowOff>80596</xdr:rowOff>
    </xdr:from>
    <xdr:to>
      <xdr:col>72</xdr:col>
      <xdr:colOff>134510</xdr:colOff>
      <xdr:row>61</xdr:row>
      <xdr:rowOff>94943</xdr:rowOff>
    </xdr:to>
    <xdr:sp macro="" textlink="">
      <xdr:nvSpPr>
        <xdr:cNvPr id="29" name="Freccia curva 7">
          <a:extLst>
            <a:ext uri="{FF2B5EF4-FFF2-40B4-BE49-F238E27FC236}">
              <a16:creationId xmlns:a16="http://schemas.microsoft.com/office/drawing/2014/main" id="{00000000-0008-0000-2000-00001D000000}"/>
            </a:ext>
          </a:extLst>
        </xdr:cNvPr>
        <xdr:cNvSpPr/>
      </xdr:nvSpPr>
      <xdr:spPr>
        <a:xfrm rot="5400000">
          <a:off x="958729" y="1665446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84</xdr:col>
      <xdr:colOff>42124</xdr:colOff>
      <xdr:row>15</xdr:row>
      <xdr:rowOff>37397</xdr:rowOff>
    </xdr:from>
    <xdr:ext cx="963800" cy="311715"/>
    <xdr:sp macro="" textlink="">
      <xdr:nvSpPr>
        <xdr:cNvPr id="30" name="Rectangle 29">
          <a:extLst>
            <a:ext uri="{FF2B5EF4-FFF2-40B4-BE49-F238E27FC236}">
              <a16:creationId xmlns:a16="http://schemas.microsoft.com/office/drawing/2014/main" id="{00000000-0008-0000-2000-00001E000000}"/>
            </a:ext>
          </a:extLst>
        </xdr:cNvPr>
        <xdr:cNvSpPr/>
      </xdr:nvSpPr>
      <xdr:spPr>
        <a:xfrm>
          <a:off x="2642449" y="1105782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113</xdr:col>
      <xdr:colOff>0</xdr:colOff>
      <xdr:row>29</xdr:row>
      <xdr:rowOff>136072</xdr:rowOff>
    </xdr:from>
    <xdr:to>
      <xdr:col>115</xdr:col>
      <xdr:colOff>55717</xdr:colOff>
      <xdr:row>31</xdr:row>
      <xdr:rowOff>82778</xdr:rowOff>
    </xdr:to>
    <xdr:sp macro="" textlink="">
      <xdr:nvSpPr>
        <xdr:cNvPr id="31" name="Freccia curva 66">
          <a:extLst>
            <a:ext uri="{FF2B5EF4-FFF2-40B4-BE49-F238E27FC236}">
              <a16:creationId xmlns:a16="http://schemas.microsoft.com/office/drawing/2014/main" id="{00000000-0008-0000-2000-00001F000000}"/>
            </a:ext>
          </a:extLst>
        </xdr:cNvPr>
        <xdr:cNvSpPr/>
      </xdr:nvSpPr>
      <xdr:spPr>
        <a:xfrm rot="16200000" flipH="1">
          <a:off x="6240993"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29</xdr:row>
      <xdr:rowOff>136072</xdr:rowOff>
    </xdr:from>
    <xdr:to>
      <xdr:col>115</xdr:col>
      <xdr:colOff>55717</xdr:colOff>
      <xdr:row>31</xdr:row>
      <xdr:rowOff>82778</xdr:rowOff>
    </xdr:to>
    <xdr:sp macro="" textlink="">
      <xdr:nvSpPr>
        <xdr:cNvPr id="32" name="Freccia curva 66">
          <a:extLst>
            <a:ext uri="{FF2B5EF4-FFF2-40B4-BE49-F238E27FC236}">
              <a16:creationId xmlns:a16="http://schemas.microsoft.com/office/drawing/2014/main" id="{00000000-0008-0000-2000-000020000000}"/>
            </a:ext>
          </a:extLst>
        </xdr:cNvPr>
        <xdr:cNvSpPr/>
      </xdr:nvSpPr>
      <xdr:spPr>
        <a:xfrm rot="16200000" flipH="1">
          <a:off x="6240993"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29</xdr:row>
      <xdr:rowOff>136072</xdr:rowOff>
    </xdr:from>
    <xdr:to>
      <xdr:col>115</xdr:col>
      <xdr:colOff>55717</xdr:colOff>
      <xdr:row>31</xdr:row>
      <xdr:rowOff>82778</xdr:rowOff>
    </xdr:to>
    <xdr:sp macro="" textlink="">
      <xdr:nvSpPr>
        <xdr:cNvPr id="33" name="Freccia curva 66">
          <a:extLst>
            <a:ext uri="{FF2B5EF4-FFF2-40B4-BE49-F238E27FC236}">
              <a16:creationId xmlns:a16="http://schemas.microsoft.com/office/drawing/2014/main" id="{00000000-0008-0000-2000-000021000000}"/>
            </a:ext>
          </a:extLst>
        </xdr:cNvPr>
        <xdr:cNvSpPr/>
      </xdr:nvSpPr>
      <xdr:spPr>
        <a:xfrm rot="16200000" flipH="1">
          <a:off x="6240993"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113</xdr:col>
      <xdr:colOff>0</xdr:colOff>
      <xdr:row>29</xdr:row>
      <xdr:rowOff>136072</xdr:rowOff>
    </xdr:from>
    <xdr:to>
      <xdr:col>115</xdr:col>
      <xdr:colOff>55717</xdr:colOff>
      <xdr:row>31</xdr:row>
      <xdr:rowOff>82778</xdr:rowOff>
    </xdr:to>
    <xdr:sp macro="" textlink="">
      <xdr:nvSpPr>
        <xdr:cNvPr id="34" name="Freccia curva 66">
          <a:extLst>
            <a:ext uri="{FF2B5EF4-FFF2-40B4-BE49-F238E27FC236}">
              <a16:creationId xmlns:a16="http://schemas.microsoft.com/office/drawing/2014/main" id="{00000000-0008-0000-2000-000022000000}"/>
            </a:ext>
          </a:extLst>
        </xdr:cNvPr>
        <xdr:cNvSpPr/>
      </xdr:nvSpPr>
      <xdr:spPr>
        <a:xfrm rot="16200000" flipH="1">
          <a:off x="6240993" y="128307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94989</xdr:colOff>
      <xdr:row>32</xdr:row>
      <xdr:rowOff>82275</xdr:rowOff>
    </xdr:from>
    <xdr:to>
      <xdr:col>115</xdr:col>
      <xdr:colOff>56903</xdr:colOff>
      <xdr:row>34</xdr:row>
      <xdr:rowOff>91535</xdr:rowOff>
    </xdr:to>
    <xdr:sp macro="" textlink="">
      <xdr:nvSpPr>
        <xdr:cNvPr id="35" name="Freccia a inversione 13">
          <a:extLst>
            <a:ext uri="{FF2B5EF4-FFF2-40B4-BE49-F238E27FC236}">
              <a16:creationId xmlns:a16="http://schemas.microsoft.com/office/drawing/2014/main" id="{00000000-0008-0000-2000-000023000000}"/>
            </a:ext>
          </a:extLst>
        </xdr:cNvPr>
        <xdr:cNvSpPr/>
      </xdr:nvSpPr>
      <xdr:spPr>
        <a:xfrm rot="5400000" flipV="1">
          <a:off x="6200654" y="131694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107674</xdr:colOff>
      <xdr:row>17</xdr:row>
      <xdr:rowOff>57978</xdr:rowOff>
    </xdr:from>
    <xdr:to>
      <xdr:col>115</xdr:col>
      <xdr:colOff>7038</xdr:colOff>
      <xdr:row>19</xdr:row>
      <xdr:rowOff>90910</xdr:rowOff>
    </xdr:to>
    <xdr:sp macro="" textlink="">
      <xdr:nvSpPr>
        <xdr:cNvPr id="36" name="Freccia curva 7">
          <a:extLst>
            <a:ext uri="{FF2B5EF4-FFF2-40B4-BE49-F238E27FC236}">
              <a16:creationId xmlns:a16="http://schemas.microsoft.com/office/drawing/2014/main" id="{00000000-0008-0000-2000-000024000000}"/>
            </a:ext>
          </a:extLst>
        </xdr:cNvPr>
        <xdr:cNvSpPr/>
      </xdr:nvSpPr>
      <xdr:spPr>
        <a:xfrm rot="16200000">
          <a:off x="6170228" y="1133092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93</xdr:col>
      <xdr:colOff>99274</xdr:colOff>
      <xdr:row>55</xdr:row>
      <xdr:rowOff>113597</xdr:rowOff>
    </xdr:from>
    <xdr:ext cx="963800" cy="311715"/>
    <xdr:sp macro="" textlink="">
      <xdr:nvSpPr>
        <xdr:cNvPr id="37" name="Rectangle 36">
          <a:extLst>
            <a:ext uri="{FF2B5EF4-FFF2-40B4-BE49-F238E27FC236}">
              <a16:creationId xmlns:a16="http://schemas.microsoft.com/office/drawing/2014/main" id="{00000000-0008-0000-2000-000025000000}"/>
            </a:ext>
          </a:extLst>
        </xdr:cNvPr>
        <xdr:cNvSpPr/>
      </xdr:nvSpPr>
      <xdr:spPr>
        <a:xfrm>
          <a:off x="3814024" y="162108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79</xdr:col>
      <xdr:colOff>22245</xdr:colOff>
      <xdr:row>55</xdr:row>
      <xdr:rowOff>113597</xdr:rowOff>
    </xdr:from>
    <xdr:ext cx="963800" cy="311715"/>
    <xdr:sp macro="" textlink="">
      <xdr:nvSpPr>
        <xdr:cNvPr id="38" name="Rectangle 37">
          <a:extLst>
            <a:ext uri="{FF2B5EF4-FFF2-40B4-BE49-F238E27FC236}">
              <a16:creationId xmlns:a16="http://schemas.microsoft.com/office/drawing/2014/main" id="{00000000-0008-0000-2000-000026000000}"/>
            </a:ext>
          </a:extLst>
        </xdr:cNvPr>
        <xdr:cNvSpPr/>
      </xdr:nvSpPr>
      <xdr:spPr>
        <a:xfrm>
          <a:off x="2003445" y="162108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94</xdr:col>
      <xdr:colOff>96216</xdr:colOff>
      <xdr:row>18</xdr:row>
      <xdr:rowOff>91783</xdr:rowOff>
    </xdr:from>
    <xdr:to>
      <xdr:col>95</xdr:col>
      <xdr:colOff>109029</xdr:colOff>
      <xdr:row>21</xdr:row>
      <xdr:rowOff>10025</xdr:rowOff>
    </xdr:to>
    <xdr:sp macro="" textlink="">
      <xdr:nvSpPr>
        <xdr:cNvPr id="39" name="Freccia in giù 9">
          <a:extLst>
            <a:ext uri="{FF2B5EF4-FFF2-40B4-BE49-F238E27FC236}">
              <a16:creationId xmlns:a16="http://schemas.microsoft.com/office/drawing/2014/main" id="{00000000-0008-0000-2000-000027000000}"/>
            </a:ext>
          </a:extLst>
        </xdr:cNvPr>
        <xdr:cNvSpPr/>
      </xdr:nvSpPr>
      <xdr:spPr>
        <a:xfrm rot="10800000">
          <a:off x="3934791" y="114836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101397</xdr:colOff>
      <xdr:row>55</xdr:row>
      <xdr:rowOff>51932</xdr:rowOff>
    </xdr:from>
    <xdr:to>
      <xdr:col>90</xdr:col>
      <xdr:colOff>114211</xdr:colOff>
      <xdr:row>57</xdr:row>
      <xdr:rowOff>95625</xdr:rowOff>
    </xdr:to>
    <xdr:sp macro="" textlink="">
      <xdr:nvSpPr>
        <xdr:cNvPr id="40" name="Freccia in giù 9">
          <a:extLst>
            <a:ext uri="{FF2B5EF4-FFF2-40B4-BE49-F238E27FC236}">
              <a16:creationId xmlns:a16="http://schemas.microsoft.com/office/drawing/2014/main" id="{00000000-0008-0000-2000-000028000000}"/>
            </a:ext>
          </a:extLst>
        </xdr:cNvPr>
        <xdr:cNvSpPr/>
      </xdr:nvSpPr>
      <xdr:spPr>
        <a:xfrm>
          <a:off x="3320847" y="161491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101397</xdr:colOff>
      <xdr:row>28</xdr:row>
      <xdr:rowOff>51932</xdr:rowOff>
    </xdr:from>
    <xdr:to>
      <xdr:col>95</xdr:col>
      <xdr:colOff>114211</xdr:colOff>
      <xdr:row>30</xdr:row>
      <xdr:rowOff>95625</xdr:rowOff>
    </xdr:to>
    <xdr:sp macro="" textlink="">
      <xdr:nvSpPr>
        <xdr:cNvPr id="41" name="Freccia in giù 9">
          <a:extLst>
            <a:ext uri="{FF2B5EF4-FFF2-40B4-BE49-F238E27FC236}">
              <a16:creationId xmlns:a16="http://schemas.microsoft.com/office/drawing/2014/main" id="{00000000-0008-0000-2000-000029000000}"/>
            </a:ext>
          </a:extLst>
        </xdr:cNvPr>
        <xdr:cNvSpPr/>
      </xdr:nvSpPr>
      <xdr:spPr>
        <a:xfrm>
          <a:off x="3939972" y="126820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96216</xdr:colOff>
      <xdr:row>45</xdr:row>
      <xdr:rowOff>91783</xdr:rowOff>
    </xdr:from>
    <xdr:to>
      <xdr:col>90</xdr:col>
      <xdr:colOff>109029</xdr:colOff>
      <xdr:row>48</xdr:row>
      <xdr:rowOff>10025</xdr:rowOff>
    </xdr:to>
    <xdr:sp macro="" textlink="">
      <xdr:nvSpPr>
        <xdr:cNvPr id="42" name="Freccia in giù 9">
          <a:extLst>
            <a:ext uri="{FF2B5EF4-FFF2-40B4-BE49-F238E27FC236}">
              <a16:creationId xmlns:a16="http://schemas.microsoft.com/office/drawing/2014/main" id="{00000000-0008-0000-2000-00002A000000}"/>
            </a:ext>
          </a:extLst>
        </xdr:cNvPr>
        <xdr:cNvSpPr/>
      </xdr:nvSpPr>
      <xdr:spPr>
        <a:xfrm rot="10800000">
          <a:off x="3315666" y="149507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98</xdr:col>
      <xdr:colOff>108799</xdr:colOff>
      <xdr:row>15</xdr:row>
      <xdr:rowOff>27872</xdr:rowOff>
    </xdr:from>
    <xdr:ext cx="963800" cy="311715"/>
    <xdr:sp macro="" textlink="">
      <xdr:nvSpPr>
        <xdr:cNvPr id="43" name="Rectangle 42">
          <a:extLst>
            <a:ext uri="{FF2B5EF4-FFF2-40B4-BE49-F238E27FC236}">
              <a16:creationId xmlns:a16="http://schemas.microsoft.com/office/drawing/2014/main" id="{00000000-0008-0000-2000-00002B000000}"/>
            </a:ext>
          </a:extLst>
        </xdr:cNvPr>
        <xdr:cNvSpPr/>
      </xdr:nvSpPr>
      <xdr:spPr>
        <a:xfrm>
          <a:off x="4442674" y="110482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99</xdr:col>
      <xdr:colOff>42124</xdr:colOff>
      <xdr:row>29</xdr:row>
      <xdr:rowOff>37397</xdr:rowOff>
    </xdr:from>
    <xdr:ext cx="963800" cy="311715"/>
    <xdr:sp macro="" textlink="">
      <xdr:nvSpPr>
        <xdr:cNvPr id="44" name="Rectangle 43">
          <a:extLst>
            <a:ext uri="{FF2B5EF4-FFF2-40B4-BE49-F238E27FC236}">
              <a16:creationId xmlns:a16="http://schemas.microsoft.com/office/drawing/2014/main" id="{00000000-0008-0000-2000-00002C000000}"/>
            </a:ext>
          </a:extLst>
        </xdr:cNvPr>
        <xdr:cNvSpPr/>
      </xdr:nvSpPr>
      <xdr:spPr>
        <a:xfrm>
          <a:off x="4499824" y="127913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79</xdr:col>
      <xdr:colOff>22245</xdr:colOff>
      <xdr:row>41</xdr:row>
      <xdr:rowOff>113597</xdr:rowOff>
    </xdr:from>
    <xdr:ext cx="963800" cy="311715"/>
    <xdr:sp macro="" textlink="">
      <xdr:nvSpPr>
        <xdr:cNvPr id="45" name="Rectangle 44">
          <a:extLst>
            <a:ext uri="{FF2B5EF4-FFF2-40B4-BE49-F238E27FC236}">
              <a16:creationId xmlns:a16="http://schemas.microsoft.com/office/drawing/2014/main" id="{00000000-0008-0000-2000-00002D000000}"/>
            </a:ext>
          </a:extLst>
        </xdr:cNvPr>
        <xdr:cNvSpPr/>
      </xdr:nvSpPr>
      <xdr:spPr>
        <a:xfrm>
          <a:off x="2003445" y="144772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112</xdr:col>
      <xdr:colOff>85725</xdr:colOff>
      <xdr:row>68</xdr:row>
      <xdr:rowOff>9525</xdr:rowOff>
    </xdr:from>
    <xdr:to>
      <xdr:col>122</xdr:col>
      <xdr:colOff>28574</xdr:colOff>
      <xdr:row>71</xdr:row>
      <xdr:rowOff>114300</xdr:rowOff>
    </xdr:to>
    <xdr:sp macro="" textlink="">
      <xdr:nvSpPr>
        <xdr:cNvPr id="47" name="Right Arrow 46">
          <a:hlinkClick xmlns:r="http://schemas.openxmlformats.org/officeDocument/2006/relationships" r:id="rId2"/>
          <a:extLst>
            <a:ext uri="{FF2B5EF4-FFF2-40B4-BE49-F238E27FC236}">
              <a16:creationId xmlns:a16="http://schemas.microsoft.com/office/drawing/2014/main" id="{00000000-0008-0000-2000-00002F000000}"/>
            </a:ext>
          </a:extLst>
        </xdr:cNvPr>
        <xdr:cNvSpPr/>
      </xdr:nvSpPr>
      <xdr:spPr>
        <a:xfrm>
          <a:off x="8534400" y="1303972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69</xdr:col>
      <xdr:colOff>85725</xdr:colOff>
      <xdr:row>106</xdr:row>
      <xdr:rowOff>9525</xdr:rowOff>
    </xdr:from>
    <xdr:to>
      <xdr:col>79</xdr:col>
      <xdr:colOff>28574</xdr:colOff>
      <xdr:row>109</xdr:row>
      <xdr:rowOff>114300</xdr:rowOff>
    </xdr:to>
    <xdr:sp macro="" textlink="">
      <xdr:nvSpPr>
        <xdr:cNvPr id="47" name="Right Arrow 46">
          <a:hlinkClick xmlns:r="http://schemas.openxmlformats.org/officeDocument/2006/relationships" r:id="rId1"/>
          <a:extLst>
            <a:ext uri="{FF2B5EF4-FFF2-40B4-BE49-F238E27FC236}">
              <a16:creationId xmlns:a16="http://schemas.microsoft.com/office/drawing/2014/main" id="{00000000-0008-0000-2100-00002F000000}"/>
            </a:ext>
          </a:extLst>
        </xdr:cNvPr>
        <xdr:cNvSpPr/>
      </xdr:nvSpPr>
      <xdr:spPr>
        <a:xfrm>
          <a:off x="6191250" y="175450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twoCellAnchor editAs="oneCell">
    <xdr:from>
      <xdr:col>8</xdr:col>
      <xdr:colOff>76200</xdr:colOff>
      <xdr:row>24</xdr:row>
      <xdr:rowOff>38100</xdr:rowOff>
    </xdr:from>
    <xdr:to>
      <xdr:col>71</xdr:col>
      <xdr:colOff>95250</xdr:colOff>
      <xdr:row>53</xdr:row>
      <xdr:rowOff>47625</xdr:rowOff>
    </xdr:to>
    <xdr:pic>
      <xdr:nvPicPr>
        <xdr:cNvPr id="46" name="Picture 45" descr="DCD-Model.jpg">
          <a:extLst>
            <a:ext uri="{FF2B5EF4-FFF2-40B4-BE49-F238E27FC236}">
              <a16:creationId xmlns:a16="http://schemas.microsoft.com/office/drawing/2014/main" id="{00000000-0008-0000-2100-00002E000000}"/>
            </a:ext>
          </a:extLst>
        </xdr:cNvPr>
        <xdr:cNvPicPr>
          <a:picLocks noChangeAspect="1"/>
        </xdr:cNvPicPr>
      </xdr:nvPicPr>
      <xdr:blipFill>
        <a:blip xmlns:r="http://schemas.openxmlformats.org/officeDocument/2006/relationships" r:embed="rId2" cstate="print"/>
        <a:srcRect t="16177" b="18786"/>
        <a:stretch>
          <a:fillRect/>
        </a:stretch>
      </xdr:blipFill>
      <xdr:spPr>
        <a:xfrm>
          <a:off x="971550" y="3009900"/>
          <a:ext cx="7820025" cy="3600450"/>
        </a:xfrm>
        <a:prstGeom prst="rect">
          <a:avLst/>
        </a:prstGeom>
      </xdr:spPr>
    </xdr:pic>
    <xdr:clientData/>
  </xdr:twoCellAnchor>
  <xdr:oneCellAnchor>
    <xdr:from>
      <xdr:col>15</xdr:col>
      <xdr:colOff>119857</xdr:colOff>
      <xdr:row>13</xdr:row>
      <xdr:rowOff>0</xdr:rowOff>
    </xdr:from>
    <xdr:ext cx="1213643" cy="351105"/>
    <xdr:sp macro="" textlink="">
      <xdr:nvSpPr>
        <xdr:cNvPr id="3" name="Rectangle 2">
          <a:extLst>
            <a:ext uri="{FF2B5EF4-FFF2-40B4-BE49-F238E27FC236}">
              <a16:creationId xmlns:a16="http://schemas.microsoft.com/office/drawing/2014/main" id="{00000000-0008-0000-2100-000003000000}"/>
            </a:ext>
          </a:extLst>
        </xdr:cNvPr>
        <xdr:cNvSpPr/>
      </xdr:nvSpPr>
      <xdr:spPr>
        <a:xfrm>
          <a:off x="1853407" y="1609725"/>
          <a:ext cx="1213643" cy="351105"/>
        </a:xfrm>
        <a:prstGeom prst="rect">
          <a:avLst/>
        </a:prstGeom>
        <a:noFill/>
      </xdr:spPr>
      <xdr:txBody>
        <a:bodyPr wrap="square" lIns="91440" tIns="45720" rIns="91440" bIns="45720">
          <a:no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xdr:col>
      <xdr:colOff>114299</xdr:colOff>
      <xdr:row>13</xdr:row>
      <xdr:rowOff>28575</xdr:rowOff>
    </xdr:from>
    <xdr:ext cx="1266825" cy="333375"/>
    <xdr:sp macro="" textlink="">
      <xdr:nvSpPr>
        <xdr:cNvPr id="4" name="Rectangle 3">
          <a:extLst>
            <a:ext uri="{FF2B5EF4-FFF2-40B4-BE49-F238E27FC236}">
              <a16:creationId xmlns:a16="http://schemas.microsoft.com/office/drawing/2014/main" id="{00000000-0008-0000-2100-000004000000}"/>
            </a:ext>
          </a:extLst>
        </xdr:cNvPr>
        <xdr:cNvSpPr/>
      </xdr:nvSpPr>
      <xdr:spPr>
        <a:xfrm>
          <a:off x="238124" y="1638300"/>
          <a:ext cx="1266825" cy="333375"/>
        </a:xfrm>
        <a:prstGeom prst="rect">
          <a:avLst/>
        </a:prstGeom>
        <a:noFill/>
      </xdr:spPr>
      <xdr:txBody>
        <a:bodyPr wrap="square" lIns="91440" tIns="45720" rIns="91440" bIns="45720">
          <a:no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55</xdr:col>
      <xdr:colOff>0</xdr:colOff>
      <xdr:row>13</xdr:row>
      <xdr:rowOff>19051</xdr:rowOff>
    </xdr:from>
    <xdr:ext cx="1238250" cy="330062"/>
    <xdr:sp macro="" textlink="">
      <xdr:nvSpPr>
        <xdr:cNvPr id="5" name="Rectangle 4">
          <a:extLst>
            <a:ext uri="{FF2B5EF4-FFF2-40B4-BE49-F238E27FC236}">
              <a16:creationId xmlns:a16="http://schemas.microsoft.com/office/drawing/2014/main" id="{00000000-0008-0000-2100-000005000000}"/>
            </a:ext>
          </a:extLst>
        </xdr:cNvPr>
        <xdr:cNvSpPr/>
      </xdr:nvSpPr>
      <xdr:spPr>
        <a:xfrm>
          <a:off x="6686550" y="1628776"/>
          <a:ext cx="1238250" cy="330062"/>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68</xdr:col>
      <xdr:colOff>9525</xdr:colOff>
      <xdr:row>13</xdr:row>
      <xdr:rowOff>19050</xdr:rowOff>
    </xdr:from>
    <xdr:ext cx="1209675" cy="323850"/>
    <xdr:sp macro="" textlink="">
      <xdr:nvSpPr>
        <xdr:cNvPr id="6" name="Rectangle 5">
          <a:extLst>
            <a:ext uri="{FF2B5EF4-FFF2-40B4-BE49-F238E27FC236}">
              <a16:creationId xmlns:a16="http://schemas.microsoft.com/office/drawing/2014/main" id="{00000000-0008-0000-2100-000006000000}"/>
            </a:ext>
          </a:extLst>
        </xdr:cNvPr>
        <xdr:cNvSpPr/>
      </xdr:nvSpPr>
      <xdr:spPr>
        <a:xfrm>
          <a:off x="8305800" y="1628775"/>
          <a:ext cx="1209675" cy="32385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28</xdr:col>
      <xdr:colOff>119857</xdr:colOff>
      <xdr:row>13</xdr:row>
      <xdr:rowOff>0</xdr:rowOff>
    </xdr:from>
    <xdr:ext cx="1213643" cy="351105"/>
    <xdr:sp macro="" textlink="">
      <xdr:nvSpPr>
        <xdr:cNvPr id="7" name="Rectangle 6">
          <a:extLst>
            <a:ext uri="{FF2B5EF4-FFF2-40B4-BE49-F238E27FC236}">
              <a16:creationId xmlns:a16="http://schemas.microsoft.com/office/drawing/2014/main" id="{00000000-0008-0000-2100-000007000000}"/>
            </a:ext>
          </a:extLst>
        </xdr:cNvPr>
        <xdr:cNvSpPr/>
      </xdr:nvSpPr>
      <xdr:spPr>
        <a:xfrm>
          <a:off x="3463132" y="1609725"/>
          <a:ext cx="1213643" cy="351105"/>
        </a:xfrm>
        <a:prstGeom prst="rect">
          <a:avLst/>
        </a:prstGeom>
        <a:noFill/>
      </xdr:spPr>
      <xdr:txBody>
        <a:bodyPr wrap="square" lIns="91440" tIns="45720" rIns="91440" bIns="45720">
          <a:no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41</xdr:col>
      <xdr:colOff>119857</xdr:colOff>
      <xdr:row>13</xdr:row>
      <xdr:rowOff>0</xdr:rowOff>
    </xdr:from>
    <xdr:ext cx="1213643" cy="351105"/>
    <xdr:sp macro="" textlink="">
      <xdr:nvSpPr>
        <xdr:cNvPr id="8" name="Rectangle 7">
          <a:extLst>
            <a:ext uri="{FF2B5EF4-FFF2-40B4-BE49-F238E27FC236}">
              <a16:creationId xmlns:a16="http://schemas.microsoft.com/office/drawing/2014/main" id="{00000000-0008-0000-2100-000008000000}"/>
            </a:ext>
          </a:extLst>
        </xdr:cNvPr>
        <xdr:cNvSpPr/>
      </xdr:nvSpPr>
      <xdr:spPr>
        <a:xfrm>
          <a:off x="5072857" y="1609725"/>
          <a:ext cx="1213643" cy="351105"/>
        </a:xfrm>
        <a:prstGeom prst="rect">
          <a:avLst/>
        </a:prstGeom>
        <a:noFill/>
      </xdr:spPr>
      <xdr:txBody>
        <a:bodyPr wrap="square" lIns="91440" tIns="45720" rIns="91440" bIns="45720">
          <a:no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60</xdr:col>
      <xdr:colOff>47154</xdr:colOff>
      <xdr:row>21</xdr:row>
      <xdr:rowOff>114300</xdr:rowOff>
    </xdr:from>
    <xdr:to>
      <xdr:col>68</xdr:col>
      <xdr:colOff>4</xdr:colOff>
      <xdr:row>42</xdr:row>
      <xdr:rowOff>11068</xdr:rowOff>
    </xdr:to>
    <xdr:cxnSp macro="">
      <xdr:nvCxnSpPr>
        <xdr:cNvPr id="9" name="Straight Connector 8">
          <a:extLst>
            <a:ext uri="{FF2B5EF4-FFF2-40B4-BE49-F238E27FC236}">
              <a16:creationId xmlns:a16="http://schemas.microsoft.com/office/drawing/2014/main" id="{00000000-0008-0000-2100-000009000000}"/>
            </a:ext>
          </a:extLst>
        </xdr:cNvPr>
        <xdr:cNvCxnSpPr/>
      </xdr:nvCxnSpPr>
      <xdr:spPr>
        <a:xfrm rot="5400000" flipH="1" flipV="1">
          <a:off x="6576007" y="3491447"/>
          <a:ext cx="2497093" cy="94345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59</xdr:col>
      <xdr:colOff>21511</xdr:colOff>
      <xdr:row>42</xdr:row>
      <xdr:rowOff>12924</xdr:rowOff>
    </xdr:from>
    <xdr:to>
      <xdr:col>60</xdr:col>
      <xdr:colOff>72799</xdr:colOff>
      <xdr:row>43</xdr:row>
      <xdr:rowOff>71539</xdr:rowOff>
    </xdr:to>
    <xdr:sp macro="" textlink="">
      <xdr:nvSpPr>
        <xdr:cNvPr id="10" name="Oval 9">
          <a:extLst>
            <a:ext uri="{FF2B5EF4-FFF2-40B4-BE49-F238E27FC236}">
              <a16:creationId xmlns:a16="http://schemas.microsoft.com/office/drawing/2014/main" id="{00000000-0008-0000-2100-00000A000000}"/>
            </a:ext>
          </a:extLst>
        </xdr:cNvPr>
        <xdr:cNvSpPr/>
      </xdr:nvSpPr>
      <xdr:spPr>
        <a:xfrm>
          <a:off x="7203361" y="521357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42</xdr:col>
      <xdr:colOff>28575</xdr:colOff>
      <xdr:row>22</xdr:row>
      <xdr:rowOff>0</xdr:rowOff>
    </xdr:from>
    <xdr:to>
      <xdr:col>46</xdr:col>
      <xdr:colOff>51918</xdr:colOff>
      <xdr:row>41</xdr:row>
      <xdr:rowOff>117699</xdr:rowOff>
    </xdr:to>
    <xdr:cxnSp macro="">
      <xdr:nvCxnSpPr>
        <xdr:cNvPr id="11" name="Straight Connector 10">
          <a:extLst>
            <a:ext uri="{FF2B5EF4-FFF2-40B4-BE49-F238E27FC236}">
              <a16:creationId xmlns:a16="http://schemas.microsoft.com/office/drawing/2014/main" id="{00000000-0008-0000-2100-00000B000000}"/>
            </a:ext>
          </a:extLst>
        </xdr:cNvPr>
        <xdr:cNvCxnSpPr>
          <a:stCxn id="12" idx="0"/>
        </xdr:cNvCxnSpPr>
      </xdr:nvCxnSpPr>
      <xdr:spPr>
        <a:xfrm rot="16200000" flipV="1">
          <a:off x="4129535" y="3700015"/>
          <a:ext cx="2470374" cy="51864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45</xdr:col>
      <xdr:colOff>88186</xdr:colOff>
      <xdr:row>41</xdr:row>
      <xdr:rowOff>117699</xdr:rowOff>
    </xdr:from>
    <xdr:to>
      <xdr:col>47</xdr:col>
      <xdr:colOff>15649</xdr:colOff>
      <xdr:row>43</xdr:row>
      <xdr:rowOff>52489</xdr:rowOff>
    </xdr:to>
    <xdr:sp macro="" textlink="">
      <xdr:nvSpPr>
        <xdr:cNvPr id="12" name="Oval 11">
          <a:extLst>
            <a:ext uri="{FF2B5EF4-FFF2-40B4-BE49-F238E27FC236}">
              <a16:creationId xmlns:a16="http://schemas.microsoft.com/office/drawing/2014/main" id="{00000000-0008-0000-2100-00000C000000}"/>
            </a:ext>
          </a:extLst>
        </xdr:cNvPr>
        <xdr:cNvSpPr/>
      </xdr:nvSpPr>
      <xdr:spPr>
        <a:xfrm>
          <a:off x="5536486" y="519452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52</xdr:col>
      <xdr:colOff>99542</xdr:colOff>
      <xdr:row>22</xdr:row>
      <xdr:rowOff>1</xdr:rowOff>
    </xdr:from>
    <xdr:to>
      <xdr:col>55</xdr:col>
      <xdr:colOff>2</xdr:colOff>
      <xdr:row>38</xdr:row>
      <xdr:rowOff>70075</xdr:rowOff>
    </xdr:to>
    <xdr:cxnSp macro="">
      <xdr:nvCxnSpPr>
        <xdr:cNvPr id="13" name="Straight Connector 12">
          <a:extLst>
            <a:ext uri="{FF2B5EF4-FFF2-40B4-BE49-F238E27FC236}">
              <a16:creationId xmlns:a16="http://schemas.microsoft.com/office/drawing/2014/main" id="{00000000-0008-0000-2100-00000D000000}"/>
            </a:ext>
          </a:extLst>
        </xdr:cNvPr>
        <xdr:cNvCxnSpPr>
          <a:stCxn id="14" idx="0"/>
        </xdr:cNvCxnSpPr>
      </xdr:nvCxnSpPr>
      <xdr:spPr>
        <a:xfrm rot="5400000" flipH="1" flipV="1">
          <a:off x="5524948" y="3613820"/>
          <a:ext cx="2051274" cy="27193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52</xdr:col>
      <xdr:colOff>11986</xdr:colOff>
      <xdr:row>38</xdr:row>
      <xdr:rowOff>70074</xdr:rowOff>
    </xdr:from>
    <xdr:to>
      <xdr:col>53</xdr:col>
      <xdr:colOff>63274</xdr:colOff>
      <xdr:row>40</xdr:row>
      <xdr:rowOff>4864</xdr:rowOff>
    </xdr:to>
    <xdr:sp macro="" textlink="">
      <xdr:nvSpPr>
        <xdr:cNvPr id="14" name="Oval 13">
          <a:extLst>
            <a:ext uri="{FF2B5EF4-FFF2-40B4-BE49-F238E27FC236}">
              <a16:creationId xmlns:a16="http://schemas.microsoft.com/office/drawing/2014/main" id="{00000000-0008-0000-2100-00000E000000}"/>
            </a:ext>
          </a:extLst>
        </xdr:cNvPr>
        <xdr:cNvSpPr/>
      </xdr:nvSpPr>
      <xdr:spPr>
        <a:xfrm>
          <a:off x="6327061" y="477542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25</xdr:col>
      <xdr:colOff>114300</xdr:colOff>
      <xdr:row>22</xdr:row>
      <xdr:rowOff>0</xdr:rowOff>
    </xdr:from>
    <xdr:to>
      <xdr:col>27</xdr:col>
      <xdr:colOff>80493</xdr:colOff>
      <xdr:row>38</xdr:row>
      <xdr:rowOff>89124</xdr:rowOff>
    </xdr:to>
    <xdr:cxnSp macro="">
      <xdr:nvCxnSpPr>
        <xdr:cNvPr id="15" name="Straight Connector 14">
          <a:extLst>
            <a:ext uri="{FF2B5EF4-FFF2-40B4-BE49-F238E27FC236}">
              <a16:creationId xmlns:a16="http://schemas.microsoft.com/office/drawing/2014/main" id="{00000000-0008-0000-2100-00000F000000}"/>
            </a:ext>
          </a:extLst>
        </xdr:cNvPr>
        <xdr:cNvCxnSpPr>
          <a:stCxn id="16" idx="0"/>
        </xdr:cNvCxnSpPr>
      </xdr:nvCxnSpPr>
      <xdr:spPr>
        <a:xfrm rot="16200000" flipV="1">
          <a:off x="2157860" y="3652390"/>
          <a:ext cx="2070324" cy="21384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26</xdr:col>
      <xdr:colOff>116761</xdr:colOff>
      <xdr:row>38</xdr:row>
      <xdr:rowOff>89124</xdr:rowOff>
    </xdr:from>
    <xdr:to>
      <xdr:col>28</xdr:col>
      <xdr:colOff>44224</xdr:colOff>
      <xdr:row>40</xdr:row>
      <xdr:rowOff>23914</xdr:rowOff>
    </xdr:to>
    <xdr:sp macro="" textlink="">
      <xdr:nvSpPr>
        <xdr:cNvPr id="16" name="Oval 15">
          <a:extLst>
            <a:ext uri="{FF2B5EF4-FFF2-40B4-BE49-F238E27FC236}">
              <a16:creationId xmlns:a16="http://schemas.microsoft.com/office/drawing/2014/main" id="{00000000-0008-0000-2100-000010000000}"/>
            </a:ext>
          </a:extLst>
        </xdr:cNvPr>
        <xdr:cNvSpPr/>
      </xdr:nvSpPr>
      <xdr:spPr>
        <a:xfrm>
          <a:off x="3212386" y="479447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33</xdr:col>
      <xdr:colOff>118593</xdr:colOff>
      <xdr:row>22</xdr:row>
      <xdr:rowOff>9525</xdr:rowOff>
    </xdr:from>
    <xdr:to>
      <xdr:col>38</xdr:col>
      <xdr:colOff>114300</xdr:colOff>
      <xdr:row>35</xdr:row>
      <xdr:rowOff>51024</xdr:rowOff>
    </xdr:to>
    <xdr:cxnSp macro="">
      <xdr:nvCxnSpPr>
        <xdr:cNvPr id="17" name="Straight Connector 16">
          <a:extLst>
            <a:ext uri="{FF2B5EF4-FFF2-40B4-BE49-F238E27FC236}">
              <a16:creationId xmlns:a16="http://schemas.microsoft.com/office/drawing/2014/main" id="{00000000-0008-0000-2100-000011000000}"/>
            </a:ext>
          </a:extLst>
        </xdr:cNvPr>
        <xdr:cNvCxnSpPr>
          <a:stCxn id="18" idx="0"/>
        </xdr:cNvCxnSpPr>
      </xdr:nvCxnSpPr>
      <xdr:spPr>
        <a:xfrm rot="5400000" flipH="1" flipV="1">
          <a:off x="3562797" y="3251871"/>
          <a:ext cx="1651224" cy="61483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33</xdr:col>
      <xdr:colOff>31036</xdr:colOff>
      <xdr:row>35</xdr:row>
      <xdr:rowOff>51024</xdr:rowOff>
    </xdr:from>
    <xdr:to>
      <xdr:col>34</xdr:col>
      <xdr:colOff>82324</xdr:colOff>
      <xdr:row>36</xdr:row>
      <xdr:rowOff>109639</xdr:rowOff>
    </xdr:to>
    <xdr:sp macro="" textlink="">
      <xdr:nvSpPr>
        <xdr:cNvPr id="18" name="Oval 17">
          <a:extLst>
            <a:ext uri="{FF2B5EF4-FFF2-40B4-BE49-F238E27FC236}">
              <a16:creationId xmlns:a16="http://schemas.microsoft.com/office/drawing/2014/main" id="{00000000-0008-0000-2100-000012000000}"/>
            </a:ext>
          </a:extLst>
        </xdr:cNvPr>
        <xdr:cNvSpPr/>
      </xdr:nvSpPr>
      <xdr:spPr>
        <a:xfrm>
          <a:off x="3993436" y="438489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114301</xdr:colOff>
      <xdr:row>22</xdr:row>
      <xdr:rowOff>9525</xdr:rowOff>
    </xdr:from>
    <xdr:to>
      <xdr:col>19</xdr:col>
      <xdr:colOff>113832</xdr:colOff>
      <xdr:row>35</xdr:row>
      <xdr:rowOff>30117</xdr:rowOff>
    </xdr:to>
    <xdr:cxnSp macro="">
      <xdr:nvCxnSpPr>
        <xdr:cNvPr id="19" name="Straight Connector 18">
          <a:extLst>
            <a:ext uri="{FF2B5EF4-FFF2-40B4-BE49-F238E27FC236}">
              <a16:creationId xmlns:a16="http://schemas.microsoft.com/office/drawing/2014/main" id="{00000000-0008-0000-2100-000013000000}"/>
            </a:ext>
          </a:extLst>
        </xdr:cNvPr>
        <xdr:cNvCxnSpPr/>
      </xdr:nvCxnSpPr>
      <xdr:spPr>
        <a:xfrm rot="16200000" flipV="1">
          <a:off x="1094370" y="3115681"/>
          <a:ext cx="1630317" cy="86630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116761</xdr:colOff>
      <xdr:row>35</xdr:row>
      <xdr:rowOff>12924</xdr:rowOff>
    </xdr:from>
    <xdr:to>
      <xdr:col>21</xdr:col>
      <xdr:colOff>44224</xdr:colOff>
      <xdr:row>36</xdr:row>
      <xdr:rowOff>71539</xdr:rowOff>
    </xdr:to>
    <xdr:sp macro="" textlink="">
      <xdr:nvSpPr>
        <xdr:cNvPr id="20" name="Oval 19">
          <a:extLst>
            <a:ext uri="{FF2B5EF4-FFF2-40B4-BE49-F238E27FC236}">
              <a16:creationId xmlns:a16="http://schemas.microsoft.com/office/drawing/2014/main" id="{00000000-0008-0000-2100-000014000000}"/>
            </a:ext>
          </a:extLst>
        </xdr:cNvPr>
        <xdr:cNvSpPr/>
      </xdr:nvSpPr>
      <xdr:spPr>
        <a:xfrm>
          <a:off x="2345611" y="434679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42</xdr:col>
      <xdr:colOff>53688</xdr:colOff>
      <xdr:row>66</xdr:row>
      <xdr:rowOff>62470</xdr:rowOff>
    </xdr:from>
    <xdr:to>
      <xdr:col>44</xdr:col>
      <xdr:colOff>77017</xdr:colOff>
      <xdr:row>68</xdr:row>
      <xdr:rowOff>109538</xdr:rowOff>
    </xdr:to>
    <xdr:sp macro="" textlink="">
      <xdr:nvSpPr>
        <xdr:cNvPr id="21" name="Freccia curva 8">
          <a:extLst>
            <a:ext uri="{FF2B5EF4-FFF2-40B4-BE49-F238E27FC236}">
              <a16:creationId xmlns:a16="http://schemas.microsoft.com/office/drawing/2014/main" id="{00000000-0008-0000-2100-000015000000}"/>
            </a:ext>
          </a:extLst>
        </xdr:cNvPr>
        <xdr:cNvSpPr/>
      </xdr:nvSpPr>
      <xdr:spPr>
        <a:xfrm rot="10800000" flipH="1">
          <a:off x="3520788" y="798727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45</xdr:col>
      <xdr:colOff>55058</xdr:colOff>
      <xdr:row>66</xdr:row>
      <xdr:rowOff>67264</xdr:rowOff>
    </xdr:from>
    <xdr:to>
      <xdr:col>47</xdr:col>
      <xdr:colOff>84922</xdr:colOff>
      <xdr:row>68</xdr:row>
      <xdr:rowOff>123518</xdr:rowOff>
    </xdr:to>
    <xdr:sp macro="" textlink="">
      <xdr:nvSpPr>
        <xdr:cNvPr id="22" name="Freccia a inversione 13">
          <a:extLst>
            <a:ext uri="{FF2B5EF4-FFF2-40B4-BE49-F238E27FC236}">
              <a16:creationId xmlns:a16="http://schemas.microsoft.com/office/drawing/2014/main" id="{00000000-0008-0000-2100-000016000000}"/>
            </a:ext>
          </a:extLst>
        </xdr:cNvPr>
        <xdr:cNvSpPr/>
      </xdr:nvSpPr>
      <xdr:spPr>
        <a:xfrm flipV="1">
          <a:off x="3893633" y="799206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xdr:col>
      <xdr:colOff>32507</xdr:colOff>
      <xdr:row>66</xdr:row>
      <xdr:rowOff>111530</xdr:rowOff>
    </xdr:from>
    <xdr:to>
      <xdr:col>5</xdr:col>
      <xdr:colOff>65439</xdr:colOff>
      <xdr:row>69</xdr:row>
      <xdr:rowOff>9683</xdr:rowOff>
    </xdr:to>
    <xdr:sp macro="" textlink="">
      <xdr:nvSpPr>
        <xdr:cNvPr id="23" name="Freccia curva 7">
          <a:extLst>
            <a:ext uri="{FF2B5EF4-FFF2-40B4-BE49-F238E27FC236}">
              <a16:creationId xmlns:a16="http://schemas.microsoft.com/office/drawing/2014/main" id="{00000000-0008-0000-2100-000017000000}"/>
            </a:ext>
          </a:extLst>
        </xdr:cNvPr>
        <xdr:cNvSpPr/>
      </xdr:nvSpPr>
      <xdr:spPr>
        <a:xfrm rot="10800000">
          <a:off x="1642232" y="803633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xdr:col>
      <xdr:colOff>51289</xdr:colOff>
      <xdr:row>84</xdr:row>
      <xdr:rowOff>58615</xdr:rowOff>
    </xdr:from>
    <xdr:to>
      <xdr:col>13</xdr:col>
      <xdr:colOff>116943</xdr:colOff>
      <xdr:row>86</xdr:row>
      <xdr:rowOff>63358</xdr:rowOff>
    </xdr:to>
    <xdr:sp macro="" textlink="">
      <xdr:nvSpPr>
        <xdr:cNvPr id="24" name="Freccia curva 8">
          <a:extLst>
            <a:ext uri="{FF2B5EF4-FFF2-40B4-BE49-F238E27FC236}">
              <a16:creationId xmlns:a16="http://schemas.microsoft.com/office/drawing/2014/main" id="{00000000-0008-0000-2100-000018000000}"/>
            </a:ext>
          </a:extLst>
        </xdr:cNvPr>
        <xdr:cNvSpPr/>
      </xdr:nvSpPr>
      <xdr:spPr>
        <a:xfrm rot="5400000" flipH="1">
          <a:off x="577044" y="114200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xdr:col>
      <xdr:colOff>73270</xdr:colOff>
      <xdr:row>90</xdr:row>
      <xdr:rowOff>80596</xdr:rowOff>
    </xdr:from>
    <xdr:to>
      <xdr:col>13</xdr:col>
      <xdr:colOff>134510</xdr:colOff>
      <xdr:row>92</xdr:row>
      <xdr:rowOff>94943</xdr:rowOff>
    </xdr:to>
    <xdr:sp macro="" textlink="">
      <xdr:nvSpPr>
        <xdr:cNvPr id="25" name="Freccia curva 7">
          <a:extLst>
            <a:ext uri="{FF2B5EF4-FFF2-40B4-BE49-F238E27FC236}">
              <a16:creationId xmlns:a16="http://schemas.microsoft.com/office/drawing/2014/main" id="{00000000-0008-0000-2100-000019000000}"/>
            </a:ext>
          </a:extLst>
        </xdr:cNvPr>
        <xdr:cNvSpPr/>
      </xdr:nvSpPr>
      <xdr:spPr>
        <a:xfrm rot="5400000">
          <a:off x="587254" y="1219676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19</xdr:col>
      <xdr:colOff>117081</xdr:colOff>
      <xdr:row>81</xdr:row>
      <xdr:rowOff>36154</xdr:rowOff>
    </xdr:from>
    <xdr:ext cx="963800" cy="311715"/>
    <xdr:sp macro="" textlink="">
      <xdr:nvSpPr>
        <xdr:cNvPr id="26" name="Rectangle 25">
          <a:extLst>
            <a:ext uri="{FF2B5EF4-FFF2-40B4-BE49-F238E27FC236}">
              <a16:creationId xmlns:a16="http://schemas.microsoft.com/office/drawing/2014/main" id="{00000000-0008-0000-2100-00001A000000}"/>
            </a:ext>
          </a:extLst>
        </xdr:cNvPr>
        <xdr:cNvSpPr/>
      </xdr:nvSpPr>
      <xdr:spPr>
        <a:xfrm>
          <a:off x="1602981" y="1105657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xdr:col>
      <xdr:colOff>58937</xdr:colOff>
      <xdr:row>88</xdr:row>
      <xdr:rowOff>6397</xdr:rowOff>
    </xdr:from>
    <xdr:to>
      <xdr:col>14</xdr:col>
      <xdr:colOff>5058</xdr:colOff>
      <xdr:row>89</xdr:row>
      <xdr:rowOff>9918</xdr:rowOff>
    </xdr:to>
    <xdr:sp macro="" textlink="">
      <xdr:nvSpPr>
        <xdr:cNvPr id="27" name="Freccia in giù 9">
          <a:extLst>
            <a:ext uri="{FF2B5EF4-FFF2-40B4-BE49-F238E27FC236}">
              <a16:creationId xmlns:a16="http://schemas.microsoft.com/office/drawing/2014/main" id="{00000000-0008-0000-2100-00001B000000}"/>
            </a:ext>
          </a:extLst>
        </xdr:cNvPr>
        <xdr:cNvSpPr/>
      </xdr:nvSpPr>
      <xdr:spPr>
        <a:xfrm rot="16200000">
          <a:off x="649362" y="117984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0</xdr:colOff>
      <xdr:row>81</xdr:row>
      <xdr:rowOff>136072</xdr:rowOff>
    </xdr:from>
    <xdr:to>
      <xdr:col>68</xdr:col>
      <xdr:colOff>55717</xdr:colOff>
      <xdr:row>83</xdr:row>
      <xdr:rowOff>82778</xdr:rowOff>
    </xdr:to>
    <xdr:sp macro="" textlink="">
      <xdr:nvSpPr>
        <xdr:cNvPr id="28" name="Freccia curva 66">
          <a:extLst>
            <a:ext uri="{FF2B5EF4-FFF2-40B4-BE49-F238E27FC236}">
              <a16:creationId xmlns:a16="http://schemas.microsoft.com/office/drawing/2014/main" id="{00000000-0008-0000-2100-00001C000000}"/>
            </a:ext>
          </a:extLst>
        </xdr:cNvPr>
        <xdr:cNvSpPr/>
      </xdr:nvSpPr>
      <xdr:spPr>
        <a:xfrm rot="16200000" flipH="1">
          <a:off x="9088968" y="97351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0</xdr:colOff>
      <xdr:row>81</xdr:row>
      <xdr:rowOff>136072</xdr:rowOff>
    </xdr:from>
    <xdr:to>
      <xdr:col>68</xdr:col>
      <xdr:colOff>55717</xdr:colOff>
      <xdr:row>83</xdr:row>
      <xdr:rowOff>82778</xdr:rowOff>
    </xdr:to>
    <xdr:sp macro="" textlink="">
      <xdr:nvSpPr>
        <xdr:cNvPr id="29" name="Freccia curva 66">
          <a:extLst>
            <a:ext uri="{FF2B5EF4-FFF2-40B4-BE49-F238E27FC236}">
              <a16:creationId xmlns:a16="http://schemas.microsoft.com/office/drawing/2014/main" id="{00000000-0008-0000-2100-00001D000000}"/>
            </a:ext>
          </a:extLst>
        </xdr:cNvPr>
        <xdr:cNvSpPr/>
      </xdr:nvSpPr>
      <xdr:spPr>
        <a:xfrm rot="16200000" flipH="1">
          <a:off x="9088968" y="97351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0</xdr:colOff>
      <xdr:row>81</xdr:row>
      <xdr:rowOff>136072</xdr:rowOff>
    </xdr:from>
    <xdr:to>
      <xdr:col>68</xdr:col>
      <xdr:colOff>55717</xdr:colOff>
      <xdr:row>83</xdr:row>
      <xdr:rowOff>82778</xdr:rowOff>
    </xdr:to>
    <xdr:sp macro="" textlink="">
      <xdr:nvSpPr>
        <xdr:cNvPr id="30" name="Freccia curva 66">
          <a:extLst>
            <a:ext uri="{FF2B5EF4-FFF2-40B4-BE49-F238E27FC236}">
              <a16:creationId xmlns:a16="http://schemas.microsoft.com/office/drawing/2014/main" id="{00000000-0008-0000-2100-00001E000000}"/>
            </a:ext>
          </a:extLst>
        </xdr:cNvPr>
        <xdr:cNvSpPr/>
      </xdr:nvSpPr>
      <xdr:spPr>
        <a:xfrm rot="16200000" flipH="1">
          <a:off x="9088968" y="97351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0</xdr:colOff>
      <xdr:row>81</xdr:row>
      <xdr:rowOff>136072</xdr:rowOff>
    </xdr:from>
    <xdr:to>
      <xdr:col>68</xdr:col>
      <xdr:colOff>55717</xdr:colOff>
      <xdr:row>83</xdr:row>
      <xdr:rowOff>82778</xdr:rowOff>
    </xdr:to>
    <xdr:sp macro="" textlink="">
      <xdr:nvSpPr>
        <xdr:cNvPr id="31" name="Freccia curva 66">
          <a:extLst>
            <a:ext uri="{FF2B5EF4-FFF2-40B4-BE49-F238E27FC236}">
              <a16:creationId xmlns:a16="http://schemas.microsoft.com/office/drawing/2014/main" id="{00000000-0008-0000-2100-00001F000000}"/>
            </a:ext>
          </a:extLst>
        </xdr:cNvPr>
        <xdr:cNvSpPr/>
      </xdr:nvSpPr>
      <xdr:spPr>
        <a:xfrm rot="16200000" flipH="1">
          <a:off x="9088968" y="97351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32</xdr:col>
      <xdr:colOff>46691</xdr:colOff>
      <xdr:row>98</xdr:row>
      <xdr:rowOff>118493</xdr:rowOff>
    </xdr:from>
    <xdr:to>
      <xdr:col>34</xdr:col>
      <xdr:colOff>74536</xdr:colOff>
      <xdr:row>101</xdr:row>
      <xdr:rowOff>52529</xdr:rowOff>
    </xdr:to>
    <xdr:sp macro="" textlink="">
      <xdr:nvSpPr>
        <xdr:cNvPr id="32" name="Freccia a inversione 13">
          <a:extLst>
            <a:ext uri="{FF2B5EF4-FFF2-40B4-BE49-F238E27FC236}">
              <a16:creationId xmlns:a16="http://schemas.microsoft.com/office/drawing/2014/main" id="{00000000-0008-0000-2100-000020000000}"/>
            </a:ext>
          </a:extLst>
        </xdr:cNvPr>
        <xdr:cNvSpPr/>
      </xdr:nvSpPr>
      <xdr:spPr>
        <a:xfrm rot="10800000" flipV="1">
          <a:off x="5742641" y="131201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35</xdr:col>
      <xdr:colOff>36089</xdr:colOff>
      <xdr:row>99</xdr:row>
      <xdr:rowOff>3514</xdr:rowOff>
    </xdr:from>
    <xdr:to>
      <xdr:col>37</xdr:col>
      <xdr:colOff>59418</xdr:colOff>
      <xdr:row>101</xdr:row>
      <xdr:rowOff>50582</xdr:rowOff>
    </xdr:to>
    <xdr:sp macro="" textlink="">
      <xdr:nvSpPr>
        <xdr:cNvPr id="33" name="Freccia curva 8">
          <a:extLst>
            <a:ext uri="{FF2B5EF4-FFF2-40B4-BE49-F238E27FC236}">
              <a16:creationId xmlns:a16="http://schemas.microsoft.com/office/drawing/2014/main" id="{00000000-0008-0000-2100-000021000000}"/>
            </a:ext>
          </a:extLst>
        </xdr:cNvPr>
        <xdr:cNvSpPr/>
      </xdr:nvSpPr>
      <xdr:spPr>
        <a:xfrm flipH="1">
          <a:off x="6103514" y="131289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65</xdr:col>
      <xdr:colOff>97574</xdr:colOff>
      <xdr:row>79</xdr:row>
      <xdr:rowOff>4645</xdr:rowOff>
    </xdr:from>
    <xdr:to>
      <xdr:col>68</xdr:col>
      <xdr:colOff>43694</xdr:colOff>
      <xdr:row>80</xdr:row>
      <xdr:rowOff>8166</xdr:rowOff>
    </xdr:to>
    <xdr:sp macro="" textlink="">
      <xdr:nvSpPr>
        <xdr:cNvPr id="34" name="Freccia in giù 9">
          <a:extLst>
            <a:ext uri="{FF2B5EF4-FFF2-40B4-BE49-F238E27FC236}">
              <a16:creationId xmlns:a16="http://schemas.microsoft.com/office/drawing/2014/main" id="{00000000-0008-0000-2100-000022000000}"/>
            </a:ext>
          </a:extLst>
        </xdr:cNvPr>
        <xdr:cNvSpPr/>
      </xdr:nvSpPr>
      <xdr:spPr>
        <a:xfrm rot="5400000">
          <a:off x="9108099" y="93202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74</xdr:col>
      <xdr:colOff>41799</xdr:colOff>
      <xdr:row>99</xdr:row>
      <xdr:rowOff>18603</xdr:rowOff>
    </xdr:from>
    <xdr:to>
      <xdr:col>76</xdr:col>
      <xdr:colOff>74730</xdr:colOff>
      <xdr:row>101</xdr:row>
      <xdr:rowOff>42207</xdr:rowOff>
    </xdr:to>
    <xdr:sp macro="" textlink="">
      <xdr:nvSpPr>
        <xdr:cNvPr id="35" name="Freccia curva 7">
          <a:extLst>
            <a:ext uri="{FF2B5EF4-FFF2-40B4-BE49-F238E27FC236}">
              <a16:creationId xmlns:a16="http://schemas.microsoft.com/office/drawing/2014/main" id="{00000000-0008-0000-2100-000023000000}"/>
            </a:ext>
          </a:extLst>
        </xdr:cNvPr>
        <xdr:cNvSpPr/>
      </xdr:nvSpPr>
      <xdr:spPr>
        <a:xfrm>
          <a:off x="7966599" y="131440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65</xdr:col>
      <xdr:colOff>107674</xdr:colOff>
      <xdr:row>75</xdr:row>
      <xdr:rowOff>57978</xdr:rowOff>
    </xdr:from>
    <xdr:to>
      <xdr:col>68</xdr:col>
      <xdr:colOff>7038</xdr:colOff>
      <xdr:row>77</xdr:row>
      <xdr:rowOff>90910</xdr:rowOff>
    </xdr:to>
    <xdr:sp macro="" textlink="">
      <xdr:nvSpPr>
        <xdr:cNvPr id="36" name="Freccia curva 7">
          <a:extLst>
            <a:ext uri="{FF2B5EF4-FFF2-40B4-BE49-F238E27FC236}">
              <a16:creationId xmlns:a16="http://schemas.microsoft.com/office/drawing/2014/main" id="{00000000-0008-0000-2100-000024000000}"/>
            </a:ext>
          </a:extLst>
        </xdr:cNvPr>
        <xdr:cNvSpPr/>
      </xdr:nvSpPr>
      <xdr:spPr>
        <a:xfrm rot="16200000">
          <a:off x="9018203" y="89782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52</xdr:col>
      <xdr:colOff>16447</xdr:colOff>
      <xdr:row>81</xdr:row>
      <xdr:rowOff>22488</xdr:rowOff>
    </xdr:from>
    <xdr:ext cx="963800" cy="311715"/>
    <xdr:sp macro="" textlink="">
      <xdr:nvSpPr>
        <xdr:cNvPr id="37" name="Rectangle 36">
          <a:extLst>
            <a:ext uri="{FF2B5EF4-FFF2-40B4-BE49-F238E27FC236}">
              <a16:creationId xmlns:a16="http://schemas.microsoft.com/office/drawing/2014/main" id="{00000000-0008-0000-2100-000025000000}"/>
            </a:ext>
          </a:extLst>
        </xdr:cNvPr>
        <xdr:cNvSpPr/>
      </xdr:nvSpPr>
      <xdr:spPr>
        <a:xfrm>
          <a:off x="7322122" y="968083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xdr:col>
      <xdr:colOff>97574</xdr:colOff>
      <xdr:row>79</xdr:row>
      <xdr:rowOff>4645</xdr:rowOff>
    </xdr:from>
    <xdr:to>
      <xdr:col>14</xdr:col>
      <xdr:colOff>43694</xdr:colOff>
      <xdr:row>80</xdr:row>
      <xdr:rowOff>8166</xdr:rowOff>
    </xdr:to>
    <xdr:sp macro="" textlink="">
      <xdr:nvSpPr>
        <xdr:cNvPr id="38" name="Freccia in giù 9">
          <a:extLst>
            <a:ext uri="{FF2B5EF4-FFF2-40B4-BE49-F238E27FC236}">
              <a16:creationId xmlns:a16="http://schemas.microsoft.com/office/drawing/2014/main" id="{00000000-0008-0000-2100-000026000000}"/>
            </a:ext>
          </a:extLst>
        </xdr:cNvPr>
        <xdr:cNvSpPr/>
      </xdr:nvSpPr>
      <xdr:spPr>
        <a:xfrm rot="5400000">
          <a:off x="2173899" y="10310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65</xdr:col>
      <xdr:colOff>75504</xdr:colOff>
      <xdr:row>87</xdr:row>
      <xdr:rowOff>122353</xdr:rowOff>
    </xdr:from>
    <xdr:to>
      <xdr:col>68</xdr:col>
      <xdr:colOff>21625</xdr:colOff>
      <xdr:row>89</xdr:row>
      <xdr:rowOff>1635</xdr:rowOff>
    </xdr:to>
    <xdr:sp macro="" textlink="">
      <xdr:nvSpPr>
        <xdr:cNvPr id="39" name="Freccia in giù 9">
          <a:extLst>
            <a:ext uri="{FF2B5EF4-FFF2-40B4-BE49-F238E27FC236}">
              <a16:creationId xmlns:a16="http://schemas.microsoft.com/office/drawing/2014/main" id="{00000000-0008-0000-2100-000027000000}"/>
            </a:ext>
          </a:extLst>
        </xdr:cNvPr>
        <xdr:cNvSpPr/>
      </xdr:nvSpPr>
      <xdr:spPr>
        <a:xfrm rot="16200000">
          <a:off x="7600336" y="10799796"/>
          <a:ext cx="126932"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33</xdr:col>
      <xdr:colOff>75504</xdr:colOff>
      <xdr:row>78</xdr:row>
      <xdr:rowOff>122353</xdr:rowOff>
    </xdr:from>
    <xdr:to>
      <xdr:col>36</xdr:col>
      <xdr:colOff>21625</xdr:colOff>
      <xdr:row>80</xdr:row>
      <xdr:rowOff>1635</xdr:rowOff>
    </xdr:to>
    <xdr:sp macro="" textlink="">
      <xdr:nvSpPr>
        <xdr:cNvPr id="40" name="Freccia in giù 9">
          <a:extLst>
            <a:ext uri="{FF2B5EF4-FFF2-40B4-BE49-F238E27FC236}">
              <a16:creationId xmlns:a16="http://schemas.microsoft.com/office/drawing/2014/main" id="{00000000-0008-0000-2100-000028000000}"/>
            </a:ext>
          </a:extLst>
        </xdr:cNvPr>
        <xdr:cNvSpPr/>
      </xdr:nvSpPr>
      <xdr:spPr>
        <a:xfrm rot="16200000">
          <a:off x="3637936" y="10304496"/>
          <a:ext cx="126932"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43</xdr:col>
      <xdr:colOff>97574</xdr:colOff>
      <xdr:row>88</xdr:row>
      <xdr:rowOff>4645</xdr:rowOff>
    </xdr:from>
    <xdr:to>
      <xdr:col>46</xdr:col>
      <xdr:colOff>43694</xdr:colOff>
      <xdr:row>89</xdr:row>
      <xdr:rowOff>8166</xdr:rowOff>
    </xdr:to>
    <xdr:sp macro="" textlink="">
      <xdr:nvSpPr>
        <xdr:cNvPr id="41" name="Freccia in giù 9">
          <a:extLst>
            <a:ext uri="{FF2B5EF4-FFF2-40B4-BE49-F238E27FC236}">
              <a16:creationId xmlns:a16="http://schemas.microsoft.com/office/drawing/2014/main" id="{00000000-0008-0000-2100-000029000000}"/>
            </a:ext>
          </a:extLst>
        </xdr:cNvPr>
        <xdr:cNvSpPr/>
      </xdr:nvSpPr>
      <xdr:spPr>
        <a:xfrm rot="5400000">
          <a:off x="6136299" y="108061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xdr:col>
      <xdr:colOff>117081</xdr:colOff>
      <xdr:row>69</xdr:row>
      <xdr:rowOff>36154</xdr:rowOff>
    </xdr:from>
    <xdr:ext cx="963800" cy="311715"/>
    <xdr:sp macro="" textlink="">
      <xdr:nvSpPr>
        <xdr:cNvPr id="42" name="Rectangle 41">
          <a:extLst>
            <a:ext uri="{FF2B5EF4-FFF2-40B4-BE49-F238E27FC236}">
              <a16:creationId xmlns:a16="http://schemas.microsoft.com/office/drawing/2014/main" id="{00000000-0008-0000-2100-00002A000000}"/>
            </a:ext>
          </a:extLst>
        </xdr:cNvPr>
        <xdr:cNvSpPr/>
      </xdr:nvSpPr>
      <xdr:spPr>
        <a:xfrm>
          <a:off x="1602981" y="919920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63</xdr:col>
      <xdr:colOff>117081</xdr:colOff>
      <xdr:row>93</xdr:row>
      <xdr:rowOff>36154</xdr:rowOff>
    </xdr:from>
    <xdr:ext cx="963800" cy="311715"/>
    <xdr:sp macro="" textlink="">
      <xdr:nvSpPr>
        <xdr:cNvPr id="43" name="Rectangle 42">
          <a:extLst>
            <a:ext uri="{FF2B5EF4-FFF2-40B4-BE49-F238E27FC236}">
              <a16:creationId xmlns:a16="http://schemas.microsoft.com/office/drawing/2014/main" id="{00000000-0008-0000-2100-00002B000000}"/>
            </a:ext>
          </a:extLst>
        </xdr:cNvPr>
        <xdr:cNvSpPr/>
      </xdr:nvSpPr>
      <xdr:spPr>
        <a:xfrm>
          <a:off x="7298931" y="1155187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39</xdr:col>
      <xdr:colOff>117081</xdr:colOff>
      <xdr:row>93</xdr:row>
      <xdr:rowOff>17104</xdr:rowOff>
    </xdr:from>
    <xdr:ext cx="963800" cy="311715"/>
    <xdr:sp macro="" textlink="">
      <xdr:nvSpPr>
        <xdr:cNvPr id="44" name="Rectangle 43">
          <a:extLst>
            <a:ext uri="{FF2B5EF4-FFF2-40B4-BE49-F238E27FC236}">
              <a16:creationId xmlns:a16="http://schemas.microsoft.com/office/drawing/2014/main" id="{00000000-0008-0000-2100-00002C000000}"/>
            </a:ext>
          </a:extLst>
        </xdr:cNvPr>
        <xdr:cNvSpPr/>
      </xdr:nvSpPr>
      <xdr:spPr>
        <a:xfrm>
          <a:off x="5565381" y="1153282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32</xdr:col>
      <xdr:colOff>12306</xdr:colOff>
      <xdr:row>69</xdr:row>
      <xdr:rowOff>26629</xdr:rowOff>
    </xdr:from>
    <xdr:ext cx="963800" cy="311715"/>
    <xdr:sp macro="" textlink="">
      <xdr:nvSpPr>
        <xdr:cNvPr id="45" name="Rectangle 44">
          <a:extLst>
            <a:ext uri="{FF2B5EF4-FFF2-40B4-BE49-F238E27FC236}">
              <a16:creationId xmlns:a16="http://schemas.microsoft.com/office/drawing/2014/main" id="{00000000-0008-0000-2100-00002D000000}"/>
            </a:ext>
          </a:extLst>
        </xdr:cNvPr>
        <xdr:cNvSpPr/>
      </xdr:nvSpPr>
      <xdr:spPr>
        <a:xfrm>
          <a:off x="3355581" y="918967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7</xdr:col>
      <xdr:colOff>13396</xdr:colOff>
      <xdr:row>13</xdr:row>
      <xdr:rowOff>119954</xdr:rowOff>
    </xdr:from>
    <xdr:to>
      <xdr:col>32</xdr:col>
      <xdr:colOff>70546</xdr:colOff>
      <xdr:row>69</xdr:row>
      <xdr:rowOff>3871</xdr:rowOff>
    </xdr:to>
    <xdr:pic>
      <xdr:nvPicPr>
        <xdr:cNvPr id="29" name="Picture 28" descr="SPI-Model.jpg">
          <a:extLst>
            <a:ext uri="{FF2B5EF4-FFF2-40B4-BE49-F238E27FC236}">
              <a16:creationId xmlns:a16="http://schemas.microsoft.com/office/drawing/2014/main" id="{00000000-0008-0000-2200-00001D000000}"/>
            </a:ext>
          </a:extLst>
        </xdr:cNvPr>
        <xdr:cNvPicPr>
          <a:picLocks noChangeAspect="1"/>
        </xdr:cNvPicPr>
      </xdr:nvPicPr>
      <xdr:blipFill>
        <a:blip xmlns:r="http://schemas.openxmlformats.org/officeDocument/2006/relationships" r:embed="rId1" cstate="print"/>
        <a:srcRect t="17460" b="17604"/>
        <a:stretch>
          <a:fillRect/>
        </a:stretch>
      </xdr:blipFill>
      <xdr:spPr>
        <a:xfrm rot="5400000">
          <a:off x="-1038225" y="3562350"/>
          <a:ext cx="6818117" cy="3152775"/>
        </a:xfrm>
        <a:prstGeom prst="rect">
          <a:avLst/>
        </a:prstGeom>
      </xdr:spPr>
    </xdr:pic>
    <xdr:clientData/>
  </xdr:twoCellAnchor>
  <xdr:oneCellAnchor>
    <xdr:from>
      <xdr:col>42</xdr:col>
      <xdr:colOff>114300</xdr:colOff>
      <xdr:row>36</xdr:row>
      <xdr:rowOff>47625</xdr:rowOff>
    </xdr:from>
    <xdr:ext cx="1235761" cy="313954"/>
    <xdr:sp macro="" textlink="">
      <xdr:nvSpPr>
        <xdr:cNvPr id="2" name="Rectangle 1">
          <a:extLst>
            <a:ext uri="{FF2B5EF4-FFF2-40B4-BE49-F238E27FC236}">
              <a16:creationId xmlns:a16="http://schemas.microsoft.com/office/drawing/2014/main" id="{00000000-0008-0000-2200-000002000000}"/>
            </a:ext>
          </a:extLst>
        </xdr:cNvPr>
        <xdr:cNvSpPr/>
      </xdr:nvSpPr>
      <xdr:spPr>
        <a:xfrm>
          <a:off x="5191125" y="450532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42</xdr:col>
      <xdr:colOff>114300</xdr:colOff>
      <xdr:row>22</xdr:row>
      <xdr:rowOff>47625</xdr:rowOff>
    </xdr:from>
    <xdr:ext cx="1235761" cy="313954"/>
    <xdr:sp macro="" textlink="">
      <xdr:nvSpPr>
        <xdr:cNvPr id="3" name="Rectangle 2">
          <a:extLst>
            <a:ext uri="{FF2B5EF4-FFF2-40B4-BE49-F238E27FC236}">
              <a16:creationId xmlns:a16="http://schemas.microsoft.com/office/drawing/2014/main" id="{00000000-0008-0000-2200-000003000000}"/>
            </a:ext>
          </a:extLst>
        </xdr:cNvPr>
        <xdr:cNvSpPr/>
      </xdr:nvSpPr>
      <xdr:spPr>
        <a:xfrm>
          <a:off x="5191125" y="277177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42</xdr:col>
      <xdr:colOff>114300</xdr:colOff>
      <xdr:row>50</xdr:row>
      <xdr:rowOff>47625</xdr:rowOff>
    </xdr:from>
    <xdr:ext cx="1235761" cy="313954"/>
    <xdr:sp macro="" textlink="">
      <xdr:nvSpPr>
        <xdr:cNvPr id="4" name="Rectangle 3">
          <a:extLst>
            <a:ext uri="{FF2B5EF4-FFF2-40B4-BE49-F238E27FC236}">
              <a16:creationId xmlns:a16="http://schemas.microsoft.com/office/drawing/2014/main" id="{00000000-0008-0000-2200-000004000000}"/>
            </a:ext>
          </a:extLst>
        </xdr:cNvPr>
        <xdr:cNvSpPr/>
      </xdr:nvSpPr>
      <xdr:spPr>
        <a:xfrm>
          <a:off x="5191125" y="623887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20</xdr:col>
      <xdr:colOff>42592</xdr:colOff>
      <xdr:row>39</xdr:row>
      <xdr:rowOff>0</xdr:rowOff>
    </xdr:from>
    <xdr:to>
      <xdr:col>42</xdr:col>
      <xdr:colOff>124239</xdr:colOff>
      <xdr:row>41</xdr:row>
      <xdr:rowOff>60248</xdr:rowOff>
    </xdr:to>
    <xdr:cxnSp macro="">
      <xdr:nvCxnSpPr>
        <xdr:cNvPr id="5" name="Straight Connector 4">
          <a:extLst>
            <a:ext uri="{FF2B5EF4-FFF2-40B4-BE49-F238E27FC236}">
              <a16:creationId xmlns:a16="http://schemas.microsoft.com/office/drawing/2014/main" id="{00000000-0008-0000-2200-000005000000}"/>
            </a:ext>
          </a:extLst>
        </xdr:cNvPr>
        <xdr:cNvCxnSpPr>
          <a:stCxn id="6" idx="6"/>
        </xdr:cNvCxnSpPr>
      </xdr:nvCxnSpPr>
      <xdr:spPr>
        <a:xfrm flipV="1">
          <a:off x="2395267" y="4829175"/>
          <a:ext cx="2805797" cy="30789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115957</xdr:colOff>
      <xdr:row>40</xdr:row>
      <xdr:rowOff>93267</xdr:rowOff>
    </xdr:from>
    <xdr:to>
      <xdr:col>20</xdr:col>
      <xdr:colOff>42592</xdr:colOff>
      <xdr:row>42</xdr:row>
      <xdr:rowOff>27229</xdr:rowOff>
    </xdr:to>
    <xdr:sp macro="" textlink="">
      <xdr:nvSpPr>
        <xdr:cNvPr id="6" name="Oval 5">
          <a:extLst>
            <a:ext uri="{FF2B5EF4-FFF2-40B4-BE49-F238E27FC236}">
              <a16:creationId xmlns:a16="http://schemas.microsoft.com/office/drawing/2014/main" id="{00000000-0008-0000-2200-000006000000}"/>
            </a:ext>
          </a:extLst>
        </xdr:cNvPr>
        <xdr:cNvSpPr/>
      </xdr:nvSpPr>
      <xdr:spPr>
        <a:xfrm>
          <a:off x="2220982" y="5046267"/>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23</xdr:col>
      <xdr:colOff>112166</xdr:colOff>
      <xdr:row>23</xdr:row>
      <xdr:rowOff>88409</xdr:rowOff>
    </xdr:from>
    <xdr:to>
      <xdr:col>43</xdr:col>
      <xdr:colOff>8283</xdr:colOff>
      <xdr:row>24</xdr:row>
      <xdr:rowOff>115957</xdr:rowOff>
    </xdr:to>
    <xdr:cxnSp macro="">
      <xdr:nvCxnSpPr>
        <xdr:cNvPr id="7" name="Straight Connector 6">
          <a:extLst>
            <a:ext uri="{FF2B5EF4-FFF2-40B4-BE49-F238E27FC236}">
              <a16:creationId xmlns:a16="http://schemas.microsoft.com/office/drawing/2014/main" id="{00000000-0008-0000-2200-000007000000}"/>
            </a:ext>
          </a:extLst>
        </xdr:cNvPr>
        <xdr:cNvCxnSpPr>
          <a:stCxn id="8" idx="6"/>
        </xdr:cNvCxnSpPr>
      </xdr:nvCxnSpPr>
      <xdr:spPr>
        <a:xfrm>
          <a:off x="2836316" y="2936384"/>
          <a:ext cx="2372617" cy="15137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61292</xdr:colOff>
      <xdr:row>22</xdr:row>
      <xdr:rowOff>121428</xdr:rowOff>
    </xdr:from>
    <xdr:to>
      <xdr:col>23</xdr:col>
      <xdr:colOff>112166</xdr:colOff>
      <xdr:row>24</xdr:row>
      <xdr:rowOff>55390</xdr:rowOff>
    </xdr:to>
    <xdr:sp macro="" textlink="">
      <xdr:nvSpPr>
        <xdr:cNvPr id="8" name="Oval 7">
          <a:extLst>
            <a:ext uri="{FF2B5EF4-FFF2-40B4-BE49-F238E27FC236}">
              <a16:creationId xmlns:a16="http://schemas.microsoft.com/office/drawing/2014/main" id="{00000000-0008-0000-2200-000008000000}"/>
            </a:ext>
          </a:extLst>
        </xdr:cNvPr>
        <xdr:cNvSpPr/>
      </xdr:nvSpPr>
      <xdr:spPr>
        <a:xfrm>
          <a:off x="2661617" y="2845578"/>
          <a:ext cx="174699"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40935</xdr:colOff>
      <xdr:row>53</xdr:row>
      <xdr:rowOff>0</xdr:rowOff>
    </xdr:from>
    <xdr:to>
      <xdr:col>43</xdr:col>
      <xdr:colOff>8283</xdr:colOff>
      <xdr:row>59</xdr:row>
      <xdr:rowOff>58591</xdr:rowOff>
    </xdr:to>
    <xdr:cxnSp macro="">
      <xdr:nvCxnSpPr>
        <xdr:cNvPr id="9" name="Straight Connector 8">
          <a:extLst>
            <a:ext uri="{FF2B5EF4-FFF2-40B4-BE49-F238E27FC236}">
              <a16:creationId xmlns:a16="http://schemas.microsoft.com/office/drawing/2014/main" id="{00000000-0008-0000-2200-000009000000}"/>
            </a:ext>
          </a:extLst>
        </xdr:cNvPr>
        <xdr:cNvCxnSpPr>
          <a:stCxn id="10" idx="6"/>
        </xdr:cNvCxnSpPr>
      </xdr:nvCxnSpPr>
      <xdr:spPr>
        <a:xfrm flipV="1">
          <a:off x="1898310" y="6562725"/>
          <a:ext cx="3310623" cy="801541"/>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114300</xdr:colOff>
      <xdr:row>58</xdr:row>
      <xdr:rowOff>91610</xdr:rowOff>
    </xdr:from>
    <xdr:to>
      <xdr:col>16</xdr:col>
      <xdr:colOff>40935</xdr:colOff>
      <xdr:row>60</xdr:row>
      <xdr:rowOff>25572</xdr:rowOff>
    </xdr:to>
    <xdr:sp macro="" textlink="">
      <xdr:nvSpPr>
        <xdr:cNvPr id="10" name="Oval 9">
          <a:extLst>
            <a:ext uri="{FF2B5EF4-FFF2-40B4-BE49-F238E27FC236}">
              <a16:creationId xmlns:a16="http://schemas.microsoft.com/office/drawing/2014/main" id="{00000000-0008-0000-2200-00000A000000}"/>
            </a:ext>
          </a:extLst>
        </xdr:cNvPr>
        <xdr:cNvSpPr/>
      </xdr:nvSpPr>
      <xdr:spPr>
        <a:xfrm>
          <a:off x="1724025" y="7273460"/>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88</xdr:col>
      <xdr:colOff>12087</xdr:colOff>
      <xdr:row>34</xdr:row>
      <xdr:rowOff>34693</xdr:rowOff>
    </xdr:from>
    <xdr:ext cx="963800" cy="311715"/>
    <xdr:sp macro="" textlink="">
      <xdr:nvSpPr>
        <xdr:cNvPr id="11" name="Rectangle 10">
          <a:extLst>
            <a:ext uri="{FF2B5EF4-FFF2-40B4-BE49-F238E27FC236}">
              <a16:creationId xmlns:a16="http://schemas.microsoft.com/office/drawing/2014/main" id="{00000000-0008-0000-2200-00000B000000}"/>
            </a:ext>
          </a:extLst>
        </xdr:cNvPr>
        <xdr:cNvSpPr/>
      </xdr:nvSpPr>
      <xdr:spPr>
        <a:xfrm>
          <a:off x="3107712" y="13407793"/>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89</xdr:col>
      <xdr:colOff>53688</xdr:colOff>
      <xdr:row>24</xdr:row>
      <xdr:rowOff>62470</xdr:rowOff>
    </xdr:from>
    <xdr:to>
      <xdr:col>91</xdr:col>
      <xdr:colOff>77017</xdr:colOff>
      <xdr:row>26</xdr:row>
      <xdr:rowOff>109538</xdr:rowOff>
    </xdr:to>
    <xdr:sp macro="" textlink="">
      <xdr:nvSpPr>
        <xdr:cNvPr id="12" name="Freccia curva 8">
          <a:extLst>
            <a:ext uri="{FF2B5EF4-FFF2-40B4-BE49-F238E27FC236}">
              <a16:creationId xmlns:a16="http://schemas.microsoft.com/office/drawing/2014/main" id="{00000000-0008-0000-2200-00000C000000}"/>
            </a:ext>
          </a:extLst>
        </xdr:cNvPr>
        <xdr:cNvSpPr/>
      </xdr:nvSpPr>
      <xdr:spPr>
        <a:xfrm rot="10800000" flipH="1">
          <a:off x="3273138" y="121973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86</xdr:col>
      <xdr:colOff>101397</xdr:colOff>
      <xdr:row>24</xdr:row>
      <xdr:rowOff>51932</xdr:rowOff>
    </xdr:from>
    <xdr:to>
      <xdr:col>87</xdr:col>
      <xdr:colOff>114211</xdr:colOff>
      <xdr:row>26</xdr:row>
      <xdr:rowOff>95625</xdr:rowOff>
    </xdr:to>
    <xdr:sp macro="" textlink="">
      <xdr:nvSpPr>
        <xdr:cNvPr id="13" name="Freccia in giù 9">
          <a:extLst>
            <a:ext uri="{FF2B5EF4-FFF2-40B4-BE49-F238E27FC236}">
              <a16:creationId xmlns:a16="http://schemas.microsoft.com/office/drawing/2014/main" id="{00000000-0008-0000-2200-00000D000000}"/>
            </a:ext>
          </a:extLst>
        </xdr:cNvPr>
        <xdr:cNvSpPr/>
      </xdr:nvSpPr>
      <xdr:spPr>
        <a:xfrm>
          <a:off x="2949372" y="121867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51557</xdr:colOff>
      <xdr:row>24</xdr:row>
      <xdr:rowOff>73430</xdr:rowOff>
    </xdr:from>
    <xdr:to>
      <xdr:col>85</xdr:col>
      <xdr:colOff>84489</xdr:colOff>
      <xdr:row>26</xdr:row>
      <xdr:rowOff>95408</xdr:rowOff>
    </xdr:to>
    <xdr:sp macro="" textlink="">
      <xdr:nvSpPr>
        <xdr:cNvPr id="14" name="Freccia curva 7">
          <a:extLst>
            <a:ext uri="{FF2B5EF4-FFF2-40B4-BE49-F238E27FC236}">
              <a16:creationId xmlns:a16="http://schemas.microsoft.com/office/drawing/2014/main" id="{00000000-0008-0000-2200-00000E000000}"/>
            </a:ext>
          </a:extLst>
        </xdr:cNvPr>
        <xdr:cNvSpPr/>
      </xdr:nvSpPr>
      <xdr:spPr>
        <a:xfrm rot="10800000">
          <a:off x="2528057" y="122082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51289</xdr:colOff>
      <xdr:row>37</xdr:row>
      <xdr:rowOff>58615</xdr:rowOff>
    </xdr:from>
    <xdr:to>
      <xdr:col>81</xdr:col>
      <xdr:colOff>116943</xdr:colOff>
      <xdr:row>39</xdr:row>
      <xdr:rowOff>63358</xdr:rowOff>
    </xdr:to>
    <xdr:sp macro="" textlink="">
      <xdr:nvSpPr>
        <xdr:cNvPr id="15" name="Freccia curva 8">
          <a:extLst>
            <a:ext uri="{FF2B5EF4-FFF2-40B4-BE49-F238E27FC236}">
              <a16:creationId xmlns:a16="http://schemas.microsoft.com/office/drawing/2014/main" id="{00000000-0008-0000-2200-00000F000000}"/>
            </a:ext>
          </a:extLst>
        </xdr:cNvPr>
        <xdr:cNvSpPr/>
      </xdr:nvSpPr>
      <xdr:spPr>
        <a:xfrm rot="5400000" flipH="1">
          <a:off x="2062944" y="137727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77</xdr:col>
      <xdr:colOff>73270</xdr:colOff>
      <xdr:row>58</xdr:row>
      <xdr:rowOff>80596</xdr:rowOff>
    </xdr:from>
    <xdr:to>
      <xdr:col>79</xdr:col>
      <xdr:colOff>134510</xdr:colOff>
      <xdr:row>60</xdr:row>
      <xdr:rowOff>94943</xdr:rowOff>
    </xdr:to>
    <xdr:sp macro="" textlink="">
      <xdr:nvSpPr>
        <xdr:cNvPr id="16" name="Freccia curva 7">
          <a:extLst>
            <a:ext uri="{FF2B5EF4-FFF2-40B4-BE49-F238E27FC236}">
              <a16:creationId xmlns:a16="http://schemas.microsoft.com/office/drawing/2014/main" id="{00000000-0008-0000-2200-000010000000}"/>
            </a:ext>
          </a:extLst>
        </xdr:cNvPr>
        <xdr:cNvSpPr/>
      </xdr:nvSpPr>
      <xdr:spPr>
        <a:xfrm rot="5400000">
          <a:off x="1825504" y="164068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34</xdr:row>
      <xdr:rowOff>136072</xdr:rowOff>
    </xdr:from>
    <xdr:to>
      <xdr:col>104</xdr:col>
      <xdr:colOff>55717</xdr:colOff>
      <xdr:row>36</xdr:row>
      <xdr:rowOff>82778</xdr:rowOff>
    </xdr:to>
    <xdr:sp macro="" textlink="">
      <xdr:nvSpPr>
        <xdr:cNvPr id="17" name="Freccia curva 66">
          <a:extLst>
            <a:ext uri="{FF2B5EF4-FFF2-40B4-BE49-F238E27FC236}">
              <a16:creationId xmlns:a16="http://schemas.microsoft.com/office/drawing/2014/main" id="{00000000-0008-0000-2200-000011000000}"/>
            </a:ext>
          </a:extLst>
        </xdr:cNvPr>
        <xdr:cNvSpPr/>
      </xdr:nvSpPr>
      <xdr:spPr>
        <a:xfrm rot="16200000" flipH="1">
          <a:off x="4878918"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34</xdr:row>
      <xdr:rowOff>136072</xdr:rowOff>
    </xdr:from>
    <xdr:to>
      <xdr:col>104</xdr:col>
      <xdr:colOff>55717</xdr:colOff>
      <xdr:row>36</xdr:row>
      <xdr:rowOff>82778</xdr:rowOff>
    </xdr:to>
    <xdr:sp macro="" textlink="">
      <xdr:nvSpPr>
        <xdr:cNvPr id="18" name="Freccia curva 66">
          <a:extLst>
            <a:ext uri="{FF2B5EF4-FFF2-40B4-BE49-F238E27FC236}">
              <a16:creationId xmlns:a16="http://schemas.microsoft.com/office/drawing/2014/main" id="{00000000-0008-0000-2200-000012000000}"/>
            </a:ext>
          </a:extLst>
        </xdr:cNvPr>
        <xdr:cNvSpPr/>
      </xdr:nvSpPr>
      <xdr:spPr>
        <a:xfrm rot="16200000" flipH="1">
          <a:off x="4878918"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34</xdr:row>
      <xdr:rowOff>136072</xdr:rowOff>
    </xdr:from>
    <xdr:to>
      <xdr:col>104</xdr:col>
      <xdr:colOff>55717</xdr:colOff>
      <xdr:row>36</xdr:row>
      <xdr:rowOff>82778</xdr:rowOff>
    </xdr:to>
    <xdr:sp macro="" textlink="">
      <xdr:nvSpPr>
        <xdr:cNvPr id="19" name="Freccia curva 66">
          <a:extLst>
            <a:ext uri="{FF2B5EF4-FFF2-40B4-BE49-F238E27FC236}">
              <a16:creationId xmlns:a16="http://schemas.microsoft.com/office/drawing/2014/main" id="{00000000-0008-0000-2200-000013000000}"/>
            </a:ext>
          </a:extLst>
        </xdr:cNvPr>
        <xdr:cNvSpPr/>
      </xdr:nvSpPr>
      <xdr:spPr>
        <a:xfrm rot="16200000" flipH="1">
          <a:off x="4878918"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0</xdr:colOff>
      <xdr:row>34</xdr:row>
      <xdr:rowOff>136072</xdr:rowOff>
    </xdr:from>
    <xdr:to>
      <xdr:col>104</xdr:col>
      <xdr:colOff>55717</xdr:colOff>
      <xdr:row>36</xdr:row>
      <xdr:rowOff>82778</xdr:rowOff>
    </xdr:to>
    <xdr:sp macro="" textlink="">
      <xdr:nvSpPr>
        <xdr:cNvPr id="20" name="Freccia curva 66">
          <a:extLst>
            <a:ext uri="{FF2B5EF4-FFF2-40B4-BE49-F238E27FC236}">
              <a16:creationId xmlns:a16="http://schemas.microsoft.com/office/drawing/2014/main" id="{00000000-0008-0000-2200-000014000000}"/>
            </a:ext>
          </a:extLst>
        </xdr:cNvPr>
        <xdr:cNvSpPr/>
      </xdr:nvSpPr>
      <xdr:spPr>
        <a:xfrm rot="16200000" flipH="1">
          <a:off x="4878918" y="134499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46</xdr:row>
      <xdr:rowOff>91783</xdr:rowOff>
    </xdr:from>
    <xdr:to>
      <xdr:col>96</xdr:col>
      <xdr:colOff>109029</xdr:colOff>
      <xdr:row>49</xdr:row>
      <xdr:rowOff>10025</xdr:rowOff>
    </xdr:to>
    <xdr:sp macro="" textlink="">
      <xdr:nvSpPr>
        <xdr:cNvPr id="21" name="Freccia in giù 9">
          <a:extLst>
            <a:ext uri="{FF2B5EF4-FFF2-40B4-BE49-F238E27FC236}">
              <a16:creationId xmlns:a16="http://schemas.microsoft.com/office/drawing/2014/main" id="{00000000-0008-0000-2200-000015000000}"/>
            </a:ext>
          </a:extLst>
        </xdr:cNvPr>
        <xdr:cNvSpPr/>
      </xdr:nvSpPr>
      <xdr:spPr>
        <a:xfrm rot="10800000">
          <a:off x="4058616" y="149507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92</xdr:col>
      <xdr:colOff>36089</xdr:colOff>
      <xdr:row>47</xdr:row>
      <xdr:rowOff>3514</xdr:rowOff>
    </xdr:from>
    <xdr:to>
      <xdr:col>94</xdr:col>
      <xdr:colOff>59418</xdr:colOff>
      <xdr:row>49</xdr:row>
      <xdr:rowOff>50582</xdr:rowOff>
    </xdr:to>
    <xdr:sp macro="" textlink="">
      <xdr:nvSpPr>
        <xdr:cNvPr id="22" name="Freccia curva 8">
          <a:extLst>
            <a:ext uri="{FF2B5EF4-FFF2-40B4-BE49-F238E27FC236}">
              <a16:creationId xmlns:a16="http://schemas.microsoft.com/office/drawing/2014/main" id="{00000000-0008-0000-2200-000016000000}"/>
            </a:ext>
          </a:extLst>
        </xdr:cNvPr>
        <xdr:cNvSpPr/>
      </xdr:nvSpPr>
      <xdr:spPr>
        <a:xfrm flipH="1">
          <a:off x="3627014" y="149863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98</xdr:col>
      <xdr:colOff>41799</xdr:colOff>
      <xdr:row>47</xdr:row>
      <xdr:rowOff>18603</xdr:rowOff>
    </xdr:from>
    <xdr:to>
      <xdr:col>100</xdr:col>
      <xdr:colOff>74730</xdr:colOff>
      <xdr:row>49</xdr:row>
      <xdr:rowOff>42207</xdr:rowOff>
    </xdr:to>
    <xdr:sp macro="" textlink="">
      <xdr:nvSpPr>
        <xdr:cNvPr id="23" name="Freccia curva 7">
          <a:extLst>
            <a:ext uri="{FF2B5EF4-FFF2-40B4-BE49-F238E27FC236}">
              <a16:creationId xmlns:a16="http://schemas.microsoft.com/office/drawing/2014/main" id="{00000000-0008-0000-2200-000017000000}"/>
            </a:ext>
          </a:extLst>
        </xdr:cNvPr>
        <xdr:cNvSpPr/>
      </xdr:nvSpPr>
      <xdr:spPr>
        <a:xfrm>
          <a:off x="4375674" y="150014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117200</xdr:colOff>
      <xdr:row>13</xdr:row>
      <xdr:rowOff>48453</xdr:rowOff>
    </xdr:from>
    <xdr:to>
      <xdr:col>106</xdr:col>
      <xdr:colOff>16564</xdr:colOff>
      <xdr:row>15</xdr:row>
      <xdr:rowOff>81385</xdr:rowOff>
    </xdr:to>
    <xdr:sp macro="" textlink="">
      <xdr:nvSpPr>
        <xdr:cNvPr id="24" name="Freccia curva 7">
          <a:extLst>
            <a:ext uri="{FF2B5EF4-FFF2-40B4-BE49-F238E27FC236}">
              <a16:creationId xmlns:a16="http://schemas.microsoft.com/office/drawing/2014/main" id="{00000000-0008-0000-2200-000018000000}"/>
            </a:ext>
          </a:extLst>
        </xdr:cNvPr>
        <xdr:cNvSpPr/>
      </xdr:nvSpPr>
      <xdr:spPr>
        <a:xfrm rot="16200000">
          <a:off x="5065329" y="108260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100</xdr:col>
      <xdr:colOff>12087</xdr:colOff>
      <xdr:row>19</xdr:row>
      <xdr:rowOff>34693</xdr:rowOff>
    </xdr:from>
    <xdr:ext cx="963800" cy="311715"/>
    <xdr:sp macro="" textlink="">
      <xdr:nvSpPr>
        <xdr:cNvPr id="25" name="Rectangle 24">
          <a:extLst>
            <a:ext uri="{FF2B5EF4-FFF2-40B4-BE49-F238E27FC236}">
              <a16:creationId xmlns:a16="http://schemas.microsoft.com/office/drawing/2014/main" id="{00000000-0008-0000-2200-000019000000}"/>
            </a:ext>
          </a:extLst>
        </xdr:cNvPr>
        <xdr:cNvSpPr/>
      </xdr:nvSpPr>
      <xdr:spPr>
        <a:xfrm>
          <a:off x="4593612" y="1155041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76</xdr:col>
      <xdr:colOff>12087</xdr:colOff>
      <xdr:row>49</xdr:row>
      <xdr:rowOff>34693</xdr:rowOff>
    </xdr:from>
    <xdr:ext cx="963800" cy="311715"/>
    <xdr:sp macro="" textlink="">
      <xdr:nvSpPr>
        <xdr:cNvPr id="26" name="Rectangle 25">
          <a:extLst>
            <a:ext uri="{FF2B5EF4-FFF2-40B4-BE49-F238E27FC236}">
              <a16:creationId xmlns:a16="http://schemas.microsoft.com/office/drawing/2014/main" id="{00000000-0008-0000-2200-00001A000000}"/>
            </a:ext>
          </a:extLst>
        </xdr:cNvPr>
        <xdr:cNvSpPr/>
      </xdr:nvSpPr>
      <xdr:spPr>
        <a:xfrm>
          <a:off x="1621812" y="1526516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86</xdr:col>
      <xdr:colOff>101397</xdr:colOff>
      <xdr:row>48</xdr:row>
      <xdr:rowOff>51932</xdr:rowOff>
    </xdr:from>
    <xdr:to>
      <xdr:col>87</xdr:col>
      <xdr:colOff>114211</xdr:colOff>
      <xdr:row>50</xdr:row>
      <xdr:rowOff>95625</xdr:rowOff>
    </xdr:to>
    <xdr:sp macro="" textlink="">
      <xdr:nvSpPr>
        <xdr:cNvPr id="27" name="Freccia in giù 9">
          <a:extLst>
            <a:ext uri="{FF2B5EF4-FFF2-40B4-BE49-F238E27FC236}">
              <a16:creationId xmlns:a16="http://schemas.microsoft.com/office/drawing/2014/main" id="{00000000-0008-0000-2200-00001B000000}"/>
            </a:ext>
          </a:extLst>
        </xdr:cNvPr>
        <xdr:cNvSpPr/>
      </xdr:nvSpPr>
      <xdr:spPr>
        <a:xfrm>
          <a:off x="2949372" y="151585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95</xdr:col>
      <xdr:colOff>96216</xdr:colOff>
      <xdr:row>22</xdr:row>
      <xdr:rowOff>91783</xdr:rowOff>
    </xdr:from>
    <xdr:to>
      <xdr:col>96</xdr:col>
      <xdr:colOff>109029</xdr:colOff>
      <xdr:row>25</xdr:row>
      <xdr:rowOff>10025</xdr:rowOff>
    </xdr:to>
    <xdr:sp macro="" textlink="">
      <xdr:nvSpPr>
        <xdr:cNvPr id="28" name="Freccia in giù 9">
          <a:extLst>
            <a:ext uri="{FF2B5EF4-FFF2-40B4-BE49-F238E27FC236}">
              <a16:creationId xmlns:a16="http://schemas.microsoft.com/office/drawing/2014/main" id="{00000000-0008-0000-2200-00001C000000}"/>
            </a:ext>
          </a:extLst>
        </xdr:cNvPr>
        <xdr:cNvSpPr/>
      </xdr:nvSpPr>
      <xdr:spPr>
        <a:xfrm rot="10800000">
          <a:off x="4058616" y="119789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30" name="Right Arrow 29">
          <a:hlinkClick xmlns:r="http://schemas.openxmlformats.org/officeDocument/2006/relationships" r:id="rId2"/>
          <a:extLst>
            <a:ext uri="{FF2B5EF4-FFF2-40B4-BE49-F238E27FC236}">
              <a16:creationId xmlns:a16="http://schemas.microsoft.com/office/drawing/2014/main" id="{00000000-0008-0000-2200-00001E000000}"/>
            </a:ext>
          </a:extLst>
        </xdr:cNvPr>
        <xdr:cNvSpPr/>
      </xdr:nvSpPr>
      <xdr:spPr>
        <a:xfrm>
          <a:off x="6191250" y="175450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12</xdr:col>
      <xdr:colOff>0</xdr:colOff>
      <xdr:row>26</xdr:row>
      <xdr:rowOff>95250</xdr:rowOff>
    </xdr:from>
    <xdr:to>
      <xdr:col>67</xdr:col>
      <xdr:colOff>7742</xdr:colOff>
      <xdr:row>52</xdr:row>
      <xdr:rowOff>28575</xdr:rowOff>
    </xdr:to>
    <xdr:pic>
      <xdr:nvPicPr>
        <xdr:cNvPr id="30" name="Picture 29" descr="SPI-Model.jpg">
          <a:extLst>
            <a:ext uri="{FF2B5EF4-FFF2-40B4-BE49-F238E27FC236}">
              <a16:creationId xmlns:a16="http://schemas.microsoft.com/office/drawing/2014/main" id="{00000000-0008-0000-2300-00001E000000}"/>
            </a:ext>
          </a:extLst>
        </xdr:cNvPr>
        <xdr:cNvPicPr>
          <a:picLocks noChangeAspect="1"/>
        </xdr:cNvPicPr>
      </xdr:nvPicPr>
      <xdr:blipFill>
        <a:blip xmlns:r="http://schemas.openxmlformats.org/officeDocument/2006/relationships" r:embed="rId1" cstate="print"/>
        <a:srcRect t="17460" b="17604"/>
        <a:stretch>
          <a:fillRect/>
        </a:stretch>
      </xdr:blipFill>
      <xdr:spPr>
        <a:xfrm>
          <a:off x="1390650" y="3314700"/>
          <a:ext cx="6818117" cy="3152775"/>
        </a:xfrm>
        <a:prstGeom prst="rect">
          <a:avLst/>
        </a:prstGeom>
      </xdr:spPr>
    </xdr:pic>
    <xdr:clientData/>
  </xdr:twoCellAnchor>
  <xdr:oneCellAnchor>
    <xdr:from>
      <xdr:col>36</xdr:col>
      <xdr:colOff>116957</xdr:colOff>
      <xdr:row>13</xdr:row>
      <xdr:rowOff>85849</xdr:rowOff>
    </xdr:from>
    <xdr:ext cx="708399" cy="298800"/>
    <xdr:sp macro="" textlink="">
      <xdr:nvSpPr>
        <xdr:cNvPr id="3" name="Rectangle 2">
          <a:extLst>
            <a:ext uri="{FF2B5EF4-FFF2-40B4-BE49-F238E27FC236}">
              <a16:creationId xmlns:a16="http://schemas.microsoft.com/office/drawing/2014/main" id="{00000000-0008-0000-2300-000003000000}"/>
            </a:ext>
          </a:extLst>
        </xdr:cNvPr>
        <xdr:cNvSpPr/>
      </xdr:nvSpPr>
      <xdr:spPr>
        <a:xfrm>
          <a:off x="4450832" y="1695574"/>
          <a:ext cx="708399" cy="298800"/>
        </a:xfrm>
        <a:prstGeom prst="rect">
          <a:avLst/>
        </a:prstGeom>
        <a:noFill/>
      </xdr:spPr>
      <xdr:txBody>
        <a:bodyPr wrap="none" lIns="91440" tIns="45720" rIns="91440" bIns="45720">
          <a:sp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20</xdr:col>
      <xdr:colOff>116957</xdr:colOff>
      <xdr:row>13</xdr:row>
      <xdr:rowOff>85849</xdr:rowOff>
    </xdr:from>
    <xdr:ext cx="708399" cy="298800"/>
    <xdr:sp macro="" textlink="">
      <xdr:nvSpPr>
        <xdr:cNvPr id="4" name="Rectangle 3">
          <a:extLst>
            <a:ext uri="{FF2B5EF4-FFF2-40B4-BE49-F238E27FC236}">
              <a16:creationId xmlns:a16="http://schemas.microsoft.com/office/drawing/2014/main" id="{00000000-0008-0000-2300-000004000000}"/>
            </a:ext>
          </a:extLst>
        </xdr:cNvPr>
        <xdr:cNvSpPr/>
      </xdr:nvSpPr>
      <xdr:spPr>
        <a:xfrm>
          <a:off x="2469632" y="1695574"/>
          <a:ext cx="708399" cy="298800"/>
        </a:xfrm>
        <a:prstGeom prst="rect">
          <a:avLst/>
        </a:prstGeom>
        <a:noFill/>
      </xdr:spPr>
      <xdr:txBody>
        <a:bodyPr wrap="none" lIns="91440" tIns="45720" rIns="91440" bIns="45720">
          <a:sp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52</xdr:col>
      <xdr:colOff>116957</xdr:colOff>
      <xdr:row>13</xdr:row>
      <xdr:rowOff>85849</xdr:rowOff>
    </xdr:from>
    <xdr:ext cx="708399" cy="298800"/>
    <xdr:sp macro="" textlink="">
      <xdr:nvSpPr>
        <xdr:cNvPr id="5" name="Rectangle 4">
          <a:extLst>
            <a:ext uri="{FF2B5EF4-FFF2-40B4-BE49-F238E27FC236}">
              <a16:creationId xmlns:a16="http://schemas.microsoft.com/office/drawing/2014/main" id="{00000000-0008-0000-2300-000005000000}"/>
            </a:ext>
          </a:extLst>
        </xdr:cNvPr>
        <xdr:cNvSpPr/>
      </xdr:nvSpPr>
      <xdr:spPr>
        <a:xfrm>
          <a:off x="6432032" y="1695574"/>
          <a:ext cx="708399" cy="298800"/>
        </a:xfrm>
        <a:prstGeom prst="rect">
          <a:avLst/>
        </a:prstGeom>
        <a:noFill/>
      </xdr:spPr>
      <xdr:txBody>
        <a:bodyPr wrap="none" lIns="91440" tIns="45720" rIns="91440" bIns="45720">
          <a:spAutoFit/>
        </a:bodyPr>
        <a:lstStyle/>
        <a:p>
          <a:pPr algn="ctr"/>
          <a:r>
            <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4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4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19</xdr:col>
      <xdr:colOff>8286</xdr:colOff>
      <xdr:row>21</xdr:row>
      <xdr:rowOff>115956</xdr:rowOff>
    </xdr:from>
    <xdr:to>
      <xdr:col>21</xdr:col>
      <xdr:colOff>104122</xdr:colOff>
      <xdr:row>35</xdr:row>
      <xdr:rowOff>10438</xdr:rowOff>
    </xdr:to>
    <xdr:cxnSp macro="">
      <xdr:nvCxnSpPr>
        <xdr:cNvPr id="6" name="Straight Connector 5">
          <a:extLst>
            <a:ext uri="{FF2B5EF4-FFF2-40B4-BE49-F238E27FC236}">
              <a16:creationId xmlns:a16="http://schemas.microsoft.com/office/drawing/2014/main" id="{00000000-0008-0000-2300-000006000000}"/>
            </a:ext>
          </a:extLst>
        </xdr:cNvPr>
        <xdr:cNvCxnSpPr>
          <a:stCxn id="7" idx="0"/>
        </xdr:cNvCxnSpPr>
      </xdr:nvCxnSpPr>
      <xdr:spPr>
        <a:xfrm rot="16200000" flipV="1">
          <a:off x="1594863" y="3358554"/>
          <a:ext cx="1628032" cy="34348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16565</xdr:colOff>
      <xdr:row>35</xdr:row>
      <xdr:rowOff>10438</xdr:rowOff>
    </xdr:from>
    <xdr:to>
      <xdr:col>22</xdr:col>
      <xdr:colOff>67439</xdr:colOff>
      <xdr:row>36</xdr:row>
      <xdr:rowOff>68639</xdr:rowOff>
    </xdr:to>
    <xdr:sp macro="" textlink="">
      <xdr:nvSpPr>
        <xdr:cNvPr id="7" name="Oval 6">
          <a:extLst>
            <a:ext uri="{FF2B5EF4-FFF2-40B4-BE49-F238E27FC236}">
              <a16:creationId xmlns:a16="http://schemas.microsoft.com/office/drawing/2014/main" id="{00000000-0008-0000-2300-000007000000}"/>
            </a:ext>
          </a:extLst>
        </xdr:cNvPr>
        <xdr:cNvSpPr/>
      </xdr:nvSpPr>
      <xdr:spPr>
        <a:xfrm>
          <a:off x="2493065" y="4344313"/>
          <a:ext cx="174699" cy="182026"/>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51</xdr:col>
      <xdr:colOff>8279</xdr:colOff>
      <xdr:row>22</xdr:row>
      <xdr:rowOff>0</xdr:rowOff>
    </xdr:from>
    <xdr:to>
      <xdr:col>57</xdr:col>
      <xdr:colOff>66023</xdr:colOff>
      <xdr:row>42</xdr:row>
      <xdr:rowOff>121426</xdr:rowOff>
    </xdr:to>
    <xdr:cxnSp macro="">
      <xdr:nvCxnSpPr>
        <xdr:cNvPr id="8" name="Straight Connector 7">
          <a:extLst>
            <a:ext uri="{FF2B5EF4-FFF2-40B4-BE49-F238E27FC236}">
              <a16:creationId xmlns:a16="http://schemas.microsoft.com/office/drawing/2014/main" id="{00000000-0008-0000-2300-000008000000}"/>
            </a:ext>
          </a:extLst>
        </xdr:cNvPr>
        <xdr:cNvCxnSpPr>
          <a:stCxn id="9" idx="0"/>
        </xdr:cNvCxnSpPr>
      </xdr:nvCxnSpPr>
      <xdr:spPr>
        <a:xfrm rot="16200000" flipV="1">
          <a:off x="5300913" y="3622766"/>
          <a:ext cx="2597926" cy="80069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56</xdr:col>
      <xdr:colOff>102705</xdr:colOff>
      <xdr:row>42</xdr:row>
      <xdr:rowOff>121426</xdr:rowOff>
    </xdr:from>
    <xdr:to>
      <xdr:col>58</xdr:col>
      <xdr:colOff>29340</xdr:colOff>
      <xdr:row>44</xdr:row>
      <xdr:rowOff>55387</xdr:rowOff>
    </xdr:to>
    <xdr:sp macro="" textlink="">
      <xdr:nvSpPr>
        <xdr:cNvPr id="9" name="Oval 8">
          <a:extLst>
            <a:ext uri="{FF2B5EF4-FFF2-40B4-BE49-F238E27FC236}">
              <a16:creationId xmlns:a16="http://schemas.microsoft.com/office/drawing/2014/main" id="{00000000-0008-0000-2300-000009000000}"/>
            </a:ext>
          </a:extLst>
        </xdr:cNvPr>
        <xdr:cNvSpPr/>
      </xdr:nvSpPr>
      <xdr:spPr>
        <a:xfrm>
          <a:off x="6913080" y="5322076"/>
          <a:ext cx="174285" cy="181611"/>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35</xdr:col>
      <xdr:colOff>8283</xdr:colOff>
      <xdr:row>22</xdr:row>
      <xdr:rowOff>0</xdr:rowOff>
    </xdr:from>
    <xdr:to>
      <xdr:col>39</xdr:col>
      <xdr:colOff>85901</xdr:colOff>
      <xdr:row>38</xdr:row>
      <xdr:rowOff>116456</xdr:rowOff>
    </xdr:to>
    <xdr:cxnSp macro="">
      <xdr:nvCxnSpPr>
        <xdr:cNvPr id="10" name="Straight Connector 9">
          <a:extLst>
            <a:ext uri="{FF2B5EF4-FFF2-40B4-BE49-F238E27FC236}">
              <a16:creationId xmlns:a16="http://schemas.microsoft.com/office/drawing/2014/main" id="{00000000-0008-0000-2300-00000A000000}"/>
            </a:ext>
          </a:extLst>
        </xdr:cNvPr>
        <xdr:cNvCxnSpPr>
          <a:stCxn id="11" idx="0"/>
        </xdr:cNvCxnSpPr>
      </xdr:nvCxnSpPr>
      <xdr:spPr>
        <a:xfrm rot="16200000" flipV="1">
          <a:off x="3455964" y="3486519"/>
          <a:ext cx="2097656" cy="57291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122583</xdr:colOff>
      <xdr:row>38</xdr:row>
      <xdr:rowOff>116456</xdr:rowOff>
    </xdr:from>
    <xdr:to>
      <xdr:col>40</xdr:col>
      <xdr:colOff>49218</xdr:colOff>
      <xdr:row>40</xdr:row>
      <xdr:rowOff>50418</xdr:rowOff>
    </xdr:to>
    <xdr:sp macro="" textlink="">
      <xdr:nvSpPr>
        <xdr:cNvPr id="11" name="Oval 10">
          <a:extLst>
            <a:ext uri="{FF2B5EF4-FFF2-40B4-BE49-F238E27FC236}">
              <a16:creationId xmlns:a16="http://schemas.microsoft.com/office/drawing/2014/main" id="{00000000-0008-0000-2300-00000B000000}"/>
            </a:ext>
          </a:extLst>
        </xdr:cNvPr>
        <xdr:cNvSpPr/>
      </xdr:nvSpPr>
      <xdr:spPr>
        <a:xfrm>
          <a:off x="4704108" y="4821806"/>
          <a:ext cx="174285" cy="181612"/>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37</xdr:col>
      <xdr:colOff>12087</xdr:colOff>
      <xdr:row>83</xdr:row>
      <xdr:rowOff>34693</xdr:rowOff>
    </xdr:from>
    <xdr:ext cx="963800" cy="311715"/>
    <xdr:sp macro="" textlink="">
      <xdr:nvSpPr>
        <xdr:cNvPr id="12" name="Rectangle 11">
          <a:extLst>
            <a:ext uri="{FF2B5EF4-FFF2-40B4-BE49-F238E27FC236}">
              <a16:creationId xmlns:a16="http://schemas.microsoft.com/office/drawing/2014/main" id="{00000000-0008-0000-2300-00000C000000}"/>
            </a:ext>
          </a:extLst>
        </xdr:cNvPr>
        <xdr:cNvSpPr/>
      </xdr:nvSpPr>
      <xdr:spPr>
        <a:xfrm>
          <a:off x="4469787" y="1031216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36</xdr:col>
      <xdr:colOff>53688</xdr:colOff>
      <xdr:row>73</xdr:row>
      <xdr:rowOff>62470</xdr:rowOff>
    </xdr:from>
    <xdr:to>
      <xdr:col>38</xdr:col>
      <xdr:colOff>77017</xdr:colOff>
      <xdr:row>75</xdr:row>
      <xdr:rowOff>109538</xdr:rowOff>
    </xdr:to>
    <xdr:sp macro="" textlink="">
      <xdr:nvSpPr>
        <xdr:cNvPr id="13" name="Freccia curva 8">
          <a:extLst>
            <a:ext uri="{FF2B5EF4-FFF2-40B4-BE49-F238E27FC236}">
              <a16:creationId xmlns:a16="http://schemas.microsoft.com/office/drawing/2014/main" id="{00000000-0008-0000-2300-00000D000000}"/>
            </a:ext>
          </a:extLst>
        </xdr:cNvPr>
        <xdr:cNvSpPr/>
      </xdr:nvSpPr>
      <xdr:spPr>
        <a:xfrm rot="10800000" flipH="1">
          <a:off x="4387563" y="91016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17</xdr:col>
      <xdr:colOff>51557</xdr:colOff>
      <xdr:row>70</xdr:row>
      <xdr:rowOff>73430</xdr:rowOff>
    </xdr:from>
    <xdr:to>
      <xdr:col>19</xdr:col>
      <xdr:colOff>84489</xdr:colOff>
      <xdr:row>72</xdr:row>
      <xdr:rowOff>95408</xdr:rowOff>
    </xdr:to>
    <xdr:sp macro="" textlink="">
      <xdr:nvSpPr>
        <xdr:cNvPr id="14" name="Freccia curva 7">
          <a:extLst>
            <a:ext uri="{FF2B5EF4-FFF2-40B4-BE49-F238E27FC236}">
              <a16:creationId xmlns:a16="http://schemas.microsoft.com/office/drawing/2014/main" id="{00000000-0008-0000-2300-00000E000000}"/>
            </a:ext>
          </a:extLst>
        </xdr:cNvPr>
        <xdr:cNvSpPr/>
      </xdr:nvSpPr>
      <xdr:spPr>
        <a:xfrm rot="10800000">
          <a:off x="2032757" y="87411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51289</xdr:colOff>
      <xdr:row>86</xdr:row>
      <xdr:rowOff>58615</xdr:rowOff>
    </xdr:from>
    <xdr:to>
      <xdr:col>30</xdr:col>
      <xdr:colOff>116943</xdr:colOff>
      <xdr:row>88</xdr:row>
      <xdr:rowOff>63358</xdr:rowOff>
    </xdr:to>
    <xdr:sp macro="" textlink="">
      <xdr:nvSpPr>
        <xdr:cNvPr id="15" name="Freccia curva 8">
          <a:extLst>
            <a:ext uri="{FF2B5EF4-FFF2-40B4-BE49-F238E27FC236}">
              <a16:creationId xmlns:a16="http://schemas.microsoft.com/office/drawing/2014/main" id="{00000000-0008-0000-2300-00000F000000}"/>
            </a:ext>
          </a:extLst>
        </xdr:cNvPr>
        <xdr:cNvSpPr/>
      </xdr:nvSpPr>
      <xdr:spPr>
        <a:xfrm rot="5400000" flipH="1">
          <a:off x="3425019" y="106771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73270</xdr:colOff>
      <xdr:row>92</xdr:row>
      <xdr:rowOff>80596</xdr:rowOff>
    </xdr:from>
    <xdr:to>
      <xdr:col>30</xdr:col>
      <xdr:colOff>134510</xdr:colOff>
      <xdr:row>94</xdr:row>
      <xdr:rowOff>94943</xdr:rowOff>
    </xdr:to>
    <xdr:sp macro="" textlink="">
      <xdr:nvSpPr>
        <xdr:cNvPr id="16" name="Freccia curva 7">
          <a:extLst>
            <a:ext uri="{FF2B5EF4-FFF2-40B4-BE49-F238E27FC236}">
              <a16:creationId xmlns:a16="http://schemas.microsoft.com/office/drawing/2014/main" id="{00000000-0008-0000-2300-000010000000}"/>
            </a:ext>
          </a:extLst>
        </xdr:cNvPr>
        <xdr:cNvSpPr/>
      </xdr:nvSpPr>
      <xdr:spPr>
        <a:xfrm rot="5400000">
          <a:off x="3435229" y="1145381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28</xdr:col>
      <xdr:colOff>58937</xdr:colOff>
      <xdr:row>90</xdr:row>
      <xdr:rowOff>6397</xdr:rowOff>
    </xdr:from>
    <xdr:to>
      <xdr:col>31</xdr:col>
      <xdr:colOff>5058</xdr:colOff>
      <xdr:row>91</xdr:row>
      <xdr:rowOff>9918</xdr:rowOff>
    </xdr:to>
    <xdr:sp macro="" textlink="">
      <xdr:nvSpPr>
        <xdr:cNvPr id="17" name="Freccia in giù 9">
          <a:extLst>
            <a:ext uri="{FF2B5EF4-FFF2-40B4-BE49-F238E27FC236}">
              <a16:creationId xmlns:a16="http://schemas.microsoft.com/office/drawing/2014/main" id="{00000000-0008-0000-2300-000011000000}"/>
            </a:ext>
          </a:extLst>
        </xdr:cNvPr>
        <xdr:cNvSpPr/>
      </xdr:nvSpPr>
      <xdr:spPr>
        <a:xfrm rot="16200000">
          <a:off x="3497337" y="110555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83</xdr:row>
      <xdr:rowOff>136072</xdr:rowOff>
    </xdr:from>
    <xdr:to>
      <xdr:col>53</xdr:col>
      <xdr:colOff>55717</xdr:colOff>
      <xdr:row>85</xdr:row>
      <xdr:rowOff>82778</xdr:rowOff>
    </xdr:to>
    <xdr:sp macro="" textlink="">
      <xdr:nvSpPr>
        <xdr:cNvPr id="18" name="Freccia curva 66">
          <a:extLst>
            <a:ext uri="{FF2B5EF4-FFF2-40B4-BE49-F238E27FC236}">
              <a16:creationId xmlns:a16="http://schemas.microsoft.com/office/drawing/2014/main" id="{00000000-0008-0000-2300-000012000000}"/>
            </a:ext>
          </a:extLst>
        </xdr:cNvPr>
        <xdr:cNvSpPr/>
      </xdr:nvSpPr>
      <xdr:spPr>
        <a:xfrm rot="16200000" flipH="1">
          <a:off x="6240993" y="10354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83</xdr:row>
      <xdr:rowOff>136072</xdr:rowOff>
    </xdr:from>
    <xdr:to>
      <xdr:col>53</xdr:col>
      <xdr:colOff>55717</xdr:colOff>
      <xdr:row>85</xdr:row>
      <xdr:rowOff>82778</xdr:rowOff>
    </xdr:to>
    <xdr:sp macro="" textlink="">
      <xdr:nvSpPr>
        <xdr:cNvPr id="19" name="Freccia curva 66">
          <a:extLst>
            <a:ext uri="{FF2B5EF4-FFF2-40B4-BE49-F238E27FC236}">
              <a16:creationId xmlns:a16="http://schemas.microsoft.com/office/drawing/2014/main" id="{00000000-0008-0000-2300-000013000000}"/>
            </a:ext>
          </a:extLst>
        </xdr:cNvPr>
        <xdr:cNvSpPr/>
      </xdr:nvSpPr>
      <xdr:spPr>
        <a:xfrm rot="16200000" flipH="1">
          <a:off x="6240993" y="10354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83</xdr:row>
      <xdr:rowOff>136072</xdr:rowOff>
    </xdr:from>
    <xdr:to>
      <xdr:col>53</xdr:col>
      <xdr:colOff>55717</xdr:colOff>
      <xdr:row>85</xdr:row>
      <xdr:rowOff>82778</xdr:rowOff>
    </xdr:to>
    <xdr:sp macro="" textlink="">
      <xdr:nvSpPr>
        <xdr:cNvPr id="20" name="Freccia curva 66">
          <a:extLst>
            <a:ext uri="{FF2B5EF4-FFF2-40B4-BE49-F238E27FC236}">
              <a16:creationId xmlns:a16="http://schemas.microsoft.com/office/drawing/2014/main" id="{00000000-0008-0000-2300-000014000000}"/>
            </a:ext>
          </a:extLst>
        </xdr:cNvPr>
        <xdr:cNvSpPr/>
      </xdr:nvSpPr>
      <xdr:spPr>
        <a:xfrm rot="16200000" flipH="1">
          <a:off x="6240993" y="10354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51</xdr:col>
      <xdr:colOff>0</xdr:colOff>
      <xdr:row>83</xdr:row>
      <xdr:rowOff>136072</xdr:rowOff>
    </xdr:from>
    <xdr:to>
      <xdr:col>53</xdr:col>
      <xdr:colOff>55717</xdr:colOff>
      <xdr:row>85</xdr:row>
      <xdr:rowOff>82778</xdr:rowOff>
    </xdr:to>
    <xdr:sp macro="" textlink="">
      <xdr:nvSpPr>
        <xdr:cNvPr id="21" name="Freccia curva 66">
          <a:extLst>
            <a:ext uri="{FF2B5EF4-FFF2-40B4-BE49-F238E27FC236}">
              <a16:creationId xmlns:a16="http://schemas.microsoft.com/office/drawing/2014/main" id="{00000000-0008-0000-2300-000015000000}"/>
            </a:ext>
          </a:extLst>
        </xdr:cNvPr>
        <xdr:cNvSpPr/>
      </xdr:nvSpPr>
      <xdr:spPr>
        <a:xfrm rot="16200000" flipH="1">
          <a:off x="6240993" y="103542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42</xdr:col>
      <xdr:colOff>36089</xdr:colOff>
      <xdr:row>96</xdr:row>
      <xdr:rowOff>3514</xdr:rowOff>
    </xdr:from>
    <xdr:to>
      <xdr:col>44</xdr:col>
      <xdr:colOff>59418</xdr:colOff>
      <xdr:row>98</xdr:row>
      <xdr:rowOff>50582</xdr:rowOff>
    </xdr:to>
    <xdr:sp macro="" textlink="">
      <xdr:nvSpPr>
        <xdr:cNvPr id="22" name="Freccia curva 8">
          <a:extLst>
            <a:ext uri="{FF2B5EF4-FFF2-40B4-BE49-F238E27FC236}">
              <a16:creationId xmlns:a16="http://schemas.microsoft.com/office/drawing/2014/main" id="{00000000-0008-0000-2300-000016000000}"/>
            </a:ext>
          </a:extLst>
        </xdr:cNvPr>
        <xdr:cNvSpPr/>
      </xdr:nvSpPr>
      <xdr:spPr>
        <a:xfrm flipH="1">
          <a:off x="5112914" y="11890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97574</xdr:colOff>
      <xdr:row>81</xdr:row>
      <xdr:rowOff>4645</xdr:rowOff>
    </xdr:from>
    <xdr:to>
      <xdr:col>53</xdr:col>
      <xdr:colOff>43694</xdr:colOff>
      <xdr:row>82</xdr:row>
      <xdr:rowOff>8166</xdr:rowOff>
    </xdr:to>
    <xdr:sp macro="" textlink="">
      <xdr:nvSpPr>
        <xdr:cNvPr id="23" name="Freccia in giù 9">
          <a:extLst>
            <a:ext uri="{FF2B5EF4-FFF2-40B4-BE49-F238E27FC236}">
              <a16:creationId xmlns:a16="http://schemas.microsoft.com/office/drawing/2014/main" id="{00000000-0008-0000-2300-000017000000}"/>
            </a:ext>
          </a:extLst>
        </xdr:cNvPr>
        <xdr:cNvSpPr/>
      </xdr:nvSpPr>
      <xdr:spPr>
        <a:xfrm rot="5400000">
          <a:off x="6260124" y="99393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62</xdr:col>
      <xdr:colOff>41799</xdr:colOff>
      <xdr:row>99</xdr:row>
      <xdr:rowOff>18603</xdr:rowOff>
    </xdr:from>
    <xdr:to>
      <xdr:col>64</xdr:col>
      <xdr:colOff>74730</xdr:colOff>
      <xdr:row>101</xdr:row>
      <xdr:rowOff>42207</xdr:rowOff>
    </xdr:to>
    <xdr:sp macro="" textlink="">
      <xdr:nvSpPr>
        <xdr:cNvPr id="24" name="Freccia curva 7">
          <a:extLst>
            <a:ext uri="{FF2B5EF4-FFF2-40B4-BE49-F238E27FC236}">
              <a16:creationId xmlns:a16="http://schemas.microsoft.com/office/drawing/2014/main" id="{00000000-0008-0000-2300-000018000000}"/>
            </a:ext>
          </a:extLst>
        </xdr:cNvPr>
        <xdr:cNvSpPr/>
      </xdr:nvSpPr>
      <xdr:spPr>
        <a:xfrm>
          <a:off x="7595124" y="1227727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50</xdr:col>
      <xdr:colOff>117200</xdr:colOff>
      <xdr:row>77</xdr:row>
      <xdr:rowOff>48453</xdr:rowOff>
    </xdr:from>
    <xdr:to>
      <xdr:col>53</xdr:col>
      <xdr:colOff>16564</xdr:colOff>
      <xdr:row>79</xdr:row>
      <xdr:rowOff>81385</xdr:rowOff>
    </xdr:to>
    <xdr:sp macro="" textlink="">
      <xdr:nvSpPr>
        <xdr:cNvPr id="25" name="Freccia curva 7">
          <a:extLst>
            <a:ext uri="{FF2B5EF4-FFF2-40B4-BE49-F238E27FC236}">
              <a16:creationId xmlns:a16="http://schemas.microsoft.com/office/drawing/2014/main" id="{00000000-0008-0000-2300-000019000000}"/>
            </a:ext>
          </a:extLst>
        </xdr:cNvPr>
        <xdr:cNvSpPr/>
      </xdr:nvSpPr>
      <xdr:spPr>
        <a:xfrm rot="16200000">
          <a:off x="6179754" y="95878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52</xdr:col>
      <xdr:colOff>45217</xdr:colOff>
      <xdr:row>95</xdr:row>
      <xdr:rowOff>34693</xdr:rowOff>
    </xdr:from>
    <xdr:ext cx="963800" cy="311715"/>
    <xdr:sp macro="" textlink="">
      <xdr:nvSpPr>
        <xdr:cNvPr id="26" name="Rectangle 25">
          <a:extLst>
            <a:ext uri="{FF2B5EF4-FFF2-40B4-BE49-F238E27FC236}">
              <a16:creationId xmlns:a16="http://schemas.microsoft.com/office/drawing/2014/main" id="{00000000-0008-0000-2300-00001A000000}"/>
            </a:ext>
          </a:extLst>
        </xdr:cNvPr>
        <xdr:cNvSpPr/>
      </xdr:nvSpPr>
      <xdr:spPr>
        <a:xfrm>
          <a:off x="6360292" y="1179806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6</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22</xdr:col>
      <xdr:colOff>12087</xdr:colOff>
      <xdr:row>71</xdr:row>
      <xdr:rowOff>34693</xdr:rowOff>
    </xdr:from>
    <xdr:ext cx="963800" cy="311715"/>
    <xdr:sp macro="" textlink="">
      <xdr:nvSpPr>
        <xdr:cNvPr id="27" name="Rectangle 26">
          <a:extLst>
            <a:ext uri="{FF2B5EF4-FFF2-40B4-BE49-F238E27FC236}">
              <a16:creationId xmlns:a16="http://schemas.microsoft.com/office/drawing/2014/main" id="{00000000-0008-0000-2300-00001B000000}"/>
            </a:ext>
          </a:extLst>
        </xdr:cNvPr>
        <xdr:cNvSpPr/>
      </xdr:nvSpPr>
      <xdr:spPr>
        <a:xfrm>
          <a:off x="2612412" y="8826268"/>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52</xdr:col>
      <xdr:colOff>58937</xdr:colOff>
      <xdr:row>90</xdr:row>
      <xdr:rowOff>6397</xdr:rowOff>
    </xdr:from>
    <xdr:to>
      <xdr:col>55</xdr:col>
      <xdr:colOff>5058</xdr:colOff>
      <xdr:row>91</xdr:row>
      <xdr:rowOff>9918</xdr:rowOff>
    </xdr:to>
    <xdr:sp macro="" textlink="">
      <xdr:nvSpPr>
        <xdr:cNvPr id="28" name="Freccia in giù 9">
          <a:extLst>
            <a:ext uri="{FF2B5EF4-FFF2-40B4-BE49-F238E27FC236}">
              <a16:creationId xmlns:a16="http://schemas.microsoft.com/office/drawing/2014/main" id="{00000000-0008-0000-2300-00001C000000}"/>
            </a:ext>
          </a:extLst>
        </xdr:cNvPr>
        <xdr:cNvSpPr/>
      </xdr:nvSpPr>
      <xdr:spPr>
        <a:xfrm rot="16200000">
          <a:off x="6469137" y="1105552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25</xdr:col>
      <xdr:colOff>97574</xdr:colOff>
      <xdr:row>81</xdr:row>
      <xdr:rowOff>4645</xdr:rowOff>
    </xdr:from>
    <xdr:to>
      <xdr:col>28</xdr:col>
      <xdr:colOff>43694</xdr:colOff>
      <xdr:row>82</xdr:row>
      <xdr:rowOff>8166</xdr:rowOff>
    </xdr:to>
    <xdr:sp macro="" textlink="">
      <xdr:nvSpPr>
        <xdr:cNvPr id="29" name="Freccia in giù 9">
          <a:extLst>
            <a:ext uri="{FF2B5EF4-FFF2-40B4-BE49-F238E27FC236}">
              <a16:creationId xmlns:a16="http://schemas.microsoft.com/office/drawing/2014/main" id="{00000000-0008-0000-2300-00001D000000}"/>
            </a:ext>
          </a:extLst>
        </xdr:cNvPr>
        <xdr:cNvSpPr/>
      </xdr:nvSpPr>
      <xdr:spPr>
        <a:xfrm rot="5400000">
          <a:off x="3164499" y="99393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69</xdr:col>
      <xdr:colOff>85725</xdr:colOff>
      <xdr:row>106</xdr:row>
      <xdr:rowOff>9525</xdr:rowOff>
    </xdr:from>
    <xdr:to>
      <xdr:col>79</xdr:col>
      <xdr:colOff>28574</xdr:colOff>
      <xdr:row>109</xdr:row>
      <xdr:rowOff>114300</xdr:rowOff>
    </xdr:to>
    <xdr:sp macro="" textlink="">
      <xdr:nvSpPr>
        <xdr:cNvPr id="31" name="Right Arrow 30">
          <a:hlinkClick xmlns:r="http://schemas.openxmlformats.org/officeDocument/2006/relationships" r:id="rId2"/>
          <a:extLst>
            <a:ext uri="{FF2B5EF4-FFF2-40B4-BE49-F238E27FC236}">
              <a16:creationId xmlns:a16="http://schemas.microsoft.com/office/drawing/2014/main" id="{00000000-0008-0000-2300-00001F000000}"/>
            </a:ext>
          </a:extLst>
        </xdr:cNvPr>
        <xdr:cNvSpPr/>
      </xdr:nvSpPr>
      <xdr:spPr>
        <a:xfrm>
          <a:off x="6191250" y="175450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900"/>
            <a:t>Back</a:t>
          </a:r>
          <a:r>
            <a:rPr lang="en-US" sz="900" baseline="0"/>
            <a:t> to </a:t>
          </a:r>
          <a:r>
            <a:rPr lang="en-US" sz="900"/>
            <a:t>Results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104775</xdr:colOff>
      <xdr:row>19</xdr:row>
      <xdr:rowOff>19050</xdr:rowOff>
    </xdr:from>
    <xdr:to>
      <xdr:col>36</xdr:col>
      <xdr:colOff>38100</xdr:colOff>
      <xdr:row>69</xdr:row>
      <xdr:rowOff>114300</xdr:rowOff>
    </xdr:to>
    <xdr:pic>
      <xdr:nvPicPr>
        <xdr:cNvPr id="35" name="Picture 34" descr="1.0 Convesional Single.jpg">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cstate="print"/>
        <a:srcRect l="41217" t="10781" r="44955" b="12656"/>
        <a:stretch>
          <a:fillRect/>
        </a:stretch>
      </xdr:blipFill>
      <xdr:spPr>
        <a:xfrm>
          <a:off x="2657475" y="2371725"/>
          <a:ext cx="1419225" cy="6286500"/>
        </a:xfrm>
        <a:prstGeom prst="rect">
          <a:avLst/>
        </a:prstGeom>
      </xdr:spPr>
    </xdr:pic>
    <xdr:clientData/>
  </xdr:twoCellAnchor>
  <xdr:twoCellAnchor editAs="oneCell">
    <xdr:from>
      <xdr:col>2</xdr:col>
      <xdr:colOff>38757</xdr:colOff>
      <xdr:row>39</xdr:row>
      <xdr:rowOff>9525</xdr:rowOff>
    </xdr:from>
    <xdr:to>
      <xdr:col>57</xdr:col>
      <xdr:colOff>86382</xdr:colOff>
      <xdr:row>50</xdr:row>
      <xdr:rowOff>66675</xdr:rowOff>
    </xdr:to>
    <xdr:pic>
      <xdr:nvPicPr>
        <xdr:cNvPr id="36" name="Picture 35" descr="1.0 Convesional Single.jp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cstate="print"/>
        <a:srcRect l="17181" t="40826" r="21104" b="41889"/>
        <a:stretch>
          <a:fillRect/>
        </a:stretch>
      </xdr:blipFill>
      <xdr:spPr>
        <a:xfrm>
          <a:off x="189843" y="4877128"/>
          <a:ext cx="6189608" cy="1430064"/>
        </a:xfrm>
        <a:prstGeom prst="rect">
          <a:avLst/>
        </a:prstGeom>
      </xdr:spPr>
    </xdr:pic>
    <xdr:clientData/>
  </xdr:twoCellAnchor>
  <xdr:oneCellAnchor>
    <xdr:from>
      <xdr:col>6</xdr:col>
      <xdr:colOff>110504</xdr:colOff>
      <xdr:row>23</xdr:row>
      <xdr:rowOff>117418</xdr:rowOff>
    </xdr:from>
    <xdr:ext cx="1231277" cy="353614"/>
    <xdr:sp macro="" textlink="">
      <xdr:nvSpPr>
        <xdr:cNvPr id="4" name="Rectangle 3">
          <a:extLst>
            <a:ext uri="{FF2B5EF4-FFF2-40B4-BE49-F238E27FC236}">
              <a16:creationId xmlns:a16="http://schemas.microsoft.com/office/drawing/2014/main" id="{00000000-0008-0000-0400-000004000000}"/>
            </a:ext>
          </a:extLst>
        </xdr:cNvPr>
        <xdr:cNvSpPr/>
      </xdr:nvSpPr>
      <xdr:spPr>
        <a:xfrm>
          <a:off x="760445" y="2952506"/>
          <a:ext cx="1231277" cy="35361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17</xdr:col>
      <xdr:colOff>9526</xdr:colOff>
      <xdr:row>33</xdr:row>
      <xdr:rowOff>9526</xdr:rowOff>
    </xdr:from>
    <xdr:to>
      <xdr:col>29</xdr:col>
      <xdr:colOff>101845</xdr:colOff>
      <xdr:row>43</xdr:row>
      <xdr:rowOff>13876</xdr:rowOff>
    </xdr:to>
    <xdr:cxnSp macro="">
      <xdr:nvCxnSpPr>
        <xdr:cNvPr id="5" name="Straight Connector 4">
          <a:extLst>
            <a:ext uri="{FF2B5EF4-FFF2-40B4-BE49-F238E27FC236}">
              <a16:creationId xmlns:a16="http://schemas.microsoft.com/office/drawing/2014/main" id="{00000000-0008-0000-0400-000005000000}"/>
            </a:ext>
          </a:extLst>
        </xdr:cNvPr>
        <xdr:cNvCxnSpPr>
          <a:stCxn id="6" idx="1"/>
        </xdr:cNvCxnSpPr>
      </xdr:nvCxnSpPr>
      <xdr:spPr>
        <a:xfrm rot="16200000" flipV="1">
          <a:off x="2158536" y="3927941"/>
          <a:ext cx="1242600" cy="157821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76200</xdr:colOff>
      <xdr:row>42</xdr:row>
      <xdr:rowOff>110983</xdr:rowOff>
    </xdr:from>
    <xdr:to>
      <xdr:col>31</xdr:col>
      <xdr:colOff>3663</xdr:colOff>
      <xdr:row>44</xdr:row>
      <xdr:rowOff>45773</xdr:rowOff>
    </xdr:to>
    <xdr:sp macro="" textlink="">
      <xdr:nvSpPr>
        <xdr:cNvPr id="6" name="Oval 5">
          <a:extLst>
            <a:ext uri="{FF2B5EF4-FFF2-40B4-BE49-F238E27FC236}">
              <a16:creationId xmlns:a16="http://schemas.microsoft.com/office/drawing/2014/main" id="{00000000-0008-0000-0400-000006000000}"/>
            </a:ext>
          </a:extLst>
        </xdr:cNvPr>
        <xdr:cNvSpPr/>
      </xdr:nvSpPr>
      <xdr:spPr>
        <a:xfrm>
          <a:off x="3543300" y="531163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26</xdr:col>
      <xdr:colOff>103195</xdr:colOff>
      <xdr:row>75</xdr:row>
      <xdr:rowOff>0</xdr:rowOff>
    </xdr:from>
    <xdr:ext cx="963800" cy="311715"/>
    <xdr:sp macro="" textlink="">
      <xdr:nvSpPr>
        <xdr:cNvPr id="7" name="Rectangle 6">
          <a:extLst>
            <a:ext uri="{FF2B5EF4-FFF2-40B4-BE49-F238E27FC236}">
              <a16:creationId xmlns:a16="http://schemas.microsoft.com/office/drawing/2014/main" id="{00000000-0008-0000-0400-000007000000}"/>
            </a:ext>
          </a:extLst>
        </xdr:cNvPr>
        <xdr:cNvSpPr/>
      </xdr:nvSpPr>
      <xdr:spPr>
        <a:xfrm>
          <a:off x="3198820" y="1324296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88</xdr:col>
      <xdr:colOff>103195</xdr:colOff>
      <xdr:row>32</xdr:row>
      <xdr:rowOff>117519</xdr:rowOff>
    </xdr:from>
    <xdr:ext cx="963800" cy="311715"/>
    <xdr:sp macro="" textlink="">
      <xdr:nvSpPr>
        <xdr:cNvPr id="28" name="Rectangle 27">
          <a:extLst>
            <a:ext uri="{FF2B5EF4-FFF2-40B4-BE49-F238E27FC236}">
              <a16:creationId xmlns:a16="http://schemas.microsoft.com/office/drawing/2014/main" id="{00000000-0008-0000-0400-00001C000000}"/>
            </a:ext>
          </a:extLst>
        </xdr:cNvPr>
        <xdr:cNvSpPr/>
      </xdr:nvSpPr>
      <xdr:spPr>
        <a:xfrm>
          <a:off x="2998795" y="1328106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93</xdr:col>
      <xdr:colOff>53688</xdr:colOff>
      <xdr:row>23</xdr:row>
      <xdr:rowOff>62470</xdr:rowOff>
    </xdr:from>
    <xdr:to>
      <xdr:col>95</xdr:col>
      <xdr:colOff>77017</xdr:colOff>
      <xdr:row>25</xdr:row>
      <xdr:rowOff>109538</xdr:rowOff>
    </xdr:to>
    <xdr:sp macro="" textlink="">
      <xdr:nvSpPr>
        <xdr:cNvPr id="29" name="Freccia curva 8">
          <a:extLst>
            <a:ext uri="{FF2B5EF4-FFF2-40B4-BE49-F238E27FC236}">
              <a16:creationId xmlns:a16="http://schemas.microsoft.com/office/drawing/2014/main" id="{00000000-0008-0000-0400-00001D000000}"/>
            </a:ext>
          </a:extLst>
        </xdr:cNvPr>
        <xdr:cNvSpPr/>
      </xdr:nvSpPr>
      <xdr:spPr>
        <a:xfrm rot="10800000" flipH="1">
          <a:off x="3520788" y="12111595"/>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55058</xdr:colOff>
      <xdr:row>23</xdr:row>
      <xdr:rowOff>67264</xdr:rowOff>
    </xdr:from>
    <xdr:to>
      <xdr:col>98</xdr:col>
      <xdr:colOff>84922</xdr:colOff>
      <xdr:row>25</xdr:row>
      <xdr:rowOff>123518</xdr:rowOff>
    </xdr:to>
    <xdr:sp macro="" textlink="">
      <xdr:nvSpPr>
        <xdr:cNvPr id="30" name="Freccia a inversione 13">
          <a:extLst>
            <a:ext uri="{FF2B5EF4-FFF2-40B4-BE49-F238E27FC236}">
              <a16:creationId xmlns:a16="http://schemas.microsoft.com/office/drawing/2014/main" id="{00000000-0008-0000-0400-00001E000000}"/>
            </a:ext>
          </a:extLst>
        </xdr:cNvPr>
        <xdr:cNvSpPr/>
      </xdr:nvSpPr>
      <xdr:spPr>
        <a:xfrm flipV="1">
          <a:off x="3865058" y="12116389"/>
          <a:ext cx="25846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101397</xdr:colOff>
      <xdr:row>23</xdr:row>
      <xdr:rowOff>51932</xdr:rowOff>
    </xdr:from>
    <xdr:to>
      <xdr:col>91</xdr:col>
      <xdr:colOff>114211</xdr:colOff>
      <xdr:row>25</xdr:row>
      <xdr:rowOff>95625</xdr:rowOff>
    </xdr:to>
    <xdr:sp macro="" textlink="">
      <xdr:nvSpPr>
        <xdr:cNvPr id="31" name="Freccia in giù 9">
          <a:extLst>
            <a:ext uri="{FF2B5EF4-FFF2-40B4-BE49-F238E27FC236}">
              <a16:creationId xmlns:a16="http://schemas.microsoft.com/office/drawing/2014/main" id="{00000000-0008-0000-0400-00001F000000}"/>
            </a:ext>
          </a:extLst>
        </xdr:cNvPr>
        <xdr:cNvSpPr/>
      </xdr:nvSpPr>
      <xdr:spPr>
        <a:xfrm>
          <a:off x="3225597" y="12101057"/>
          <a:ext cx="127114"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51557</xdr:colOff>
      <xdr:row>23</xdr:row>
      <xdr:rowOff>73430</xdr:rowOff>
    </xdr:from>
    <xdr:to>
      <xdr:col>89</xdr:col>
      <xdr:colOff>84489</xdr:colOff>
      <xdr:row>25</xdr:row>
      <xdr:rowOff>95408</xdr:rowOff>
    </xdr:to>
    <xdr:sp macro="" textlink="">
      <xdr:nvSpPr>
        <xdr:cNvPr id="32" name="Freccia curva 7">
          <a:extLst>
            <a:ext uri="{FF2B5EF4-FFF2-40B4-BE49-F238E27FC236}">
              <a16:creationId xmlns:a16="http://schemas.microsoft.com/office/drawing/2014/main" id="{00000000-0008-0000-0400-000020000000}"/>
            </a:ext>
          </a:extLst>
        </xdr:cNvPr>
        <xdr:cNvSpPr/>
      </xdr:nvSpPr>
      <xdr:spPr>
        <a:xfrm rot="10800000">
          <a:off x="2832857" y="12122555"/>
          <a:ext cx="26153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66020</xdr:colOff>
      <xdr:row>30</xdr:row>
      <xdr:rowOff>58156</xdr:rowOff>
    </xdr:from>
    <xdr:to>
      <xdr:col>83</xdr:col>
      <xdr:colOff>24702</xdr:colOff>
      <xdr:row>32</xdr:row>
      <xdr:rowOff>69436</xdr:rowOff>
    </xdr:to>
    <xdr:sp macro="" textlink="">
      <xdr:nvSpPr>
        <xdr:cNvPr id="33" name="Freccia a inversione 13">
          <a:extLst>
            <a:ext uri="{FF2B5EF4-FFF2-40B4-BE49-F238E27FC236}">
              <a16:creationId xmlns:a16="http://schemas.microsoft.com/office/drawing/2014/main" id="{00000000-0008-0000-0400-000021000000}"/>
            </a:ext>
          </a:extLst>
        </xdr:cNvPr>
        <xdr:cNvSpPr/>
      </xdr:nvSpPr>
      <xdr:spPr>
        <a:xfrm rot="16200000" flipV="1">
          <a:off x="2068546" y="12952730"/>
          <a:ext cx="258930" cy="301582"/>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51289</xdr:colOff>
      <xdr:row>33</xdr:row>
      <xdr:rowOff>58615</xdr:rowOff>
    </xdr:from>
    <xdr:to>
      <xdr:col>83</xdr:col>
      <xdr:colOff>2643</xdr:colOff>
      <xdr:row>35</xdr:row>
      <xdr:rowOff>63358</xdr:rowOff>
    </xdr:to>
    <xdr:sp macro="" textlink="">
      <xdr:nvSpPr>
        <xdr:cNvPr id="34" name="Freccia curva 8">
          <a:extLst>
            <a:ext uri="{FF2B5EF4-FFF2-40B4-BE49-F238E27FC236}">
              <a16:creationId xmlns:a16="http://schemas.microsoft.com/office/drawing/2014/main" id="{00000000-0008-0000-0400-000022000000}"/>
            </a:ext>
          </a:extLst>
        </xdr:cNvPr>
        <xdr:cNvSpPr/>
      </xdr:nvSpPr>
      <xdr:spPr>
        <a:xfrm rot="5400000" flipH="1">
          <a:off x="2053419" y="13325060"/>
          <a:ext cx="252393" cy="294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73270</xdr:colOff>
      <xdr:row>39</xdr:row>
      <xdr:rowOff>80596</xdr:rowOff>
    </xdr:from>
    <xdr:to>
      <xdr:col>83</xdr:col>
      <xdr:colOff>1160</xdr:colOff>
      <xdr:row>41</xdr:row>
      <xdr:rowOff>94943</xdr:rowOff>
    </xdr:to>
    <xdr:sp macro="" textlink="">
      <xdr:nvSpPr>
        <xdr:cNvPr id="37" name="Freccia curva 7">
          <a:extLst>
            <a:ext uri="{FF2B5EF4-FFF2-40B4-BE49-F238E27FC236}">
              <a16:creationId xmlns:a16="http://schemas.microsoft.com/office/drawing/2014/main" id="{00000000-0008-0000-0400-000025000000}"/>
            </a:ext>
          </a:extLst>
        </xdr:cNvPr>
        <xdr:cNvSpPr/>
      </xdr:nvSpPr>
      <xdr:spPr>
        <a:xfrm rot="5400000">
          <a:off x="2058866" y="14106525"/>
          <a:ext cx="261997" cy="27079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58937</xdr:colOff>
      <xdr:row>37</xdr:row>
      <xdr:rowOff>6397</xdr:rowOff>
    </xdr:from>
    <xdr:to>
      <xdr:col>83</xdr:col>
      <xdr:colOff>5058</xdr:colOff>
      <xdr:row>38</xdr:row>
      <xdr:rowOff>9918</xdr:rowOff>
    </xdr:to>
    <xdr:sp macro="" textlink="">
      <xdr:nvSpPr>
        <xdr:cNvPr id="38" name="Freccia in giù 9">
          <a:extLst>
            <a:ext uri="{FF2B5EF4-FFF2-40B4-BE49-F238E27FC236}">
              <a16:creationId xmlns:a16="http://schemas.microsoft.com/office/drawing/2014/main" id="{00000000-0008-0000-0400-000026000000}"/>
            </a:ext>
          </a:extLst>
        </xdr:cNvPr>
        <xdr:cNvSpPr/>
      </xdr:nvSpPr>
      <xdr:spPr>
        <a:xfrm rot="16200000">
          <a:off x="2120975" y="13708234"/>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37</xdr:row>
      <xdr:rowOff>2722</xdr:rowOff>
    </xdr:from>
    <xdr:to>
      <xdr:col>105</xdr:col>
      <xdr:colOff>55717</xdr:colOff>
      <xdr:row>38</xdr:row>
      <xdr:rowOff>82778</xdr:rowOff>
    </xdr:to>
    <xdr:sp macro="" textlink="">
      <xdr:nvSpPr>
        <xdr:cNvPr id="39" name="Freccia curva 66">
          <a:extLst>
            <a:ext uri="{FF2B5EF4-FFF2-40B4-BE49-F238E27FC236}">
              <a16:creationId xmlns:a16="http://schemas.microsoft.com/office/drawing/2014/main" id="{00000000-0008-0000-0400-000027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37</xdr:row>
      <xdr:rowOff>2722</xdr:rowOff>
    </xdr:from>
    <xdr:to>
      <xdr:col>105</xdr:col>
      <xdr:colOff>55717</xdr:colOff>
      <xdr:row>38</xdr:row>
      <xdr:rowOff>82778</xdr:rowOff>
    </xdr:to>
    <xdr:sp macro="" textlink="">
      <xdr:nvSpPr>
        <xdr:cNvPr id="40" name="Freccia curva 66">
          <a:extLst>
            <a:ext uri="{FF2B5EF4-FFF2-40B4-BE49-F238E27FC236}">
              <a16:creationId xmlns:a16="http://schemas.microsoft.com/office/drawing/2014/main" id="{00000000-0008-0000-0400-000028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37</xdr:row>
      <xdr:rowOff>2722</xdr:rowOff>
    </xdr:from>
    <xdr:to>
      <xdr:col>105</xdr:col>
      <xdr:colOff>55717</xdr:colOff>
      <xdr:row>38</xdr:row>
      <xdr:rowOff>82778</xdr:rowOff>
    </xdr:to>
    <xdr:sp macro="" textlink="">
      <xdr:nvSpPr>
        <xdr:cNvPr id="41" name="Freccia curva 66">
          <a:extLst>
            <a:ext uri="{FF2B5EF4-FFF2-40B4-BE49-F238E27FC236}">
              <a16:creationId xmlns:a16="http://schemas.microsoft.com/office/drawing/2014/main" id="{00000000-0008-0000-0400-000029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37</xdr:row>
      <xdr:rowOff>2722</xdr:rowOff>
    </xdr:from>
    <xdr:to>
      <xdr:col>105</xdr:col>
      <xdr:colOff>55717</xdr:colOff>
      <xdr:row>38</xdr:row>
      <xdr:rowOff>82778</xdr:rowOff>
    </xdr:to>
    <xdr:sp macro="" textlink="">
      <xdr:nvSpPr>
        <xdr:cNvPr id="42" name="Freccia curva 66">
          <a:extLst>
            <a:ext uri="{FF2B5EF4-FFF2-40B4-BE49-F238E27FC236}">
              <a16:creationId xmlns:a16="http://schemas.microsoft.com/office/drawing/2014/main" id="{00000000-0008-0000-0400-00002A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96216</xdr:colOff>
      <xdr:row>45</xdr:row>
      <xdr:rowOff>91783</xdr:rowOff>
    </xdr:from>
    <xdr:to>
      <xdr:col>94</xdr:col>
      <xdr:colOff>109029</xdr:colOff>
      <xdr:row>48</xdr:row>
      <xdr:rowOff>10025</xdr:rowOff>
    </xdr:to>
    <xdr:sp macro="" textlink="">
      <xdr:nvSpPr>
        <xdr:cNvPr id="43" name="Freccia in giù 9">
          <a:extLst>
            <a:ext uri="{FF2B5EF4-FFF2-40B4-BE49-F238E27FC236}">
              <a16:creationId xmlns:a16="http://schemas.microsoft.com/office/drawing/2014/main" id="{00000000-0008-0000-0400-00002B000000}"/>
            </a:ext>
          </a:extLst>
        </xdr:cNvPr>
        <xdr:cNvSpPr/>
      </xdr:nvSpPr>
      <xdr:spPr>
        <a:xfrm rot="10800000">
          <a:off x="3563316" y="14865058"/>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46691</xdr:colOff>
      <xdr:row>45</xdr:row>
      <xdr:rowOff>118493</xdr:rowOff>
    </xdr:from>
    <xdr:to>
      <xdr:col>89</xdr:col>
      <xdr:colOff>74536</xdr:colOff>
      <xdr:row>48</xdr:row>
      <xdr:rowOff>52529</xdr:rowOff>
    </xdr:to>
    <xdr:sp macro="" textlink="">
      <xdr:nvSpPr>
        <xdr:cNvPr id="44" name="Freccia a inversione 13">
          <a:extLst>
            <a:ext uri="{FF2B5EF4-FFF2-40B4-BE49-F238E27FC236}">
              <a16:creationId xmlns:a16="http://schemas.microsoft.com/office/drawing/2014/main" id="{00000000-0008-0000-0400-00002C000000}"/>
            </a:ext>
          </a:extLst>
        </xdr:cNvPr>
        <xdr:cNvSpPr/>
      </xdr:nvSpPr>
      <xdr:spPr>
        <a:xfrm rot="10800000" flipV="1">
          <a:off x="2827991" y="14891768"/>
          <a:ext cx="25644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46</xdr:row>
      <xdr:rowOff>3514</xdr:rowOff>
    </xdr:from>
    <xdr:to>
      <xdr:col>92</xdr:col>
      <xdr:colOff>59418</xdr:colOff>
      <xdr:row>48</xdr:row>
      <xdr:rowOff>50582</xdr:rowOff>
    </xdr:to>
    <xdr:sp macro="" textlink="">
      <xdr:nvSpPr>
        <xdr:cNvPr id="45" name="Freccia curva 8">
          <a:extLst>
            <a:ext uri="{FF2B5EF4-FFF2-40B4-BE49-F238E27FC236}">
              <a16:creationId xmlns:a16="http://schemas.microsoft.com/office/drawing/2014/main" id="{00000000-0008-0000-0400-00002D000000}"/>
            </a:ext>
          </a:extLst>
        </xdr:cNvPr>
        <xdr:cNvSpPr/>
      </xdr:nvSpPr>
      <xdr:spPr>
        <a:xfrm flipH="1">
          <a:off x="3160289" y="14900614"/>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94989</xdr:colOff>
      <xdr:row>39</xdr:row>
      <xdr:rowOff>82275</xdr:rowOff>
    </xdr:from>
    <xdr:to>
      <xdr:col>105</xdr:col>
      <xdr:colOff>56903</xdr:colOff>
      <xdr:row>41</xdr:row>
      <xdr:rowOff>91535</xdr:rowOff>
    </xdr:to>
    <xdr:sp macro="" textlink="">
      <xdr:nvSpPr>
        <xdr:cNvPr id="46" name="Freccia a inversione 13">
          <a:extLst>
            <a:ext uri="{FF2B5EF4-FFF2-40B4-BE49-F238E27FC236}">
              <a16:creationId xmlns:a16="http://schemas.microsoft.com/office/drawing/2014/main" id="{00000000-0008-0000-0400-00002E000000}"/>
            </a:ext>
          </a:extLst>
        </xdr:cNvPr>
        <xdr:cNvSpPr/>
      </xdr:nvSpPr>
      <xdr:spPr>
        <a:xfrm rot="5400000" flipV="1">
          <a:off x="4614741" y="14088648"/>
          <a:ext cx="256910" cy="30481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97574</xdr:colOff>
      <xdr:row>34</xdr:row>
      <xdr:rowOff>4645</xdr:rowOff>
    </xdr:from>
    <xdr:to>
      <xdr:col>105</xdr:col>
      <xdr:colOff>43694</xdr:colOff>
      <xdr:row>35</xdr:row>
      <xdr:rowOff>8166</xdr:rowOff>
    </xdr:to>
    <xdr:sp macro="" textlink="">
      <xdr:nvSpPr>
        <xdr:cNvPr id="47" name="Freccia in giù 9">
          <a:extLst>
            <a:ext uri="{FF2B5EF4-FFF2-40B4-BE49-F238E27FC236}">
              <a16:creationId xmlns:a16="http://schemas.microsoft.com/office/drawing/2014/main" id="{00000000-0008-0000-0400-00002F000000}"/>
            </a:ext>
          </a:extLst>
        </xdr:cNvPr>
        <xdr:cNvSpPr/>
      </xdr:nvSpPr>
      <xdr:spPr>
        <a:xfrm rot="5400000">
          <a:off x="4674211" y="13335008"/>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41799</xdr:colOff>
      <xdr:row>46</xdr:row>
      <xdr:rowOff>18603</xdr:rowOff>
    </xdr:from>
    <xdr:to>
      <xdr:col>98</xdr:col>
      <xdr:colOff>74730</xdr:colOff>
      <xdr:row>48</xdr:row>
      <xdr:rowOff>42207</xdr:rowOff>
    </xdr:to>
    <xdr:sp macro="" textlink="">
      <xdr:nvSpPr>
        <xdr:cNvPr id="48" name="Freccia curva 7">
          <a:extLst>
            <a:ext uri="{FF2B5EF4-FFF2-40B4-BE49-F238E27FC236}">
              <a16:creationId xmlns:a16="http://schemas.microsoft.com/office/drawing/2014/main" id="{00000000-0008-0000-0400-000030000000}"/>
            </a:ext>
          </a:extLst>
        </xdr:cNvPr>
        <xdr:cNvSpPr/>
      </xdr:nvSpPr>
      <xdr:spPr>
        <a:xfrm>
          <a:off x="3851799" y="14915703"/>
          <a:ext cx="26153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2900</xdr:colOff>
      <xdr:row>30</xdr:row>
      <xdr:rowOff>48453</xdr:rowOff>
    </xdr:from>
    <xdr:to>
      <xdr:col>105</xdr:col>
      <xdr:colOff>16564</xdr:colOff>
      <xdr:row>32</xdr:row>
      <xdr:rowOff>81385</xdr:rowOff>
    </xdr:to>
    <xdr:sp macro="" textlink="">
      <xdr:nvSpPr>
        <xdr:cNvPr id="49" name="Freccia curva 7">
          <a:extLst>
            <a:ext uri="{FF2B5EF4-FFF2-40B4-BE49-F238E27FC236}">
              <a16:creationId xmlns:a16="http://schemas.microsoft.com/office/drawing/2014/main" id="{00000000-0008-0000-0400-000031000000}"/>
            </a:ext>
          </a:extLst>
        </xdr:cNvPr>
        <xdr:cNvSpPr/>
      </xdr:nvSpPr>
      <xdr:spPr>
        <a:xfrm rot="16200000">
          <a:off x="4593841" y="12983512"/>
          <a:ext cx="280582" cy="24226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111</xdr:col>
      <xdr:colOff>28575</xdr:colOff>
      <xdr:row>69</xdr:row>
      <xdr:rowOff>0</xdr:rowOff>
    </xdr:from>
    <xdr:to>
      <xdr:col>120</xdr:col>
      <xdr:colOff>85724</xdr:colOff>
      <xdr:row>72</xdr:row>
      <xdr:rowOff>104775</xdr:rowOff>
    </xdr:to>
    <xdr:sp macro="" textlink="">
      <xdr:nvSpPr>
        <xdr:cNvPr id="50" name="Right Arrow 49">
          <a:hlinkClick xmlns:r="http://schemas.openxmlformats.org/officeDocument/2006/relationships" r:id="rId2"/>
          <a:extLst>
            <a:ext uri="{FF2B5EF4-FFF2-40B4-BE49-F238E27FC236}">
              <a16:creationId xmlns:a16="http://schemas.microsoft.com/office/drawing/2014/main" id="{00000000-0008-0000-0400-000032000000}"/>
            </a:ext>
          </a:extLst>
        </xdr:cNvPr>
        <xdr:cNvSpPr/>
      </xdr:nvSpPr>
      <xdr:spPr>
        <a:xfrm>
          <a:off x="12487275" y="8543925"/>
          <a:ext cx="108584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32238</xdr:colOff>
      <xdr:row>15</xdr:row>
      <xdr:rowOff>113567</xdr:rowOff>
    </xdr:from>
    <xdr:to>
      <xdr:col>39</xdr:col>
      <xdr:colOff>3663</xdr:colOff>
      <xdr:row>69</xdr:row>
      <xdr:rowOff>87080</xdr:rowOff>
    </xdr:to>
    <xdr:pic>
      <xdr:nvPicPr>
        <xdr:cNvPr id="74" name="Picture 73" descr="1.0 Convesional Shared.jpg">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1" cstate="print"/>
        <a:srcRect l="38316" t="6537" r="39987" b="956"/>
        <a:stretch>
          <a:fillRect/>
        </a:stretch>
      </xdr:blipFill>
      <xdr:spPr>
        <a:xfrm>
          <a:off x="2809142" y="1981932"/>
          <a:ext cx="1964348" cy="6699629"/>
        </a:xfrm>
        <a:prstGeom prst="rect">
          <a:avLst/>
        </a:prstGeom>
      </xdr:spPr>
    </xdr:pic>
    <xdr:clientData/>
  </xdr:twoCellAnchor>
  <xdr:twoCellAnchor editAs="oneCell">
    <xdr:from>
      <xdr:col>2</xdr:col>
      <xdr:colOff>38834</xdr:colOff>
      <xdr:row>35</xdr:row>
      <xdr:rowOff>117231</xdr:rowOff>
    </xdr:from>
    <xdr:to>
      <xdr:col>57</xdr:col>
      <xdr:colOff>76934</xdr:colOff>
      <xdr:row>50</xdr:row>
      <xdr:rowOff>51288</xdr:rowOff>
    </xdr:to>
    <xdr:pic>
      <xdr:nvPicPr>
        <xdr:cNvPr id="75" name="Picture 74" descr="1.0 Convesional Shared.jpg">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 cstate="print"/>
        <a:srcRect l="9634" t="40900" r="14268" b="34207"/>
        <a:stretch>
          <a:fillRect/>
        </a:stretch>
      </xdr:blipFill>
      <xdr:spPr>
        <a:xfrm>
          <a:off x="200026" y="4476750"/>
          <a:ext cx="6888773" cy="1802423"/>
        </a:xfrm>
        <a:prstGeom prst="rect">
          <a:avLst/>
        </a:prstGeom>
      </xdr:spPr>
    </xdr:pic>
    <xdr:clientData/>
  </xdr:twoCellAnchor>
  <xdr:oneCellAnchor>
    <xdr:from>
      <xdr:col>26</xdr:col>
      <xdr:colOff>103195</xdr:colOff>
      <xdr:row>75</xdr:row>
      <xdr:rowOff>0</xdr:rowOff>
    </xdr:from>
    <xdr:ext cx="963800" cy="311715"/>
    <xdr:sp macro="" textlink="">
      <xdr:nvSpPr>
        <xdr:cNvPr id="4" name="Rectangle 3">
          <a:extLst>
            <a:ext uri="{FF2B5EF4-FFF2-40B4-BE49-F238E27FC236}">
              <a16:creationId xmlns:a16="http://schemas.microsoft.com/office/drawing/2014/main" id="{00000000-0008-0000-0500-000004000000}"/>
            </a:ext>
          </a:extLst>
        </xdr:cNvPr>
        <xdr:cNvSpPr/>
      </xdr:nvSpPr>
      <xdr:spPr>
        <a:xfrm>
          <a:off x="3198820" y="1324296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7</xdr:col>
      <xdr:colOff>1370</xdr:colOff>
      <xdr:row>24</xdr:row>
      <xdr:rowOff>22411</xdr:rowOff>
    </xdr:from>
    <xdr:ext cx="1208866" cy="339729"/>
    <xdr:sp macro="" textlink="">
      <xdr:nvSpPr>
        <xdr:cNvPr id="27" name="Rectangle 26">
          <a:extLst>
            <a:ext uri="{FF2B5EF4-FFF2-40B4-BE49-F238E27FC236}">
              <a16:creationId xmlns:a16="http://schemas.microsoft.com/office/drawing/2014/main" id="{00000000-0008-0000-0500-00001B000000}"/>
            </a:ext>
          </a:extLst>
        </xdr:cNvPr>
        <xdr:cNvSpPr/>
      </xdr:nvSpPr>
      <xdr:spPr>
        <a:xfrm>
          <a:off x="774576" y="2980764"/>
          <a:ext cx="1208866" cy="339729"/>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16</xdr:col>
      <xdr:colOff>114300</xdr:colOff>
      <xdr:row>32</xdr:row>
      <xdr:rowOff>114301</xdr:rowOff>
    </xdr:from>
    <xdr:to>
      <xdr:col>29</xdr:col>
      <xdr:colOff>82794</xdr:colOff>
      <xdr:row>42</xdr:row>
      <xdr:rowOff>118651</xdr:rowOff>
    </xdr:to>
    <xdr:cxnSp macro="">
      <xdr:nvCxnSpPr>
        <xdr:cNvPr id="85" name="Straight Connector 84">
          <a:extLst>
            <a:ext uri="{FF2B5EF4-FFF2-40B4-BE49-F238E27FC236}">
              <a16:creationId xmlns:a16="http://schemas.microsoft.com/office/drawing/2014/main" id="{00000000-0008-0000-0500-000055000000}"/>
            </a:ext>
          </a:extLst>
        </xdr:cNvPr>
        <xdr:cNvCxnSpPr>
          <a:stCxn id="86" idx="1"/>
        </xdr:cNvCxnSpPr>
      </xdr:nvCxnSpPr>
      <xdr:spPr>
        <a:xfrm rot="16200000" flipV="1">
          <a:off x="2177585" y="3908891"/>
          <a:ext cx="1242600" cy="157821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57149</xdr:colOff>
      <xdr:row>42</xdr:row>
      <xdr:rowOff>91933</xdr:rowOff>
    </xdr:from>
    <xdr:to>
      <xdr:col>30</xdr:col>
      <xdr:colOff>108437</xdr:colOff>
      <xdr:row>44</xdr:row>
      <xdr:rowOff>26723</xdr:rowOff>
    </xdr:to>
    <xdr:sp macro="" textlink="">
      <xdr:nvSpPr>
        <xdr:cNvPr id="86" name="Oval 85">
          <a:extLst>
            <a:ext uri="{FF2B5EF4-FFF2-40B4-BE49-F238E27FC236}">
              <a16:creationId xmlns:a16="http://schemas.microsoft.com/office/drawing/2014/main" id="{00000000-0008-0000-0500-000056000000}"/>
            </a:ext>
          </a:extLst>
        </xdr:cNvPr>
        <xdr:cNvSpPr/>
      </xdr:nvSpPr>
      <xdr:spPr>
        <a:xfrm>
          <a:off x="3562349" y="529258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88</xdr:col>
      <xdr:colOff>103195</xdr:colOff>
      <xdr:row>32</xdr:row>
      <xdr:rowOff>117519</xdr:rowOff>
    </xdr:from>
    <xdr:ext cx="963800" cy="311715"/>
    <xdr:sp macro="" textlink="">
      <xdr:nvSpPr>
        <xdr:cNvPr id="71" name="Rectangle 70">
          <a:extLst>
            <a:ext uri="{FF2B5EF4-FFF2-40B4-BE49-F238E27FC236}">
              <a16:creationId xmlns:a16="http://schemas.microsoft.com/office/drawing/2014/main" id="{00000000-0008-0000-0500-000047000000}"/>
            </a:ext>
          </a:extLst>
        </xdr:cNvPr>
        <xdr:cNvSpPr/>
      </xdr:nvSpPr>
      <xdr:spPr>
        <a:xfrm>
          <a:off x="2998795" y="1328106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93</xdr:col>
      <xdr:colOff>53688</xdr:colOff>
      <xdr:row>23</xdr:row>
      <xdr:rowOff>62470</xdr:rowOff>
    </xdr:from>
    <xdr:to>
      <xdr:col>95</xdr:col>
      <xdr:colOff>77017</xdr:colOff>
      <xdr:row>25</xdr:row>
      <xdr:rowOff>109538</xdr:rowOff>
    </xdr:to>
    <xdr:sp macro="" textlink="">
      <xdr:nvSpPr>
        <xdr:cNvPr id="72" name="Freccia curva 8">
          <a:extLst>
            <a:ext uri="{FF2B5EF4-FFF2-40B4-BE49-F238E27FC236}">
              <a16:creationId xmlns:a16="http://schemas.microsoft.com/office/drawing/2014/main" id="{00000000-0008-0000-0500-000048000000}"/>
            </a:ext>
          </a:extLst>
        </xdr:cNvPr>
        <xdr:cNvSpPr/>
      </xdr:nvSpPr>
      <xdr:spPr>
        <a:xfrm rot="10800000" flipH="1">
          <a:off x="3520788" y="12111595"/>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91</xdr:col>
      <xdr:colOff>6147</xdr:colOff>
      <xdr:row>23</xdr:row>
      <xdr:rowOff>99557</xdr:rowOff>
    </xdr:from>
    <xdr:to>
      <xdr:col>92</xdr:col>
      <xdr:colOff>18961</xdr:colOff>
      <xdr:row>26</xdr:row>
      <xdr:rowOff>19425</xdr:rowOff>
    </xdr:to>
    <xdr:sp macro="" textlink="">
      <xdr:nvSpPr>
        <xdr:cNvPr id="76" name="Freccia in giù 9">
          <a:extLst>
            <a:ext uri="{FF2B5EF4-FFF2-40B4-BE49-F238E27FC236}">
              <a16:creationId xmlns:a16="http://schemas.microsoft.com/office/drawing/2014/main" id="{00000000-0008-0000-0500-00004C000000}"/>
            </a:ext>
          </a:extLst>
        </xdr:cNvPr>
        <xdr:cNvSpPr/>
      </xdr:nvSpPr>
      <xdr:spPr>
        <a:xfrm>
          <a:off x="3244647" y="12148682"/>
          <a:ext cx="127114"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27745</xdr:colOff>
      <xdr:row>23</xdr:row>
      <xdr:rowOff>79383</xdr:rowOff>
    </xdr:from>
    <xdr:to>
      <xdr:col>89</xdr:col>
      <xdr:colOff>60677</xdr:colOff>
      <xdr:row>25</xdr:row>
      <xdr:rowOff>102551</xdr:rowOff>
    </xdr:to>
    <xdr:sp macro="" textlink="">
      <xdr:nvSpPr>
        <xdr:cNvPr id="79" name="Freccia curva 7">
          <a:extLst>
            <a:ext uri="{FF2B5EF4-FFF2-40B4-BE49-F238E27FC236}">
              <a16:creationId xmlns:a16="http://schemas.microsoft.com/office/drawing/2014/main" id="{00000000-0008-0000-0500-00004F000000}"/>
            </a:ext>
          </a:extLst>
        </xdr:cNvPr>
        <xdr:cNvSpPr/>
      </xdr:nvSpPr>
      <xdr:spPr>
        <a:xfrm rot="10800000">
          <a:off x="2809045" y="12128508"/>
          <a:ext cx="261532" cy="2708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51289</xdr:colOff>
      <xdr:row>33</xdr:row>
      <xdr:rowOff>58615</xdr:rowOff>
    </xdr:from>
    <xdr:to>
      <xdr:col>82</xdr:col>
      <xdr:colOff>116943</xdr:colOff>
      <xdr:row>35</xdr:row>
      <xdr:rowOff>63358</xdr:rowOff>
    </xdr:to>
    <xdr:sp macro="" textlink="">
      <xdr:nvSpPr>
        <xdr:cNvPr id="80" name="Freccia curva 8">
          <a:extLst>
            <a:ext uri="{FF2B5EF4-FFF2-40B4-BE49-F238E27FC236}">
              <a16:creationId xmlns:a16="http://schemas.microsoft.com/office/drawing/2014/main" id="{00000000-0008-0000-0500-000050000000}"/>
            </a:ext>
          </a:extLst>
        </xdr:cNvPr>
        <xdr:cNvSpPr/>
      </xdr:nvSpPr>
      <xdr:spPr>
        <a:xfrm rot="5400000" flipH="1">
          <a:off x="2053419" y="13325060"/>
          <a:ext cx="252393" cy="294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62555</xdr:colOff>
      <xdr:row>39</xdr:row>
      <xdr:rowOff>75833</xdr:rowOff>
    </xdr:from>
    <xdr:to>
      <xdr:col>82</xdr:col>
      <xdr:colOff>115460</xdr:colOff>
      <xdr:row>41</xdr:row>
      <xdr:rowOff>90180</xdr:rowOff>
    </xdr:to>
    <xdr:sp macro="" textlink="">
      <xdr:nvSpPr>
        <xdr:cNvPr id="81" name="Freccia curva 7">
          <a:extLst>
            <a:ext uri="{FF2B5EF4-FFF2-40B4-BE49-F238E27FC236}">
              <a16:creationId xmlns:a16="http://schemas.microsoft.com/office/drawing/2014/main" id="{00000000-0008-0000-0500-000051000000}"/>
            </a:ext>
          </a:extLst>
        </xdr:cNvPr>
        <xdr:cNvSpPr/>
      </xdr:nvSpPr>
      <xdr:spPr>
        <a:xfrm rot="5400000">
          <a:off x="2053509" y="14096404"/>
          <a:ext cx="261997" cy="28150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58937</xdr:colOff>
      <xdr:row>37</xdr:row>
      <xdr:rowOff>6397</xdr:rowOff>
    </xdr:from>
    <xdr:to>
      <xdr:col>83</xdr:col>
      <xdr:colOff>5058</xdr:colOff>
      <xdr:row>38</xdr:row>
      <xdr:rowOff>9918</xdr:rowOff>
    </xdr:to>
    <xdr:sp macro="" textlink="">
      <xdr:nvSpPr>
        <xdr:cNvPr id="82" name="Freccia in giù 9">
          <a:extLst>
            <a:ext uri="{FF2B5EF4-FFF2-40B4-BE49-F238E27FC236}">
              <a16:creationId xmlns:a16="http://schemas.microsoft.com/office/drawing/2014/main" id="{00000000-0008-0000-0500-000052000000}"/>
            </a:ext>
          </a:extLst>
        </xdr:cNvPr>
        <xdr:cNvSpPr/>
      </xdr:nvSpPr>
      <xdr:spPr>
        <a:xfrm rot="16200000">
          <a:off x="2120975" y="13708234"/>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36</xdr:row>
      <xdr:rowOff>136072</xdr:rowOff>
    </xdr:from>
    <xdr:to>
      <xdr:col>105</xdr:col>
      <xdr:colOff>55717</xdr:colOff>
      <xdr:row>38</xdr:row>
      <xdr:rowOff>82778</xdr:rowOff>
    </xdr:to>
    <xdr:sp macro="" textlink="">
      <xdr:nvSpPr>
        <xdr:cNvPr id="83" name="Freccia curva 66">
          <a:extLst>
            <a:ext uri="{FF2B5EF4-FFF2-40B4-BE49-F238E27FC236}">
              <a16:creationId xmlns:a16="http://schemas.microsoft.com/office/drawing/2014/main" id="{00000000-0008-0000-0500-000053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36</xdr:row>
      <xdr:rowOff>136072</xdr:rowOff>
    </xdr:from>
    <xdr:to>
      <xdr:col>105</xdr:col>
      <xdr:colOff>55717</xdr:colOff>
      <xdr:row>38</xdr:row>
      <xdr:rowOff>82778</xdr:rowOff>
    </xdr:to>
    <xdr:sp macro="" textlink="">
      <xdr:nvSpPr>
        <xdr:cNvPr id="84" name="Freccia curva 66">
          <a:extLst>
            <a:ext uri="{FF2B5EF4-FFF2-40B4-BE49-F238E27FC236}">
              <a16:creationId xmlns:a16="http://schemas.microsoft.com/office/drawing/2014/main" id="{00000000-0008-0000-0500-000054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36</xdr:row>
      <xdr:rowOff>136072</xdr:rowOff>
    </xdr:from>
    <xdr:to>
      <xdr:col>105</xdr:col>
      <xdr:colOff>55717</xdr:colOff>
      <xdr:row>38</xdr:row>
      <xdr:rowOff>82778</xdr:rowOff>
    </xdr:to>
    <xdr:sp macro="" textlink="">
      <xdr:nvSpPr>
        <xdr:cNvPr id="87" name="Freccia curva 66">
          <a:extLst>
            <a:ext uri="{FF2B5EF4-FFF2-40B4-BE49-F238E27FC236}">
              <a16:creationId xmlns:a16="http://schemas.microsoft.com/office/drawing/2014/main" id="{00000000-0008-0000-0500-000057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0</xdr:colOff>
      <xdr:row>36</xdr:row>
      <xdr:rowOff>136072</xdr:rowOff>
    </xdr:from>
    <xdr:to>
      <xdr:col>105</xdr:col>
      <xdr:colOff>55717</xdr:colOff>
      <xdr:row>38</xdr:row>
      <xdr:rowOff>82778</xdr:rowOff>
    </xdr:to>
    <xdr:sp macro="" textlink="">
      <xdr:nvSpPr>
        <xdr:cNvPr id="88" name="Freccia curva 66">
          <a:extLst>
            <a:ext uri="{FF2B5EF4-FFF2-40B4-BE49-F238E27FC236}">
              <a16:creationId xmlns:a16="http://schemas.microsoft.com/office/drawing/2014/main" id="{00000000-0008-0000-0500-000058000000}"/>
            </a:ext>
          </a:extLst>
        </xdr:cNvPr>
        <xdr:cNvSpPr/>
      </xdr:nvSpPr>
      <xdr:spPr>
        <a:xfrm rot="16200000" flipH="1">
          <a:off x="46503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97574</xdr:colOff>
      <xdr:row>34</xdr:row>
      <xdr:rowOff>4645</xdr:rowOff>
    </xdr:from>
    <xdr:to>
      <xdr:col>105</xdr:col>
      <xdr:colOff>43694</xdr:colOff>
      <xdr:row>35</xdr:row>
      <xdr:rowOff>8166</xdr:rowOff>
    </xdr:to>
    <xdr:sp macro="" textlink="">
      <xdr:nvSpPr>
        <xdr:cNvPr id="89" name="Freccia in giù 9">
          <a:extLst>
            <a:ext uri="{FF2B5EF4-FFF2-40B4-BE49-F238E27FC236}">
              <a16:creationId xmlns:a16="http://schemas.microsoft.com/office/drawing/2014/main" id="{00000000-0008-0000-0500-000059000000}"/>
            </a:ext>
          </a:extLst>
        </xdr:cNvPr>
        <xdr:cNvSpPr/>
      </xdr:nvSpPr>
      <xdr:spPr>
        <a:xfrm rot="5400000">
          <a:off x="4674211" y="13335008"/>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103</xdr:col>
      <xdr:colOff>21952</xdr:colOff>
      <xdr:row>30</xdr:row>
      <xdr:rowOff>29404</xdr:rowOff>
    </xdr:from>
    <xdr:to>
      <xdr:col>105</xdr:col>
      <xdr:colOff>45141</xdr:colOff>
      <xdr:row>32</xdr:row>
      <xdr:rowOff>62336</xdr:rowOff>
    </xdr:to>
    <xdr:sp macro="" textlink="">
      <xdr:nvSpPr>
        <xdr:cNvPr id="90" name="Freccia curva 7">
          <a:extLst>
            <a:ext uri="{FF2B5EF4-FFF2-40B4-BE49-F238E27FC236}">
              <a16:creationId xmlns:a16="http://schemas.microsoft.com/office/drawing/2014/main" id="{00000000-0008-0000-0500-00005A000000}"/>
            </a:ext>
          </a:extLst>
        </xdr:cNvPr>
        <xdr:cNvSpPr/>
      </xdr:nvSpPr>
      <xdr:spPr>
        <a:xfrm rot="16200000">
          <a:off x="4617656" y="12959700"/>
          <a:ext cx="280582" cy="25178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10491</xdr:colOff>
      <xdr:row>45</xdr:row>
      <xdr:rowOff>101308</xdr:rowOff>
    </xdr:from>
    <xdr:to>
      <xdr:col>95</xdr:col>
      <xdr:colOff>23304</xdr:colOff>
      <xdr:row>48</xdr:row>
      <xdr:rowOff>19550</xdr:rowOff>
    </xdr:to>
    <xdr:sp macro="" textlink="">
      <xdr:nvSpPr>
        <xdr:cNvPr id="91" name="Freccia in giù 9">
          <a:extLst>
            <a:ext uri="{FF2B5EF4-FFF2-40B4-BE49-F238E27FC236}">
              <a16:creationId xmlns:a16="http://schemas.microsoft.com/office/drawing/2014/main" id="{00000000-0008-0000-0500-00005B000000}"/>
            </a:ext>
          </a:extLst>
        </xdr:cNvPr>
        <xdr:cNvSpPr/>
      </xdr:nvSpPr>
      <xdr:spPr>
        <a:xfrm rot="10800000">
          <a:off x="3591891" y="14874583"/>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93</xdr:col>
      <xdr:colOff>53688</xdr:colOff>
      <xdr:row>15</xdr:row>
      <xdr:rowOff>62470</xdr:rowOff>
    </xdr:from>
    <xdr:to>
      <xdr:col>95</xdr:col>
      <xdr:colOff>77017</xdr:colOff>
      <xdr:row>17</xdr:row>
      <xdr:rowOff>109538</xdr:rowOff>
    </xdr:to>
    <xdr:sp macro="" textlink="">
      <xdr:nvSpPr>
        <xdr:cNvPr id="92" name="Freccia curva 8">
          <a:extLst>
            <a:ext uri="{FF2B5EF4-FFF2-40B4-BE49-F238E27FC236}">
              <a16:creationId xmlns:a16="http://schemas.microsoft.com/office/drawing/2014/main" id="{00000000-0008-0000-0500-00005C000000}"/>
            </a:ext>
          </a:extLst>
        </xdr:cNvPr>
        <xdr:cNvSpPr/>
      </xdr:nvSpPr>
      <xdr:spPr>
        <a:xfrm rot="10800000" flipH="1">
          <a:off x="3520788" y="11120995"/>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55058</xdr:colOff>
      <xdr:row>15</xdr:row>
      <xdr:rowOff>67264</xdr:rowOff>
    </xdr:from>
    <xdr:to>
      <xdr:col>98</xdr:col>
      <xdr:colOff>84922</xdr:colOff>
      <xdr:row>17</xdr:row>
      <xdr:rowOff>123518</xdr:rowOff>
    </xdr:to>
    <xdr:sp macro="" textlink="">
      <xdr:nvSpPr>
        <xdr:cNvPr id="93" name="Freccia a inversione 13">
          <a:extLst>
            <a:ext uri="{FF2B5EF4-FFF2-40B4-BE49-F238E27FC236}">
              <a16:creationId xmlns:a16="http://schemas.microsoft.com/office/drawing/2014/main" id="{00000000-0008-0000-0500-00005D000000}"/>
            </a:ext>
          </a:extLst>
        </xdr:cNvPr>
        <xdr:cNvSpPr/>
      </xdr:nvSpPr>
      <xdr:spPr>
        <a:xfrm flipV="1">
          <a:off x="3865058" y="11125789"/>
          <a:ext cx="25846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101397</xdr:colOff>
      <xdr:row>15</xdr:row>
      <xdr:rowOff>51932</xdr:rowOff>
    </xdr:from>
    <xdr:to>
      <xdr:col>91</xdr:col>
      <xdr:colOff>114211</xdr:colOff>
      <xdr:row>17</xdr:row>
      <xdr:rowOff>95625</xdr:rowOff>
    </xdr:to>
    <xdr:sp macro="" textlink="">
      <xdr:nvSpPr>
        <xdr:cNvPr id="94" name="Freccia in giù 9">
          <a:extLst>
            <a:ext uri="{FF2B5EF4-FFF2-40B4-BE49-F238E27FC236}">
              <a16:creationId xmlns:a16="http://schemas.microsoft.com/office/drawing/2014/main" id="{00000000-0008-0000-0500-00005E000000}"/>
            </a:ext>
          </a:extLst>
        </xdr:cNvPr>
        <xdr:cNvSpPr/>
      </xdr:nvSpPr>
      <xdr:spPr>
        <a:xfrm>
          <a:off x="3225597" y="11110457"/>
          <a:ext cx="127114"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51557</xdr:colOff>
      <xdr:row>15</xdr:row>
      <xdr:rowOff>73430</xdr:rowOff>
    </xdr:from>
    <xdr:to>
      <xdr:col>89</xdr:col>
      <xdr:colOff>84489</xdr:colOff>
      <xdr:row>17</xdr:row>
      <xdr:rowOff>95408</xdr:rowOff>
    </xdr:to>
    <xdr:sp macro="" textlink="">
      <xdr:nvSpPr>
        <xdr:cNvPr id="95" name="Freccia curva 7">
          <a:extLst>
            <a:ext uri="{FF2B5EF4-FFF2-40B4-BE49-F238E27FC236}">
              <a16:creationId xmlns:a16="http://schemas.microsoft.com/office/drawing/2014/main" id="{00000000-0008-0000-0500-00005F000000}"/>
            </a:ext>
          </a:extLst>
        </xdr:cNvPr>
        <xdr:cNvSpPr/>
      </xdr:nvSpPr>
      <xdr:spPr>
        <a:xfrm rot="10800000">
          <a:off x="2832857" y="11131955"/>
          <a:ext cx="26153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66020</xdr:colOff>
      <xdr:row>30</xdr:row>
      <xdr:rowOff>58156</xdr:rowOff>
    </xdr:from>
    <xdr:to>
      <xdr:col>75</xdr:col>
      <xdr:colOff>24702</xdr:colOff>
      <xdr:row>32</xdr:row>
      <xdr:rowOff>69436</xdr:rowOff>
    </xdr:to>
    <xdr:sp macro="" textlink="">
      <xdr:nvSpPr>
        <xdr:cNvPr id="96" name="Freccia a inversione 13">
          <a:extLst>
            <a:ext uri="{FF2B5EF4-FFF2-40B4-BE49-F238E27FC236}">
              <a16:creationId xmlns:a16="http://schemas.microsoft.com/office/drawing/2014/main" id="{00000000-0008-0000-0500-000060000000}"/>
            </a:ext>
          </a:extLst>
        </xdr:cNvPr>
        <xdr:cNvSpPr/>
      </xdr:nvSpPr>
      <xdr:spPr>
        <a:xfrm rot="16200000" flipV="1">
          <a:off x="1154146" y="12952730"/>
          <a:ext cx="258930" cy="301582"/>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51289</xdr:colOff>
      <xdr:row>33</xdr:row>
      <xdr:rowOff>58615</xdr:rowOff>
    </xdr:from>
    <xdr:to>
      <xdr:col>74</xdr:col>
      <xdr:colOff>116943</xdr:colOff>
      <xdr:row>35</xdr:row>
      <xdr:rowOff>63358</xdr:rowOff>
    </xdr:to>
    <xdr:sp macro="" textlink="">
      <xdr:nvSpPr>
        <xdr:cNvPr id="97" name="Freccia curva 8">
          <a:extLst>
            <a:ext uri="{FF2B5EF4-FFF2-40B4-BE49-F238E27FC236}">
              <a16:creationId xmlns:a16="http://schemas.microsoft.com/office/drawing/2014/main" id="{00000000-0008-0000-0500-000061000000}"/>
            </a:ext>
          </a:extLst>
        </xdr:cNvPr>
        <xdr:cNvSpPr/>
      </xdr:nvSpPr>
      <xdr:spPr>
        <a:xfrm rot="5400000" flipH="1">
          <a:off x="1139019" y="13325060"/>
          <a:ext cx="252393" cy="294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73270</xdr:colOff>
      <xdr:row>39</xdr:row>
      <xdr:rowOff>80596</xdr:rowOff>
    </xdr:from>
    <xdr:to>
      <xdr:col>74</xdr:col>
      <xdr:colOff>134510</xdr:colOff>
      <xdr:row>41</xdr:row>
      <xdr:rowOff>94943</xdr:rowOff>
    </xdr:to>
    <xdr:sp macro="" textlink="">
      <xdr:nvSpPr>
        <xdr:cNvPr id="98" name="Freccia curva 7">
          <a:extLst>
            <a:ext uri="{FF2B5EF4-FFF2-40B4-BE49-F238E27FC236}">
              <a16:creationId xmlns:a16="http://schemas.microsoft.com/office/drawing/2014/main" id="{00000000-0008-0000-0500-000062000000}"/>
            </a:ext>
          </a:extLst>
        </xdr:cNvPr>
        <xdr:cNvSpPr/>
      </xdr:nvSpPr>
      <xdr:spPr>
        <a:xfrm rot="5400000">
          <a:off x="1144466" y="14106525"/>
          <a:ext cx="261997" cy="27079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72</xdr:col>
      <xdr:colOff>58937</xdr:colOff>
      <xdr:row>37</xdr:row>
      <xdr:rowOff>6397</xdr:rowOff>
    </xdr:from>
    <xdr:to>
      <xdr:col>75</xdr:col>
      <xdr:colOff>5058</xdr:colOff>
      <xdr:row>38</xdr:row>
      <xdr:rowOff>9918</xdr:rowOff>
    </xdr:to>
    <xdr:sp macro="" textlink="">
      <xdr:nvSpPr>
        <xdr:cNvPr id="99" name="Freccia in giù 9">
          <a:extLst>
            <a:ext uri="{FF2B5EF4-FFF2-40B4-BE49-F238E27FC236}">
              <a16:creationId xmlns:a16="http://schemas.microsoft.com/office/drawing/2014/main" id="{00000000-0008-0000-0500-000063000000}"/>
            </a:ext>
          </a:extLst>
        </xdr:cNvPr>
        <xdr:cNvSpPr/>
      </xdr:nvSpPr>
      <xdr:spPr>
        <a:xfrm rot="16200000">
          <a:off x="1206575" y="13708234"/>
          <a:ext cx="127346" cy="28902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111</xdr:col>
      <xdr:colOff>0</xdr:colOff>
      <xdr:row>36</xdr:row>
      <xdr:rowOff>136072</xdr:rowOff>
    </xdr:from>
    <xdr:to>
      <xdr:col>113</xdr:col>
      <xdr:colOff>55717</xdr:colOff>
      <xdr:row>38</xdr:row>
      <xdr:rowOff>82778</xdr:rowOff>
    </xdr:to>
    <xdr:sp macro="" textlink="">
      <xdr:nvSpPr>
        <xdr:cNvPr id="100" name="Freccia curva 66">
          <a:extLst>
            <a:ext uri="{FF2B5EF4-FFF2-40B4-BE49-F238E27FC236}">
              <a16:creationId xmlns:a16="http://schemas.microsoft.com/office/drawing/2014/main" id="{00000000-0008-0000-0500-000064000000}"/>
            </a:ext>
          </a:extLst>
        </xdr:cNvPr>
        <xdr:cNvSpPr/>
      </xdr:nvSpPr>
      <xdr:spPr>
        <a:xfrm rot="16200000" flipH="1">
          <a:off x="55647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111</xdr:col>
      <xdr:colOff>0</xdr:colOff>
      <xdr:row>36</xdr:row>
      <xdr:rowOff>136072</xdr:rowOff>
    </xdr:from>
    <xdr:to>
      <xdr:col>113</xdr:col>
      <xdr:colOff>55717</xdr:colOff>
      <xdr:row>38</xdr:row>
      <xdr:rowOff>82778</xdr:rowOff>
    </xdr:to>
    <xdr:sp macro="" textlink="">
      <xdr:nvSpPr>
        <xdr:cNvPr id="101" name="Freccia curva 66">
          <a:extLst>
            <a:ext uri="{FF2B5EF4-FFF2-40B4-BE49-F238E27FC236}">
              <a16:creationId xmlns:a16="http://schemas.microsoft.com/office/drawing/2014/main" id="{00000000-0008-0000-0500-000065000000}"/>
            </a:ext>
          </a:extLst>
        </xdr:cNvPr>
        <xdr:cNvSpPr/>
      </xdr:nvSpPr>
      <xdr:spPr>
        <a:xfrm rot="16200000" flipH="1">
          <a:off x="55647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111</xdr:col>
      <xdr:colOff>0</xdr:colOff>
      <xdr:row>36</xdr:row>
      <xdr:rowOff>136072</xdr:rowOff>
    </xdr:from>
    <xdr:to>
      <xdr:col>113</xdr:col>
      <xdr:colOff>55717</xdr:colOff>
      <xdr:row>38</xdr:row>
      <xdr:rowOff>82778</xdr:rowOff>
    </xdr:to>
    <xdr:sp macro="" textlink="">
      <xdr:nvSpPr>
        <xdr:cNvPr id="102" name="Freccia curva 66">
          <a:extLst>
            <a:ext uri="{FF2B5EF4-FFF2-40B4-BE49-F238E27FC236}">
              <a16:creationId xmlns:a16="http://schemas.microsoft.com/office/drawing/2014/main" id="{00000000-0008-0000-0500-000066000000}"/>
            </a:ext>
          </a:extLst>
        </xdr:cNvPr>
        <xdr:cNvSpPr/>
      </xdr:nvSpPr>
      <xdr:spPr>
        <a:xfrm rot="16200000" flipH="1">
          <a:off x="55647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111</xdr:col>
      <xdr:colOff>0</xdr:colOff>
      <xdr:row>36</xdr:row>
      <xdr:rowOff>136072</xdr:rowOff>
    </xdr:from>
    <xdr:to>
      <xdr:col>113</xdr:col>
      <xdr:colOff>55717</xdr:colOff>
      <xdr:row>38</xdr:row>
      <xdr:rowOff>82778</xdr:rowOff>
    </xdr:to>
    <xdr:sp macro="" textlink="">
      <xdr:nvSpPr>
        <xdr:cNvPr id="103" name="Freccia curva 66">
          <a:extLst>
            <a:ext uri="{FF2B5EF4-FFF2-40B4-BE49-F238E27FC236}">
              <a16:creationId xmlns:a16="http://schemas.microsoft.com/office/drawing/2014/main" id="{00000000-0008-0000-0500-000067000000}"/>
            </a:ext>
          </a:extLst>
        </xdr:cNvPr>
        <xdr:cNvSpPr/>
      </xdr:nvSpPr>
      <xdr:spPr>
        <a:xfrm rot="16200000" flipH="1">
          <a:off x="5564718" y="13745179"/>
          <a:ext cx="203881" cy="28431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966</xdr:colOff>
      <xdr:row>53</xdr:row>
      <xdr:rowOff>110833</xdr:rowOff>
    </xdr:from>
    <xdr:to>
      <xdr:col>95</xdr:col>
      <xdr:colOff>13779</xdr:colOff>
      <xdr:row>56</xdr:row>
      <xdr:rowOff>29075</xdr:rowOff>
    </xdr:to>
    <xdr:sp macro="" textlink="">
      <xdr:nvSpPr>
        <xdr:cNvPr id="104" name="Freccia in giù 9">
          <a:extLst>
            <a:ext uri="{FF2B5EF4-FFF2-40B4-BE49-F238E27FC236}">
              <a16:creationId xmlns:a16="http://schemas.microsoft.com/office/drawing/2014/main" id="{00000000-0008-0000-0500-000068000000}"/>
            </a:ext>
          </a:extLst>
        </xdr:cNvPr>
        <xdr:cNvSpPr/>
      </xdr:nvSpPr>
      <xdr:spPr>
        <a:xfrm rot="10800000">
          <a:off x="3582366" y="15874708"/>
          <a:ext cx="127113"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87</xdr:col>
      <xdr:colOff>46691</xdr:colOff>
      <xdr:row>53</xdr:row>
      <xdr:rowOff>118493</xdr:rowOff>
    </xdr:from>
    <xdr:to>
      <xdr:col>89</xdr:col>
      <xdr:colOff>74536</xdr:colOff>
      <xdr:row>56</xdr:row>
      <xdr:rowOff>52529</xdr:rowOff>
    </xdr:to>
    <xdr:sp macro="" textlink="">
      <xdr:nvSpPr>
        <xdr:cNvPr id="105" name="Freccia a inversione 13">
          <a:extLst>
            <a:ext uri="{FF2B5EF4-FFF2-40B4-BE49-F238E27FC236}">
              <a16:creationId xmlns:a16="http://schemas.microsoft.com/office/drawing/2014/main" id="{00000000-0008-0000-0500-000069000000}"/>
            </a:ext>
          </a:extLst>
        </xdr:cNvPr>
        <xdr:cNvSpPr/>
      </xdr:nvSpPr>
      <xdr:spPr>
        <a:xfrm rot="10800000" flipV="1">
          <a:off x="2827991" y="15882368"/>
          <a:ext cx="25644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54</xdr:row>
      <xdr:rowOff>3514</xdr:rowOff>
    </xdr:from>
    <xdr:to>
      <xdr:col>92</xdr:col>
      <xdr:colOff>59418</xdr:colOff>
      <xdr:row>56</xdr:row>
      <xdr:rowOff>50582</xdr:rowOff>
    </xdr:to>
    <xdr:sp macro="" textlink="">
      <xdr:nvSpPr>
        <xdr:cNvPr id="106" name="Freccia curva 8">
          <a:extLst>
            <a:ext uri="{FF2B5EF4-FFF2-40B4-BE49-F238E27FC236}">
              <a16:creationId xmlns:a16="http://schemas.microsoft.com/office/drawing/2014/main" id="{00000000-0008-0000-0500-00006A000000}"/>
            </a:ext>
          </a:extLst>
        </xdr:cNvPr>
        <xdr:cNvSpPr/>
      </xdr:nvSpPr>
      <xdr:spPr>
        <a:xfrm flipH="1">
          <a:off x="3160289" y="15891214"/>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94989</xdr:colOff>
      <xdr:row>39</xdr:row>
      <xdr:rowOff>82275</xdr:rowOff>
    </xdr:from>
    <xdr:to>
      <xdr:col>113</xdr:col>
      <xdr:colOff>56903</xdr:colOff>
      <xdr:row>41</xdr:row>
      <xdr:rowOff>91535</xdr:rowOff>
    </xdr:to>
    <xdr:sp macro="" textlink="">
      <xdr:nvSpPr>
        <xdr:cNvPr id="107" name="Freccia a inversione 13">
          <a:extLst>
            <a:ext uri="{FF2B5EF4-FFF2-40B4-BE49-F238E27FC236}">
              <a16:creationId xmlns:a16="http://schemas.microsoft.com/office/drawing/2014/main" id="{00000000-0008-0000-0500-00006B000000}"/>
            </a:ext>
          </a:extLst>
        </xdr:cNvPr>
        <xdr:cNvSpPr/>
      </xdr:nvSpPr>
      <xdr:spPr>
        <a:xfrm rot="5400000" flipV="1">
          <a:off x="5529141" y="14088648"/>
          <a:ext cx="256910" cy="30481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97574</xdr:colOff>
      <xdr:row>34</xdr:row>
      <xdr:rowOff>4645</xdr:rowOff>
    </xdr:from>
    <xdr:to>
      <xdr:col>113</xdr:col>
      <xdr:colOff>43694</xdr:colOff>
      <xdr:row>35</xdr:row>
      <xdr:rowOff>8166</xdr:rowOff>
    </xdr:to>
    <xdr:sp macro="" textlink="">
      <xdr:nvSpPr>
        <xdr:cNvPr id="108" name="Freccia in giù 9">
          <a:extLst>
            <a:ext uri="{FF2B5EF4-FFF2-40B4-BE49-F238E27FC236}">
              <a16:creationId xmlns:a16="http://schemas.microsoft.com/office/drawing/2014/main" id="{00000000-0008-0000-0500-00006C000000}"/>
            </a:ext>
          </a:extLst>
        </xdr:cNvPr>
        <xdr:cNvSpPr/>
      </xdr:nvSpPr>
      <xdr:spPr>
        <a:xfrm rot="5400000">
          <a:off x="5588611" y="13335008"/>
          <a:ext cx="127346" cy="2890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41799</xdr:colOff>
      <xdr:row>54</xdr:row>
      <xdr:rowOff>18603</xdr:rowOff>
    </xdr:from>
    <xdr:to>
      <xdr:col>98</xdr:col>
      <xdr:colOff>74730</xdr:colOff>
      <xdr:row>56</xdr:row>
      <xdr:rowOff>42207</xdr:rowOff>
    </xdr:to>
    <xdr:sp macro="" textlink="">
      <xdr:nvSpPr>
        <xdr:cNvPr id="109" name="Freccia curva 7">
          <a:extLst>
            <a:ext uri="{FF2B5EF4-FFF2-40B4-BE49-F238E27FC236}">
              <a16:creationId xmlns:a16="http://schemas.microsoft.com/office/drawing/2014/main" id="{00000000-0008-0000-0500-00006D000000}"/>
            </a:ext>
          </a:extLst>
        </xdr:cNvPr>
        <xdr:cNvSpPr/>
      </xdr:nvSpPr>
      <xdr:spPr>
        <a:xfrm>
          <a:off x="3851799" y="15906303"/>
          <a:ext cx="26153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117200</xdr:colOff>
      <xdr:row>30</xdr:row>
      <xdr:rowOff>48453</xdr:rowOff>
    </xdr:from>
    <xdr:to>
      <xdr:col>113</xdr:col>
      <xdr:colOff>16564</xdr:colOff>
      <xdr:row>32</xdr:row>
      <xdr:rowOff>81385</xdr:rowOff>
    </xdr:to>
    <xdr:sp macro="" textlink="">
      <xdr:nvSpPr>
        <xdr:cNvPr id="110" name="Freccia curva 7">
          <a:extLst>
            <a:ext uri="{FF2B5EF4-FFF2-40B4-BE49-F238E27FC236}">
              <a16:creationId xmlns:a16="http://schemas.microsoft.com/office/drawing/2014/main" id="{00000000-0008-0000-0500-00006E000000}"/>
            </a:ext>
          </a:extLst>
        </xdr:cNvPr>
        <xdr:cNvSpPr/>
      </xdr:nvSpPr>
      <xdr:spPr>
        <a:xfrm rot="16200000">
          <a:off x="5508241" y="12983512"/>
          <a:ext cx="280582" cy="24226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96</xdr:col>
      <xdr:colOff>89424</xdr:colOff>
      <xdr:row>46</xdr:row>
      <xdr:rowOff>18603</xdr:rowOff>
    </xdr:from>
    <xdr:to>
      <xdr:col>98</xdr:col>
      <xdr:colOff>115603</xdr:colOff>
      <xdr:row>48</xdr:row>
      <xdr:rowOff>42207</xdr:rowOff>
    </xdr:to>
    <xdr:sp macro="" textlink="">
      <xdr:nvSpPr>
        <xdr:cNvPr id="111" name="Freccia curva 7">
          <a:extLst>
            <a:ext uri="{FF2B5EF4-FFF2-40B4-BE49-F238E27FC236}">
              <a16:creationId xmlns:a16="http://schemas.microsoft.com/office/drawing/2014/main" id="{00000000-0008-0000-0500-00006F000000}"/>
            </a:ext>
          </a:extLst>
        </xdr:cNvPr>
        <xdr:cNvSpPr/>
      </xdr:nvSpPr>
      <xdr:spPr>
        <a:xfrm>
          <a:off x="3899424" y="14915703"/>
          <a:ext cx="254779"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77391</xdr:colOff>
      <xdr:row>23</xdr:row>
      <xdr:rowOff>78126</xdr:rowOff>
    </xdr:from>
    <xdr:to>
      <xdr:col>89</xdr:col>
      <xdr:colOff>95161</xdr:colOff>
      <xdr:row>26</xdr:row>
      <xdr:rowOff>71439</xdr:rowOff>
    </xdr:to>
    <xdr:sp macro="" textlink="">
      <xdr:nvSpPr>
        <xdr:cNvPr id="112" name="Freccia in giù 9">
          <a:extLst>
            <a:ext uri="{FF2B5EF4-FFF2-40B4-BE49-F238E27FC236}">
              <a16:creationId xmlns:a16="http://schemas.microsoft.com/office/drawing/2014/main" id="{00000000-0008-0000-0500-000070000000}"/>
            </a:ext>
          </a:extLst>
        </xdr:cNvPr>
        <xdr:cNvSpPr/>
      </xdr:nvSpPr>
      <xdr:spPr>
        <a:xfrm>
          <a:off x="2972991" y="12127251"/>
          <a:ext cx="132070" cy="3647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102</xdr:col>
      <xdr:colOff>47624</xdr:colOff>
      <xdr:row>31</xdr:row>
      <xdr:rowOff>82037</xdr:rowOff>
    </xdr:from>
    <xdr:to>
      <xdr:col>105</xdr:col>
      <xdr:colOff>48456</xdr:colOff>
      <xdr:row>32</xdr:row>
      <xdr:rowOff>95250</xdr:rowOff>
    </xdr:to>
    <xdr:sp macro="" textlink="">
      <xdr:nvSpPr>
        <xdr:cNvPr id="113" name="Freccia in giù 9">
          <a:extLst>
            <a:ext uri="{FF2B5EF4-FFF2-40B4-BE49-F238E27FC236}">
              <a16:creationId xmlns:a16="http://schemas.microsoft.com/office/drawing/2014/main" id="{00000000-0008-0000-0500-000071000000}"/>
            </a:ext>
          </a:extLst>
        </xdr:cNvPr>
        <xdr:cNvSpPr/>
      </xdr:nvSpPr>
      <xdr:spPr>
        <a:xfrm rot="5400000">
          <a:off x="4646771" y="13018415"/>
          <a:ext cx="137038" cy="3437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80</xdr:col>
      <xdr:colOff>67275</xdr:colOff>
      <xdr:row>39</xdr:row>
      <xdr:rowOff>47627</xdr:rowOff>
    </xdr:from>
    <xdr:to>
      <xdr:col>83</xdr:col>
      <xdr:colOff>77394</xdr:colOff>
      <xdr:row>40</xdr:row>
      <xdr:rowOff>57546</xdr:rowOff>
    </xdr:to>
    <xdr:sp macro="" textlink="">
      <xdr:nvSpPr>
        <xdr:cNvPr id="114" name="Freccia in giù 9">
          <a:extLst>
            <a:ext uri="{FF2B5EF4-FFF2-40B4-BE49-F238E27FC236}">
              <a16:creationId xmlns:a16="http://schemas.microsoft.com/office/drawing/2014/main" id="{00000000-0008-0000-0500-000072000000}"/>
            </a:ext>
          </a:extLst>
        </xdr:cNvPr>
        <xdr:cNvSpPr/>
      </xdr:nvSpPr>
      <xdr:spPr>
        <a:xfrm rot="16200000">
          <a:off x="2158113" y="13968314"/>
          <a:ext cx="133744" cy="35301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90</xdr:col>
      <xdr:colOff>36089</xdr:colOff>
      <xdr:row>46</xdr:row>
      <xdr:rowOff>3514</xdr:rowOff>
    </xdr:from>
    <xdr:to>
      <xdr:col>92</xdr:col>
      <xdr:colOff>59418</xdr:colOff>
      <xdr:row>48</xdr:row>
      <xdr:rowOff>50582</xdr:rowOff>
    </xdr:to>
    <xdr:sp macro="" textlink="">
      <xdr:nvSpPr>
        <xdr:cNvPr id="115" name="Freccia curva 8">
          <a:extLst>
            <a:ext uri="{FF2B5EF4-FFF2-40B4-BE49-F238E27FC236}">
              <a16:creationId xmlns:a16="http://schemas.microsoft.com/office/drawing/2014/main" id="{00000000-0008-0000-0500-000073000000}"/>
            </a:ext>
          </a:extLst>
        </xdr:cNvPr>
        <xdr:cNvSpPr/>
      </xdr:nvSpPr>
      <xdr:spPr>
        <a:xfrm flipH="1">
          <a:off x="3160289" y="14900614"/>
          <a:ext cx="25192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83</xdr:col>
      <xdr:colOff>9526</xdr:colOff>
      <xdr:row>10</xdr:row>
      <xdr:rowOff>66676</xdr:rowOff>
    </xdr:from>
    <xdr:to>
      <xdr:col>102</xdr:col>
      <xdr:colOff>114301</xdr:colOff>
      <xdr:row>13</xdr:row>
      <xdr:rowOff>19051</xdr:rowOff>
    </xdr:to>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2333626" y="10506076"/>
          <a:ext cx="2276475" cy="32385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solidFill>
                <a:schemeClr val="bg1"/>
              </a:solidFill>
            </a:rPr>
            <a:t>4-Phase</a:t>
          </a:r>
          <a:r>
            <a:rPr lang="en-US" sz="1100" b="1" baseline="0">
              <a:solidFill>
                <a:schemeClr val="bg1"/>
              </a:solidFill>
            </a:rPr>
            <a:t>  with </a:t>
          </a:r>
          <a:r>
            <a:rPr lang="en-US" sz="1100" b="1" u="sng" baseline="0">
              <a:solidFill>
                <a:schemeClr val="bg1"/>
              </a:solidFill>
            </a:rPr>
            <a:t>protected </a:t>
          </a:r>
          <a:r>
            <a:rPr lang="en-US" sz="1100" b="1" baseline="0">
              <a:solidFill>
                <a:schemeClr val="bg1"/>
              </a:solidFill>
            </a:rPr>
            <a:t>left turn phase</a:t>
          </a:r>
          <a:endParaRPr lang="en-US" sz="1100" b="1">
            <a:solidFill>
              <a:schemeClr val="bg1"/>
            </a:solidFill>
          </a:endParaRPr>
        </a:p>
      </xdr:txBody>
    </xdr:sp>
    <xdr:clientData/>
  </xdr:twoCellAnchor>
  <xdr:twoCellAnchor>
    <xdr:from>
      <xdr:col>112</xdr:col>
      <xdr:colOff>28575</xdr:colOff>
      <xdr:row>69</xdr:row>
      <xdr:rowOff>9525</xdr:rowOff>
    </xdr:from>
    <xdr:to>
      <xdr:col>121</xdr:col>
      <xdr:colOff>85724</xdr:colOff>
      <xdr:row>72</xdr:row>
      <xdr:rowOff>114300</xdr:rowOff>
    </xdr:to>
    <xdr:sp macro="" textlink="">
      <xdr:nvSpPr>
        <xdr:cNvPr id="117" name="Right Arrow 116">
          <a:hlinkClick xmlns:r="http://schemas.openxmlformats.org/officeDocument/2006/relationships" r:id="rId2"/>
          <a:extLst>
            <a:ext uri="{FF2B5EF4-FFF2-40B4-BE49-F238E27FC236}">
              <a16:creationId xmlns:a16="http://schemas.microsoft.com/office/drawing/2014/main" id="{00000000-0008-0000-0500-000075000000}"/>
            </a:ext>
          </a:extLst>
        </xdr:cNvPr>
        <xdr:cNvSpPr/>
      </xdr:nvSpPr>
      <xdr:spPr>
        <a:xfrm>
          <a:off x="12592050" y="8553450"/>
          <a:ext cx="108584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twoCellAnchor>
    <xdr:from>
      <xdr:col>96</xdr:col>
      <xdr:colOff>53577</xdr:colOff>
      <xdr:row>45</xdr:row>
      <xdr:rowOff>47625</xdr:rowOff>
    </xdr:from>
    <xdr:to>
      <xdr:col>97</xdr:col>
      <xdr:colOff>59530</xdr:colOff>
      <xdr:row>48</xdr:row>
      <xdr:rowOff>28969</xdr:rowOff>
    </xdr:to>
    <xdr:sp macro="" textlink="">
      <xdr:nvSpPr>
        <xdr:cNvPr id="118" name="Freccia in giù 9">
          <a:extLst>
            <a:ext uri="{FF2B5EF4-FFF2-40B4-BE49-F238E27FC236}">
              <a16:creationId xmlns:a16="http://schemas.microsoft.com/office/drawing/2014/main" id="{00000000-0008-0000-0500-000076000000}"/>
            </a:ext>
          </a:extLst>
        </xdr:cNvPr>
        <xdr:cNvSpPr/>
      </xdr:nvSpPr>
      <xdr:spPr>
        <a:xfrm rot="10800000">
          <a:off x="3863577" y="14820900"/>
          <a:ext cx="120253" cy="35281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43036</xdr:colOff>
      <xdr:row>26</xdr:row>
      <xdr:rowOff>90316</xdr:rowOff>
    </xdr:from>
    <xdr:to>
      <xdr:col>49</xdr:col>
      <xdr:colOff>4591</xdr:colOff>
      <xdr:row>70</xdr:row>
      <xdr:rowOff>71267</xdr:rowOff>
    </xdr:to>
    <xdr:pic>
      <xdr:nvPicPr>
        <xdr:cNvPr id="51" name="Picture 50" descr="Quadrant-Model.jpg">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stretch>
          <a:fillRect/>
        </a:stretch>
      </xdr:blipFill>
      <xdr:spPr>
        <a:xfrm rot="16200000">
          <a:off x="381000" y="3133727"/>
          <a:ext cx="5429251" cy="5781330"/>
        </a:xfrm>
        <a:prstGeom prst="rect">
          <a:avLst/>
        </a:prstGeom>
      </xdr:spPr>
    </xdr:pic>
    <xdr:clientData/>
  </xdr:twoCellAnchor>
  <xdr:oneCellAnchor>
    <xdr:from>
      <xdr:col>4</xdr:col>
      <xdr:colOff>13135</xdr:colOff>
      <xdr:row>14</xdr:row>
      <xdr:rowOff>0</xdr:rowOff>
    </xdr:from>
    <xdr:ext cx="1226796" cy="356537"/>
    <xdr:sp macro="" textlink="">
      <xdr:nvSpPr>
        <xdr:cNvPr id="3" name="Rectangle 2">
          <a:extLst>
            <a:ext uri="{FF2B5EF4-FFF2-40B4-BE49-F238E27FC236}">
              <a16:creationId xmlns:a16="http://schemas.microsoft.com/office/drawing/2014/main" id="{00000000-0008-0000-0600-000003000000}"/>
            </a:ext>
          </a:extLst>
        </xdr:cNvPr>
        <xdr:cNvSpPr/>
      </xdr:nvSpPr>
      <xdr:spPr>
        <a:xfrm>
          <a:off x="422710" y="1733550"/>
          <a:ext cx="1226796" cy="356537"/>
        </a:xfrm>
        <a:prstGeom prst="rect">
          <a:avLst/>
        </a:prstGeom>
        <a:noFill/>
        <a:effectLst/>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37</xdr:col>
      <xdr:colOff>122953</xdr:colOff>
      <xdr:row>14</xdr:row>
      <xdr:rowOff>28575</xdr:rowOff>
    </xdr:from>
    <xdr:ext cx="1231277" cy="345332"/>
    <xdr:sp macro="" textlink="">
      <xdr:nvSpPr>
        <xdr:cNvPr id="4" name="Rectangle 3">
          <a:extLst>
            <a:ext uri="{FF2B5EF4-FFF2-40B4-BE49-F238E27FC236}">
              <a16:creationId xmlns:a16="http://schemas.microsoft.com/office/drawing/2014/main" id="{00000000-0008-0000-0600-000004000000}"/>
            </a:ext>
          </a:extLst>
        </xdr:cNvPr>
        <xdr:cNvSpPr/>
      </xdr:nvSpPr>
      <xdr:spPr>
        <a:xfrm>
          <a:off x="4618753" y="1762125"/>
          <a:ext cx="1231277" cy="345332"/>
        </a:xfrm>
        <a:prstGeom prst="rect">
          <a:avLst/>
        </a:prstGeom>
        <a:noFill/>
        <a:effectLst/>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50</xdr:col>
      <xdr:colOff>19079</xdr:colOff>
      <xdr:row>59</xdr:row>
      <xdr:rowOff>0</xdr:rowOff>
    </xdr:from>
    <xdr:ext cx="1200122" cy="354614"/>
    <xdr:sp macro="" textlink="">
      <xdr:nvSpPr>
        <xdr:cNvPr id="5" name="Rectangle 4">
          <a:extLst>
            <a:ext uri="{FF2B5EF4-FFF2-40B4-BE49-F238E27FC236}">
              <a16:creationId xmlns:a16="http://schemas.microsoft.com/office/drawing/2014/main" id="{00000000-0008-0000-0600-000005000000}"/>
            </a:ext>
          </a:extLst>
        </xdr:cNvPr>
        <xdr:cNvSpPr/>
      </xdr:nvSpPr>
      <xdr:spPr>
        <a:xfrm>
          <a:off x="6124604" y="7305675"/>
          <a:ext cx="1200122" cy="354614"/>
        </a:xfrm>
        <a:prstGeom prst="rect">
          <a:avLst/>
        </a:prstGeom>
        <a:noFill/>
        <a:effectLst/>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42</xdr:col>
      <xdr:colOff>60813</xdr:colOff>
      <xdr:row>61</xdr:row>
      <xdr:rowOff>114300</xdr:rowOff>
    </xdr:from>
    <xdr:to>
      <xdr:col>50</xdr:col>
      <xdr:colOff>0</xdr:colOff>
      <xdr:row>65</xdr:row>
      <xdr:rowOff>59329</xdr:rowOff>
    </xdr:to>
    <xdr:cxnSp macro="">
      <xdr:nvCxnSpPr>
        <xdr:cNvPr id="6" name="Straight Connector 5">
          <a:extLst>
            <a:ext uri="{FF2B5EF4-FFF2-40B4-BE49-F238E27FC236}">
              <a16:creationId xmlns:a16="http://schemas.microsoft.com/office/drawing/2014/main" id="{00000000-0008-0000-0600-000006000000}"/>
            </a:ext>
          </a:extLst>
        </xdr:cNvPr>
        <xdr:cNvCxnSpPr>
          <a:stCxn id="7" idx="6"/>
        </xdr:cNvCxnSpPr>
      </xdr:nvCxnSpPr>
      <xdr:spPr>
        <a:xfrm flipV="1">
          <a:off x="5137638" y="7667625"/>
          <a:ext cx="929787" cy="440329"/>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41</xdr:col>
      <xdr:colOff>9525</xdr:colOff>
      <xdr:row>64</xdr:row>
      <xdr:rowOff>91934</xdr:rowOff>
    </xdr:from>
    <xdr:to>
      <xdr:col>42</xdr:col>
      <xdr:colOff>60813</xdr:colOff>
      <xdr:row>66</xdr:row>
      <xdr:rowOff>26724</xdr:rowOff>
    </xdr:to>
    <xdr:sp macro="" textlink="">
      <xdr:nvSpPr>
        <xdr:cNvPr id="7" name="Oval 6">
          <a:extLst>
            <a:ext uri="{FF2B5EF4-FFF2-40B4-BE49-F238E27FC236}">
              <a16:creationId xmlns:a16="http://schemas.microsoft.com/office/drawing/2014/main" id="{00000000-0008-0000-0600-000007000000}"/>
            </a:ext>
          </a:extLst>
        </xdr:cNvPr>
        <xdr:cNvSpPr/>
      </xdr:nvSpPr>
      <xdr:spPr>
        <a:xfrm>
          <a:off x="4962525" y="801673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38</xdr:col>
      <xdr:colOff>9525</xdr:colOff>
      <xdr:row>23</xdr:row>
      <xdr:rowOff>9526</xdr:rowOff>
    </xdr:from>
    <xdr:to>
      <xdr:col>42</xdr:col>
      <xdr:colOff>25645</xdr:colOff>
      <xdr:row>34</xdr:row>
      <xdr:rowOff>71027</xdr:rowOff>
    </xdr:to>
    <xdr:cxnSp macro="">
      <xdr:nvCxnSpPr>
        <xdr:cNvPr id="8" name="Straight Connector 7">
          <a:extLst>
            <a:ext uri="{FF2B5EF4-FFF2-40B4-BE49-F238E27FC236}">
              <a16:creationId xmlns:a16="http://schemas.microsoft.com/office/drawing/2014/main" id="{00000000-0008-0000-0600-000008000000}"/>
            </a:ext>
          </a:extLst>
        </xdr:cNvPr>
        <xdr:cNvCxnSpPr>
          <a:stCxn id="9" idx="1"/>
        </xdr:cNvCxnSpPr>
      </xdr:nvCxnSpPr>
      <xdr:spPr>
        <a:xfrm rot="16200000" flipV="1">
          <a:off x="4134972" y="3313579"/>
          <a:ext cx="1423576" cy="51142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42</xdr:col>
      <xdr:colOff>0</xdr:colOff>
      <xdr:row>34</xdr:row>
      <xdr:rowOff>44309</xdr:rowOff>
    </xdr:from>
    <xdr:to>
      <xdr:col>43</xdr:col>
      <xdr:colOff>51288</xdr:colOff>
      <xdr:row>35</xdr:row>
      <xdr:rowOff>102924</xdr:rowOff>
    </xdr:to>
    <xdr:sp macro="" textlink="">
      <xdr:nvSpPr>
        <xdr:cNvPr id="9" name="Oval 8">
          <a:extLst>
            <a:ext uri="{FF2B5EF4-FFF2-40B4-BE49-F238E27FC236}">
              <a16:creationId xmlns:a16="http://schemas.microsoft.com/office/drawing/2014/main" id="{00000000-0008-0000-0600-000009000000}"/>
            </a:ext>
          </a:extLst>
        </xdr:cNvPr>
        <xdr:cNvSpPr/>
      </xdr:nvSpPr>
      <xdr:spPr>
        <a:xfrm>
          <a:off x="5076825" y="425435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1</xdr:colOff>
      <xdr:row>23</xdr:row>
      <xdr:rowOff>9526</xdr:rowOff>
    </xdr:from>
    <xdr:to>
      <xdr:col>10</xdr:col>
      <xdr:colOff>6595</xdr:colOff>
      <xdr:row>34</xdr:row>
      <xdr:rowOff>90077</xdr:rowOff>
    </xdr:to>
    <xdr:cxnSp macro="">
      <xdr:nvCxnSpPr>
        <xdr:cNvPr id="10" name="Straight Connector 9">
          <a:extLst>
            <a:ext uri="{FF2B5EF4-FFF2-40B4-BE49-F238E27FC236}">
              <a16:creationId xmlns:a16="http://schemas.microsoft.com/office/drawing/2014/main" id="{00000000-0008-0000-0600-00000A000000}"/>
            </a:ext>
          </a:extLst>
        </xdr:cNvPr>
        <xdr:cNvCxnSpPr>
          <a:stCxn id="11" idx="1"/>
        </xdr:cNvCxnSpPr>
      </xdr:nvCxnSpPr>
      <xdr:spPr>
        <a:xfrm rot="16200000" flipV="1">
          <a:off x="24935" y="3204042"/>
          <a:ext cx="1442626" cy="749544"/>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104775</xdr:colOff>
      <xdr:row>34</xdr:row>
      <xdr:rowOff>63359</xdr:rowOff>
    </xdr:from>
    <xdr:to>
      <xdr:col>11</xdr:col>
      <xdr:colOff>32238</xdr:colOff>
      <xdr:row>35</xdr:row>
      <xdr:rowOff>121974</xdr:rowOff>
    </xdr:to>
    <xdr:sp macro="" textlink="">
      <xdr:nvSpPr>
        <xdr:cNvPr id="11" name="Oval 10">
          <a:extLst>
            <a:ext uri="{FF2B5EF4-FFF2-40B4-BE49-F238E27FC236}">
              <a16:creationId xmlns:a16="http://schemas.microsoft.com/office/drawing/2014/main" id="{00000000-0008-0000-0600-00000B000000}"/>
            </a:ext>
          </a:extLst>
        </xdr:cNvPr>
        <xdr:cNvSpPr/>
      </xdr:nvSpPr>
      <xdr:spPr>
        <a:xfrm>
          <a:off x="1095375" y="427340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107</xdr:col>
      <xdr:colOff>96216</xdr:colOff>
      <xdr:row>31</xdr:row>
      <xdr:rowOff>91783</xdr:rowOff>
    </xdr:from>
    <xdr:to>
      <xdr:col>108</xdr:col>
      <xdr:colOff>109029</xdr:colOff>
      <xdr:row>34</xdr:row>
      <xdr:rowOff>10025</xdr:rowOff>
    </xdr:to>
    <xdr:sp macro="" textlink="">
      <xdr:nvSpPr>
        <xdr:cNvPr id="12" name="Freccia in giù 9">
          <a:extLst>
            <a:ext uri="{FF2B5EF4-FFF2-40B4-BE49-F238E27FC236}">
              <a16:creationId xmlns:a16="http://schemas.microsoft.com/office/drawing/2014/main" id="{00000000-0008-0000-0600-00000C000000}"/>
            </a:ext>
          </a:extLst>
        </xdr:cNvPr>
        <xdr:cNvSpPr/>
      </xdr:nvSpPr>
      <xdr:spPr>
        <a:xfrm rot="10800000">
          <a:off x="5544516" y="130934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74512</xdr:colOff>
      <xdr:row>25</xdr:row>
      <xdr:rowOff>41255</xdr:rowOff>
    </xdr:from>
    <xdr:to>
      <xdr:col>97</xdr:col>
      <xdr:colOff>2402</xdr:colOff>
      <xdr:row>27</xdr:row>
      <xdr:rowOff>55602</xdr:rowOff>
    </xdr:to>
    <xdr:sp macro="" textlink="">
      <xdr:nvSpPr>
        <xdr:cNvPr id="13" name="Freccia curva 7">
          <a:extLst>
            <a:ext uri="{FF2B5EF4-FFF2-40B4-BE49-F238E27FC236}">
              <a16:creationId xmlns:a16="http://schemas.microsoft.com/office/drawing/2014/main" id="{00000000-0008-0000-0600-00000D000000}"/>
            </a:ext>
          </a:extLst>
        </xdr:cNvPr>
        <xdr:cNvSpPr/>
      </xdr:nvSpPr>
      <xdr:spPr>
        <a:xfrm rot="5400000">
          <a:off x="3931771" y="12281246"/>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103195</xdr:colOff>
      <xdr:row>18</xdr:row>
      <xdr:rowOff>117519</xdr:rowOff>
    </xdr:from>
    <xdr:ext cx="963800" cy="311715"/>
    <xdr:sp macro="" textlink="">
      <xdr:nvSpPr>
        <xdr:cNvPr id="14" name="Rectangle 13">
          <a:extLst>
            <a:ext uri="{FF2B5EF4-FFF2-40B4-BE49-F238E27FC236}">
              <a16:creationId xmlns:a16="http://schemas.microsoft.com/office/drawing/2014/main" id="{00000000-0008-0000-0600-00000E000000}"/>
            </a:ext>
          </a:extLst>
        </xdr:cNvPr>
        <xdr:cNvSpPr/>
      </xdr:nvSpPr>
      <xdr:spPr>
        <a:xfrm>
          <a:off x="4932370" y="1150941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107</xdr:col>
      <xdr:colOff>53688</xdr:colOff>
      <xdr:row>9</xdr:row>
      <xdr:rowOff>62470</xdr:rowOff>
    </xdr:from>
    <xdr:to>
      <xdr:col>109</xdr:col>
      <xdr:colOff>77017</xdr:colOff>
      <xdr:row>11</xdr:row>
      <xdr:rowOff>109538</xdr:rowOff>
    </xdr:to>
    <xdr:sp macro="" textlink="">
      <xdr:nvSpPr>
        <xdr:cNvPr id="15" name="Freccia curva 8">
          <a:extLst>
            <a:ext uri="{FF2B5EF4-FFF2-40B4-BE49-F238E27FC236}">
              <a16:creationId xmlns:a16="http://schemas.microsoft.com/office/drawing/2014/main" id="{00000000-0008-0000-0600-00000F000000}"/>
            </a:ext>
          </a:extLst>
        </xdr:cNvPr>
        <xdr:cNvSpPr/>
      </xdr:nvSpPr>
      <xdr:spPr>
        <a:xfrm rot="10800000" flipH="1">
          <a:off x="5501988" y="1033994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55058</xdr:colOff>
      <xdr:row>9</xdr:row>
      <xdr:rowOff>67264</xdr:rowOff>
    </xdr:from>
    <xdr:to>
      <xdr:col>112</xdr:col>
      <xdr:colOff>84922</xdr:colOff>
      <xdr:row>11</xdr:row>
      <xdr:rowOff>123518</xdr:rowOff>
    </xdr:to>
    <xdr:sp macro="" textlink="">
      <xdr:nvSpPr>
        <xdr:cNvPr id="16" name="Freccia a inversione 13">
          <a:extLst>
            <a:ext uri="{FF2B5EF4-FFF2-40B4-BE49-F238E27FC236}">
              <a16:creationId xmlns:a16="http://schemas.microsoft.com/office/drawing/2014/main" id="{00000000-0008-0000-0600-000010000000}"/>
            </a:ext>
          </a:extLst>
        </xdr:cNvPr>
        <xdr:cNvSpPr/>
      </xdr:nvSpPr>
      <xdr:spPr>
        <a:xfrm flipV="1">
          <a:off x="5874833" y="1034473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101397</xdr:colOff>
      <xdr:row>9</xdr:row>
      <xdr:rowOff>51932</xdr:rowOff>
    </xdr:from>
    <xdr:to>
      <xdr:col>105</xdr:col>
      <xdr:colOff>114211</xdr:colOff>
      <xdr:row>11</xdr:row>
      <xdr:rowOff>95625</xdr:rowOff>
    </xdr:to>
    <xdr:sp macro="" textlink="">
      <xdr:nvSpPr>
        <xdr:cNvPr id="17" name="Freccia in giù 9">
          <a:extLst>
            <a:ext uri="{FF2B5EF4-FFF2-40B4-BE49-F238E27FC236}">
              <a16:creationId xmlns:a16="http://schemas.microsoft.com/office/drawing/2014/main" id="{00000000-0008-0000-0600-000011000000}"/>
            </a:ext>
          </a:extLst>
        </xdr:cNvPr>
        <xdr:cNvSpPr/>
      </xdr:nvSpPr>
      <xdr:spPr>
        <a:xfrm>
          <a:off x="5178222" y="103294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32507</xdr:colOff>
      <xdr:row>9</xdr:row>
      <xdr:rowOff>111530</xdr:rowOff>
    </xdr:from>
    <xdr:to>
      <xdr:col>103</xdr:col>
      <xdr:colOff>65439</xdr:colOff>
      <xdr:row>12</xdr:row>
      <xdr:rowOff>9683</xdr:rowOff>
    </xdr:to>
    <xdr:sp macro="" textlink="">
      <xdr:nvSpPr>
        <xdr:cNvPr id="18" name="Freccia curva 7">
          <a:extLst>
            <a:ext uri="{FF2B5EF4-FFF2-40B4-BE49-F238E27FC236}">
              <a16:creationId xmlns:a16="http://schemas.microsoft.com/office/drawing/2014/main" id="{00000000-0008-0000-0600-000012000000}"/>
            </a:ext>
          </a:extLst>
        </xdr:cNvPr>
        <xdr:cNvSpPr/>
      </xdr:nvSpPr>
      <xdr:spPr>
        <a:xfrm rot="10800000">
          <a:off x="4737857" y="1038900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66020</xdr:colOff>
      <xdr:row>16</xdr:row>
      <xdr:rowOff>58156</xdr:rowOff>
    </xdr:from>
    <xdr:to>
      <xdr:col>69</xdr:col>
      <xdr:colOff>24702</xdr:colOff>
      <xdr:row>18</xdr:row>
      <xdr:rowOff>69436</xdr:rowOff>
    </xdr:to>
    <xdr:sp macro="" textlink="">
      <xdr:nvSpPr>
        <xdr:cNvPr id="19" name="Freccia a inversione 13">
          <a:extLst>
            <a:ext uri="{FF2B5EF4-FFF2-40B4-BE49-F238E27FC236}">
              <a16:creationId xmlns:a16="http://schemas.microsoft.com/office/drawing/2014/main" id="{00000000-0008-0000-0600-000013000000}"/>
            </a:ext>
          </a:extLst>
        </xdr:cNvPr>
        <xdr:cNvSpPr/>
      </xdr:nvSpPr>
      <xdr:spPr>
        <a:xfrm rot="16200000" flipV="1">
          <a:off x="473109" y="1116679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51289</xdr:colOff>
      <xdr:row>19</xdr:row>
      <xdr:rowOff>58615</xdr:rowOff>
    </xdr:from>
    <xdr:to>
      <xdr:col>68</xdr:col>
      <xdr:colOff>116943</xdr:colOff>
      <xdr:row>21</xdr:row>
      <xdr:rowOff>63358</xdr:rowOff>
    </xdr:to>
    <xdr:sp macro="" textlink="">
      <xdr:nvSpPr>
        <xdr:cNvPr id="20" name="Freccia curva 8">
          <a:extLst>
            <a:ext uri="{FF2B5EF4-FFF2-40B4-BE49-F238E27FC236}">
              <a16:creationId xmlns:a16="http://schemas.microsoft.com/office/drawing/2014/main" id="{00000000-0008-0000-0600-000014000000}"/>
            </a:ext>
          </a:extLst>
        </xdr:cNvPr>
        <xdr:cNvSpPr/>
      </xdr:nvSpPr>
      <xdr:spPr>
        <a:xfrm rot="5400000" flipH="1">
          <a:off x="453219" y="1154388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73270</xdr:colOff>
      <xdr:row>25</xdr:row>
      <xdr:rowOff>80596</xdr:rowOff>
    </xdr:from>
    <xdr:to>
      <xdr:col>68</xdr:col>
      <xdr:colOff>134510</xdr:colOff>
      <xdr:row>27</xdr:row>
      <xdr:rowOff>94943</xdr:rowOff>
    </xdr:to>
    <xdr:sp macro="" textlink="">
      <xdr:nvSpPr>
        <xdr:cNvPr id="21" name="Freccia curva 7">
          <a:extLst>
            <a:ext uri="{FF2B5EF4-FFF2-40B4-BE49-F238E27FC236}">
              <a16:creationId xmlns:a16="http://schemas.microsoft.com/office/drawing/2014/main" id="{00000000-0008-0000-0600-000015000000}"/>
            </a:ext>
          </a:extLst>
        </xdr:cNvPr>
        <xdr:cNvSpPr/>
      </xdr:nvSpPr>
      <xdr:spPr>
        <a:xfrm rot="5400000">
          <a:off x="463429" y="1232058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13549</xdr:colOff>
      <xdr:row>19</xdr:row>
      <xdr:rowOff>27872</xdr:rowOff>
    </xdr:from>
    <xdr:ext cx="963800" cy="311715"/>
    <xdr:sp macro="" textlink="">
      <xdr:nvSpPr>
        <xdr:cNvPr id="22" name="Rectangle 21">
          <a:extLst>
            <a:ext uri="{FF2B5EF4-FFF2-40B4-BE49-F238E27FC236}">
              <a16:creationId xmlns:a16="http://schemas.microsoft.com/office/drawing/2014/main" id="{00000000-0008-0000-0600-000016000000}"/>
            </a:ext>
          </a:extLst>
        </xdr:cNvPr>
        <xdr:cNvSpPr/>
      </xdr:nvSpPr>
      <xdr:spPr>
        <a:xfrm>
          <a:off x="1499449" y="115435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66</xdr:col>
      <xdr:colOff>58937</xdr:colOff>
      <xdr:row>23</xdr:row>
      <xdr:rowOff>6397</xdr:rowOff>
    </xdr:from>
    <xdr:to>
      <xdr:col>69</xdr:col>
      <xdr:colOff>5058</xdr:colOff>
      <xdr:row>24</xdr:row>
      <xdr:rowOff>9918</xdr:rowOff>
    </xdr:to>
    <xdr:sp macro="" textlink="">
      <xdr:nvSpPr>
        <xdr:cNvPr id="23" name="Freccia in giù 9">
          <a:extLst>
            <a:ext uri="{FF2B5EF4-FFF2-40B4-BE49-F238E27FC236}">
              <a16:creationId xmlns:a16="http://schemas.microsoft.com/office/drawing/2014/main" id="{00000000-0008-0000-0600-000017000000}"/>
            </a:ext>
          </a:extLst>
        </xdr:cNvPr>
        <xdr:cNvSpPr/>
      </xdr:nvSpPr>
      <xdr:spPr>
        <a:xfrm rot="16200000">
          <a:off x="525537" y="119222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97574</xdr:colOff>
      <xdr:row>17</xdr:row>
      <xdr:rowOff>4645</xdr:rowOff>
    </xdr:from>
    <xdr:to>
      <xdr:col>91</xdr:col>
      <xdr:colOff>43694</xdr:colOff>
      <xdr:row>18</xdr:row>
      <xdr:rowOff>8166</xdr:rowOff>
    </xdr:to>
    <xdr:sp macro="" textlink="">
      <xdr:nvSpPr>
        <xdr:cNvPr id="24" name="Freccia in giù 9">
          <a:extLst>
            <a:ext uri="{FF2B5EF4-FFF2-40B4-BE49-F238E27FC236}">
              <a16:creationId xmlns:a16="http://schemas.microsoft.com/office/drawing/2014/main" id="{00000000-0008-0000-0600-000018000000}"/>
            </a:ext>
          </a:extLst>
        </xdr:cNvPr>
        <xdr:cNvSpPr/>
      </xdr:nvSpPr>
      <xdr:spPr>
        <a:xfrm rot="5400000">
          <a:off x="3288324" y="1117759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22</xdr:row>
      <xdr:rowOff>136072</xdr:rowOff>
    </xdr:from>
    <xdr:to>
      <xdr:col>119</xdr:col>
      <xdr:colOff>55717</xdr:colOff>
      <xdr:row>24</xdr:row>
      <xdr:rowOff>82778</xdr:rowOff>
    </xdr:to>
    <xdr:sp macro="" textlink="">
      <xdr:nvSpPr>
        <xdr:cNvPr id="25" name="Freccia curva 66">
          <a:extLst>
            <a:ext uri="{FF2B5EF4-FFF2-40B4-BE49-F238E27FC236}">
              <a16:creationId xmlns:a16="http://schemas.microsoft.com/office/drawing/2014/main" id="{00000000-0008-0000-0600-000019000000}"/>
            </a:ext>
          </a:extLst>
        </xdr:cNvPr>
        <xdr:cNvSpPr/>
      </xdr:nvSpPr>
      <xdr:spPr>
        <a:xfrm rot="16200000" flipH="1">
          <a:off x="6736293" y="119640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22</xdr:row>
      <xdr:rowOff>136072</xdr:rowOff>
    </xdr:from>
    <xdr:to>
      <xdr:col>119</xdr:col>
      <xdr:colOff>55717</xdr:colOff>
      <xdr:row>24</xdr:row>
      <xdr:rowOff>82778</xdr:rowOff>
    </xdr:to>
    <xdr:sp macro="" textlink="">
      <xdr:nvSpPr>
        <xdr:cNvPr id="26" name="Freccia curva 66">
          <a:extLst>
            <a:ext uri="{FF2B5EF4-FFF2-40B4-BE49-F238E27FC236}">
              <a16:creationId xmlns:a16="http://schemas.microsoft.com/office/drawing/2014/main" id="{00000000-0008-0000-0600-00001A000000}"/>
            </a:ext>
          </a:extLst>
        </xdr:cNvPr>
        <xdr:cNvSpPr/>
      </xdr:nvSpPr>
      <xdr:spPr>
        <a:xfrm rot="16200000" flipH="1">
          <a:off x="6736293" y="119640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22</xdr:row>
      <xdr:rowOff>136072</xdr:rowOff>
    </xdr:from>
    <xdr:to>
      <xdr:col>119</xdr:col>
      <xdr:colOff>55717</xdr:colOff>
      <xdr:row>24</xdr:row>
      <xdr:rowOff>82778</xdr:rowOff>
    </xdr:to>
    <xdr:sp macro="" textlink="">
      <xdr:nvSpPr>
        <xdr:cNvPr id="27" name="Freccia curva 66">
          <a:extLst>
            <a:ext uri="{FF2B5EF4-FFF2-40B4-BE49-F238E27FC236}">
              <a16:creationId xmlns:a16="http://schemas.microsoft.com/office/drawing/2014/main" id="{00000000-0008-0000-0600-00001B000000}"/>
            </a:ext>
          </a:extLst>
        </xdr:cNvPr>
        <xdr:cNvSpPr/>
      </xdr:nvSpPr>
      <xdr:spPr>
        <a:xfrm rot="16200000" flipH="1">
          <a:off x="6736293" y="119640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22</xdr:row>
      <xdr:rowOff>136072</xdr:rowOff>
    </xdr:from>
    <xdr:to>
      <xdr:col>119</xdr:col>
      <xdr:colOff>55717</xdr:colOff>
      <xdr:row>24</xdr:row>
      <xdr:rowOff>82778</xdr:rowOff>
    </xdr:to>
    <xdr:sp macro="" textlink="">
      <xdr:nvSpPr>
        <xdr:cNvPr id="28" name="Freccia curva 66">
          <a:extLst>
            <a:ext uri="{FF2B5EF4-FFF2-40B4-BE49-F238E27FC236}">
              <a16:creationId xmlns:a16="http://schemas.microsoft.com/office/drawing/2014/main" id="{00000000-0008-0000-0600-00001C000000}"/>
            </a:ext>
          </a:extLst>
        </xdr:cNvPr>
        <xdr:cNvSpPr/>
      </xdr:nvSpPr>
      <xdr:spPr>
        <a:xfrm rot="16200000" flipH="1">
          <a:off x="6736293" y="1196400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96216</xdr:colOff>
      <xdr:row>59</xdr:row>
      <xdr:rowOff>91783</xdr:rowOff>
    </xdr:from>
    <xdr:to>
      <xdr:col>108</xdr:col>
      <xdr:colOff>109029</xdr:colOff>
      <xdr:row>62</xdr:row>
      <xdr:rowOff>10025</xdr:rowOff>
    </xdr:to>
    <xdr:sp macro="" textlink="">
      <xdr:nvSpPr>
        <xdr:cNvPr id="29" name="Freccia in giù 9">
          <a:extLst>
            <a:ext uri="{FF2B5EF4-FFF2-40B4-BE49-F238E27FC236}">
              <a16:creationId xmlns:a16="http://schemas.microsoft.com/office/drawing/2014/main" id="{00000000-0008-0000-0600-00001D000000}"/>
            </a:ext>
          </a:extLst>
        </xdr:cNvPr>
        <xdr:cNvSpPr/>
      </xdr:nvSpPr>
      <xdr:spPr>
        <a:xfrm rot="10800000">
          <a:off x="5544516" y="1656050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106400</xdr:colOff>
      <xdr:row>53</xdr:row>
      <xdr:rowOff>55751</xdr:rowOff>
    </xdr:from>
    <xdr:to>
      <xdr:col>97</xdr:col>
      <xdr:colOff>33876</xdr:colOff>
      <xdr:row>55</xdr:row>
      <xdr:rowOff>70098</xdr:rowOff>
    </xdr:to>
    <xdr:sp macro="" textlink="">
      <xdr:nvSpPr>
        <xdr:cNvPr id="30" name="Freccia curva 7">
          <a:extLst>
            <a:ext uri="{FF2B5EF4-FFF2-40B4-BE49-F238E27FC236}">
              <a16:creationId xmlns:a16="http://schemas.microsoft.com/office/drawing/2014/main" id="{00000000-0008-0000-0600-00001E000000}"/>
            </a:ext>
          </a:extLst>
        </xdr:cNvPr>
        <xdr:cNvSpPr/>
      </xdr:nvSpPr>
      <xdr:spPr>
        <a:xfrm rot="5400000">
          <a:off x="3963452" y="15763049"/>
          <a:ext cx="261997" cy="298951"/>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103</xdr:col>
      <xdr:colOff>4024</xdr:colOff>
      <xdr:row>47</xdr:row>
      <xdr:rowOff>27872</xdr:rowOff>
    </xdr:from>
    <xdr:ext cx="963800" cy="311715"/>
    <xdr:sp macro="" textlink="">
      <xdr:nvSpPr>
        <xdr:cNvPr id="31" name="Rectangle 30">
          <a:extLst>
            <a:ext uri="{FF2B5EF4-FFF2-40B4-BE49-F238E27FC236}">
              <a16:creationId xmlns:a16="http://schemas.microsoft.com/office/drawing/2014/main" id="{00000000-0008-0000-0600-00001F000000}"/>
            </a:ext>
          </a:extLst>
        </xdr:cNvPr>
        <xdr:cNvSpPr/>
      </xdr:nvSpPr>
      <xdr:spPr>
        <a:xfrm>
          <a:off x="4957024" y="150106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101</xdr:col>
      <xdr:colOff>46691</xdr:colOff>
      <xdr:row>59</xdr:row>
      <xdr:rowOff>118493</xdr:rowOff>
    </xdr:from>
    <xdr:to>
      <xdr:col>103</xdr:col>
      <xdr:colOff>74536</xdr:colOff>
      <xdr:row>62</xdr:row>
      <xdr:rowOff>52529</xdr:rowOff>
    </xdr:to>
    <xdr:sp macro="" textlink="">
      <xdr:nvSpPr>
        <xdr:cNvPr id="32" name="Freccia a inversione 13">
          <a:extLst>
            <a:ext uri="{FF2B5EF4-FFF2-40B4-BE49-F238E27FC236}">
              <a16:creationId xmlns:a16="http://schemas.microsoft.com/office/drawing/2014/main" id="{00000000-0008-0000-0600-000020000000}"/>
            </a:ext>
          </a:extLst>
        </xdr:cNvPr>
        <xdr:cNvSpPr/>
      </xdr:nvSpPr>
      <xdr:spPr>
        <a:xfrm rot="10800000" flipV="1">
          <a:off x="4752041" y="1658721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36089</xdr:colOff>
      <xdr:row>60</xdr:row>
      <xdr:rowOff>3514</xdr:rowOff>
    </xdr:from>
    <xdr:to>
      <xdr:col>106</xdr:col>
      <xdr:colOff>59418</xdr:colOff>
      <xdr:row>62</xdr:row>
      <xdr:rowOff>50582</xdr:rowOff>
    </xdr:to>
    <xdr:sp macro="" textlink="">
      <xdr:nvSpPr>
        <xdr:cNvPr id="33" name="Freccia curva 8">
          <a:extLst>
            <a:ext uri="{FF2B5EF4-FFF2-40B4-BE49-F238E27FC236}">
              <a16:creationId xmlns:a16="http://schemas.microsoft.com/office/drawing/2014/main" id="{00000000-0008-0000-0600-000021000000}"/>
            </a:ext>
          </a:extLst>
        </xdr:cNvPr>
        <xdr:cNvSpPr/>
      </xdr:nvSpPr>
      <xdr:spPr>
        <a:xfrm flipH="1">
          <a:off x="5112914" y="165960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94989</xdr:colOff>
      <xdr:row>25</xdr:row>
      <xdr:rowOff>82275</xdr:rowOff>
    </xdr:from>
    <xdr:to>
      <xdr:col>119</xdr:col>
      <xdr:colOff>56903</xdr:colOff>
      <xdr:row>27</xdr:row>
      <xdr:rowOff>91535</xdr:rowOff>
    </xdr:to>
    <xdr:sp macro="" textlink="">
      <xdr:nvSpPr>
        <xdr:cNvPr id="34" name="Freccia a inversione 13">
          <a:extLst>
            <a:ext uri="{FF2B5EF4-FFF2-40B4-BE49-F238E27FC236}">
              <a16:creationId xmlns:a16="http://schemas.microsoft.com/office/drawing/2014/main" id="{00000000-0008-0000-0600-000022000000}"/>
            </a:ext>
          </a:extLst>
        </xdr:cNvPr>
        <xdr:cNvSpPr/>
      </xdr:nvSpPr>
      <xdr:spPr>
        <a:xfrm rot="5400000" flipV="1">
          <a:off x="6695954" y="1230271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101397</xdr:colOff>
      <xdr:row>37</xdr:row>
      <xdr:rowOff>51932</xdr:rowOff>
    </xdr:from>
    <xdr:to>
      <xdr:col>105</xdr:col>
      <xdr:colOff>114211</xdr:colOff>
      <xdr:row>39</xdr:row>
      <xdr:rowOff>95625</xdr:rowOff>
    </xdr:to>
    <xdr:sp macro="" textlink="">
      <xdr:nvSpPr>
        <xdr:cNvPr id="35" name="Freccia in giù 9">
          <a:extLst>
            <a:ext uri="{FF2B5EF4-FFF2-40B4-BE49-F238E27FC236}">
              <a16:creationId xmlns:a16="http://schemas.microsoft.com/office/drawing/2014/main" id="{00000000-0008-0000-0600-000023000000}"/>
            </a:ext>
          </a:extLst>
        </xdr:cNvPr>
        <xdr:cNvSpPr/>
      </xdr:nvSpPr>
      <xdr:spPr>
        <a:xfrm>
          <a:off x="5178222" y="1379650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97574</xdr:colOff>
      <xdr:row>20</xdr:row>
      <xdr:rowOff>4645</xdr:rowOff>
    </xdr:from>
    <xdr:to>
      <xdr:col>119</xdr:col>
      <xdr:colOff>43694</xdr:colOff>
      <xdr:row>21</xdr:row>
      <xdr:rowOff>8166</xdr:rowOff>
    </xdr:to>
    <xdr:sp macro="" textlink="">
      <xdr:nvSpPr>
        <xdr:cNvPr id="36" name="Freccia in giù 9">
          <a:extLst>
            <a:ext uri="{FF2B5EF4-FFF2-40B4-BE49-F238E27FC236}">
              <a16:creationId xmlns:a16="http://schemas.microsoft.com/office/drawing/2014/main" id="{00000000-0008-0000-0600-000024000000}"/>
            </a:ext>
          </a:extLst>
        </xdr:cNvPr>
        <xdr:cNvSpPr/>
      </xdr:nvSpPr>
      <xdr:spPr>
        <a:xfrm rot="5400000">
          <a:off x="6755424" y="1154907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41799</xdr:colOff>
      <xdr:row>60</xdr:row>
      <xdr:rowOff>18603</xdr:rowOff>
    </xdr:from>
    <xdr:to>
      <xdr:col>112</xdr:col>
      <xdr:colOff>74730</xdr:colOff>
      <xdr:row>62</xdr:row>
      <xdr:rowOff>42207</xdr:rowOff>
    </xdr:to>
    <xdr:sp macro="" textlink="">
      <xdr:nvSpPr>
        <xdr:cNvPr id="37" name="Freccia curva 7">
          <a:extLst>
            <a:ext uri="{FF2B5EF4-FFF2-40B4-BE49-F238E27FC236}">
              <a16:creationId xmlns:a16="http://schemas.microsoft.com/office/drawing/2014/main" id="{00000000-0008-0000-0600-000025000000}"/>
            </a:ext>
          </a:extLst>
        </xdr:cNvPr>
        <xdr:cNvSpPr/>
      </xdr:nvSpPr>
      <xdr:spPr>
        <a:xfrm>
          <a:off x="5861574" y="166111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65638</xdr:colOff>
      <xdr:row>37</xdr:row>
      <xdr:rowOff>98691</xdr:rowOff>
    </xdr:from>
    <xdr:to>
      <xdr:col>103</xdr:col>
      <xdr:colOff>98570</xdr:colOff>
      <xdr:row>39</xdr:row>
      <xdr:rowOff>121083</xdr:rowOff>
    </xdr:to>
    <xdr:sp macro="" textlink="">
      <xdr:nvSpPr>
        <xdr:cNvPr id="38" name="Freccia curva 7">
          <a:extLst>
            <a:ext uri="{FF2B5EF4-FFF2-40B4-BE49-F238E27FC236}">
              <a16:creationId xmlns:a16="http://schemas.microsoft.com/office/drawing/2014/main" id="{00000000-0008-0000-0600-000026000000}"/>
            </a:ext>
          </a:extLst>
        </xdr:cNvPr>
        <xdr:cNvSpPr/>
      </xdr:nvSpPr>
      <xdr:spPr>
        <a:xfrm rot="10800000">
          <a:off x="4770988" y="13843266"/>
          <a:ext cx="280582" cy="270042"/>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107674</xdr:colOff>
      <xdr:row>16</xdr:row>
      <xdr:rowOff>57978</xdr:rowOff>
    </xdr:from>
    <xdr:to>
      <xdr:col>119</xdr:col>
      <xdr:colOff>7038</xdr:colOff>
      <xdr:row>18</xdr:row>
      <xdr:rowOff>90910</xdr:rowOff>
    </xdr:to>
    <xdr:sp macro="" textlink="">
      <xdr:nvSpPr>
        <xdr:cNvPr id="39" name="Freccia curva 7">
          <a:extLst>
            <a:ext uri="{FF2B5EF4-FFF2-40B4-BE49-F238E27FC236}">
              <a16:creationId xmlns:a16="http://schemas.microsoft.com/office/drawing/2014/main" id="{00000000-0008-0000-0600-000027000000}"/>
            </a:ext>
          </a:extLst>
        </xdr:cNvPr>
        <xdr:cNvSpPr/>
      </xdr:nvSpPr>
      <xdr:spPr>
        <a:xfrm rot="16200000">
          <a:off x="6665528" y="1120709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36089</xdr:colOff>
      <xdr:row>32</xdr:row>
      <xdr:rowOff>3514</xdr:rowOff>
    </xdr:from>
    <xdr:to>
      <xdr:col>81</xdr:col>
      <xdr:colOff>59418</xdr:colOff>
      <xdr:row>34</xdr:row>
      <xdr:rowOff>50582</xdr:rowOff>
    </xdr:to>
    <xdr:sp macro="" textlink="">
      <xdr:nvSpPr>
        <xdr:cNvPr id="40" name="Freccia curva 8">
          <a:extLst>
            <a:ext uri="{FF2B5EF4-FFF2-40B4-BE49-F238E27FC236}">
              <a16:creationId xmlns:a16="http://schemas.microsoft.com/office/drawing/2014/main" id="{00000000-0008-0000-0600-000028000000}"/>
            </a:ext>
          </a:extLst>
        </xdr:cNvPr>
        <xdr:cNvSpPr/>
      </xdr:nvSpPr>
      <xdr:spPr>
        <a:xfrm flipH="1">
          <a:off x="2017289" y="1312896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41799</xdr:colOff>
      <xdr:row>32</xdr:row>
      <xdr:rowOff>18603</xdr:rowOff>
    </xdr:from>
    <xdr:to>
      <xdr:col>84</xdr:col>
      <xdr:colOff>74730</xdr:colOff>
      <xdr:row>34</xdr:row>
      <xdr:rowOff>42207</xdr:rowOff>
    </xdr:to>
    <xdr:sp macro="" textlink="">
      <xdr:nvSpPr>
        <xdr:cNvPr id="41" name="Freccia curva 7">
          <a:extLst>
            <a:ext uri="{FF2B5EF4-FFF2-40B4-BE49-F238E27FC236}">
              <a16:creationId xmlns:a16="http://schemas.microsoft.com/office/drawing/2014/main" id="{00000000-0008-0000-0600-000029000000}"/>
            </a:ext>
          </a:extLst>
        </xdr:cNvPr>
        <xdr:cNvSpPr/>
      </xdr:nvSpPr>
      <xdr:spPr>
        <a:xfrm>
          <a:off x="2394474" y="131440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19</xdr:row>
      <xdr:rowOff>136072</xdr:rowOff>
    </xdr:from>
    <xdr:to>
      <xdr:col>91</xdr:col>
      <xdr:colOff>55717</xdr:colOff>
      <xdr:row>21</xdr:row>
      <xdr:rowOff>82778</xdr:rowOff>
    </xdr:to>
    <xdr:sp macro="" textlink="">
      <xdr:nvSpPr>
        <xdr:cNvPr id="42" name="Freccia curva 66">
          <a:extLst>
            <a:ext uri="{FF2B5EF4-FFF2-40B4-BE49-F238E27FC236}">
              <a16:creationId xmlns:a16="http://schemas.microsoft.com/office/drawing/2014/main" id="{00000000-0008-0000-0600-00002A000000}"/>
            </a:ext>
          </a:extLst>
        </xdr:cNvPr>
        <xdr:cNvSpPr/>
      </xdr:nvSpPr>
      <xdr:spPr>
        <a:xfrm rot="16200000" flipH="1">
          <a:off x="3269193" y="115925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19</xdr:row>
      <xdr:rowOff>136072</xdr:rowOff>
    </xdr:from>
    <xdr:to>
      <xdr:col>91</xdr:col>
      <xdr:colOff>55717</xdr:colOff>
      <xdr:row>21</xdr:row>
      <xdr:rowOff>82778</xdr:rowOff>
    </xdr:to>
    <xdr:sp macro="" textlink="">
      <xdr:nvSpPr>
        <xdr:cNvPr id="43" name="Freccia curva 66">
          <a:extLst>
            <a:ext uri="{FF2B5EF4-FFF2-40B4-BE49-F238E27FC236}">
              <a16:creationId xmlns:a16="http://schemas.microsoft.com/office/drawing/2014/main" id="{00000000-0008-0000-0600-00002B000000}"/>
            </a:ext>
          </a:extLst>
        </xdr:cNvPr>
        <xdr:cNvSpPr/>
      </xdr:nvSpPr>
      <xdr:spPr>
        <a:xfrm rot="16200000" flipH="1">
          <a:off x="3269193" y="115925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19</xdr:row>
      <xdr:rowOff>136072</xdr:rowOff>
    </xdr:from>
    <xdr:to>
      <xdr:col>91</xdr:col>
      <xdr:colOff>55717</xdr:colOff>
      <xdr:row>21</xdr:row>
      <xdr:rowOff>82778</xdr:rowOff>
    </xdr:to>
    <xdr:sp macro="" textlink="">
      <xdr:nvSpPr>
        <xdr:cNvPr id="44" name="Freccia curva 66">
          <a:extLst>
            <a:ext uri="{FF2B5EF4-FFF2-40B4-BE49-F238E27FC236}">
              <a16:creationId xmlns:a16="http://schemas.microsoft.com/office/drawing/2014/main" id="{00000000-0008-0000-0600-00002C000000}"/>
            </a:ext>
          </a:extLst>
        </xdr:cNvPr>
        <xdr:cNvSpPr/>
      </xdr:nvSpPr>
      <xdr:spPr>
        <a:xfrm rot="16200000" flipH="1">
          <a:off x="3269193" y="115925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19</xdr:row>
      <xdr:rowOff>136072</xdr:rowOff>
    </xdr:from>
    <xdr:to>
      <xdr:col>91</xdr:col>
      <xdr:colOff>55717</xdr:colOff>
      <xdr:row>21</xdr:row>
      <xdr:rowOff>82778</xdr:rowOff>
    </xdr:to>
    <xdr:sp macro="" textlink="">
      <xdr:nvSpPr>
        <xdr:cNvPr id="45" name="Freccia curva 66">
          <a:extLst>
            <a:ext uri="{FF2B5EF4-FFF2-40B4-BE49-F238E27FC236}">
              <a16:creationId xmlns:a16="http://schemas.microsoft.com/office/drawing/2014/main" id="{00000000-0008-0000-0600-00002D000000}"/>
            </a:ext>
          </a:extLst>
        </xdr:cNvPr>
        <xdr:cNvSpPr/>
      </xdr:nvSpPr>
      <xdr:spPr>
        <a:xfrm rot="16200000" flipH="1">
          <a:off x="3269193" y="115925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41799</xdr:colOff>
      <xdr:row>32</xdr:row>
      <xdr:rowOff>18603</xdr:rowOff>
    </xdr:from>
    <xdr:to>
      <xdr:col>112</xdr:col>
      <xdr:colOff>74730</xdr:colOff>
      <xdr:row>34</xdr:row>
      <xdr:rowOff>42207</xdr:rowOff>
    </xdr:to>
    <xdr:sp macro="" textlink="">
      <xdr:nvSpPr>
        <xdr:cNvPr id="46" name="Freccia curva 7">
          <a:extLst>
            <a:ext uri="{FF2B5EF4-FFF2-40B4-BE49-F238E27FC236}">
              <a16:creationId xmlns:a16="http://schemas.microsoft.com/office/drawing/2014/main" id="{00000000-0008-0000-0600-00002E000000}"/>
            </a:ext>
          </a:extLst>
        </xdr:cNvPr>
        <xdr:cNvSpPr/>
      </xdr:nvSpPr>
      <xdr:spPr>
        <a:xfrm>
          <a:off x="5861574" y="1314405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51289</xdr:colOff>
      <xdr:row>50</xdr:row>
      <xdr:rowOff>58615</xdr:rowOff>
    </xdr:from>
    <xdr:to>
      <xdr:col>96</xdr:col>
      <xdr:colOff>116943</xdr:colOff>
      <xdr:row>52</xdr:row>
      <xdr:rowOff>63358</xdr:rowOff>
    </xdr:to>
    <xdr:sp macro="" textlink="">
      <xdr:nvSpPr>
        <xdr:cNvPr id="47" name="Freccia curva 8">
          <a:extLst>
            <a:ext uri="{FF2B5EF4-FFF2-40B4-BE49-F238E27FC236}">
              <a16:creationId xmlns:a16="http://schemas.microsoft.com/office/drawing/2014/main" id="{00000000-0008-0000-0600-00002F000000}"/>
            </a:ext>
          </a:extLst>
        </xdr:cNvPr>
        <xdr:cNvSpPr/>
      </xdr:nvSpPr>
      <xdr:spPr>
        <a:xfrm rot="5400000" flipH="1">
          <a:off x="3920319" y="153824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58937</xdr:colOff>
      <xdr:row>23</xdr:row>
      <xdr:rowOff>6397</xdr:rowOff>
    </xdr:from>
    <xdr:to>
      <xdr:col>97</xdr:col>
      <xdr:colOff>5058</xdr:colOff>
      <xdr:row>24</xdr:row>
      <xdr:rowOff>9918</xdr:rowOff>
    </xdr:to>
    <xdr:sp macro="" textlink="">
      <xdr:nvSpPr>
        <xdr:cNvPr id="48" name="Freccia in giù 9">
          <a:extLst>
            <a:ext uri="{FF2B5EF4-FFF2-40B4-BE49-F238E27FC236}">
              <a16:creationId xmlns:a16="http://schemas.microsoft.com/office/drawing/2014/main" id="{00000000-0008-0000-0600-000030000000}"/>
            </a:ext>
          </a:extLst>
        </xdr:cNvPr>
        <xdr:cNvSpPr/>
      </xdr:nvSpPr>
      <xdr:spPr>
        <a:xfrm rot="16200000">
          <a:off x="3992637" y="1192229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50" name="Right Arrow 49">
          <a:hlinkClick xmlns:r="http://schemas.openxmlformats.org/officeDocument/2006/relationships" r:id="rId2"/>
          <a:extLst>
            <a:ext uri="{FF2B5EF4-FFF2-40B4-BE49-F238E27FC236}">
              <a16:creationId xmlns:a16="http://schemas.microsoft.com/office/drawing/2014/main" id="{00000000-0008-0000-0600-000032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14461</xdr:colOff>
      <xdr:row>17</xdr:row>
      <xdr:rowOff>90317</xdr:rowOff>
    </xdr:from>
    <xdr:to>
      <xdr:col>59</xdr:col>
      <xdr:colOff>99841</xdr:colOff>
      <xdr:row>61</xdr:row>
      <xdr:rowOff>71268</xdr:rowOff>
    </xdr:to>
    <xdr:pic>
      <xdr:nvPicPr>
        <xdr:cNvPr id="52" name="Picture 51" descr="Quadrant-Model.jpg">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 cstate="print"/>
        <a:stretch>
          <a:fillRect/>
        </a:stretch>
      </xdr:blipFill>
      <xdr:spPr>
        <a:xfrm rot="5400000">
          <a:off x="1714500" y="2019303"/>
          <a:ext cx="5429251" cy="5781330"/>
        </a:xfrm>
        <a:prstGeom prst="rect">
          <a:avLst/>
        </a:prstGeom>
      </xdr:spPr>
    </xdr:pic>
    <xdr:clientData/>
  </xdr:twoCellAnchor>
  <xdr:oneCellAnchor>
    <xdr:from>
      <xdr:col>2</xdr:col>
      <xdr:colOff>22660</xdr:colOff>
      <xdr:row>24</xdr:row>
      <xdr:rowOff>19050</xdr:rowOff>
    </xdr:from>
    <xdr:ext cx="1226796" cy="356537"/>
    <xdr:sp macro="" textlink="">
      <xdr:nvSpPr>
        <xdr:cNvPr id="3" name="Rectangle 2">
          <a:extLst>
            <a:ext uri="{FF2B5EF4-FFF2-40B4-BE49-F238E27FC236}">
              <a16:creationId xmlns:a16="http://schemas.microsoft.com/office/drawing/2014/main" id="{00000000-0008-0000-0700-000003000000}"/>
            </a:ext>
          </a:extLst>
        </xdr:cNvPr>
        <xdr:cNvSpPr/>
      </xdr:nvSpPr>
      <xdr:spPr>
        <a:xfrm>
          <a:off x="146485" y="2990850"/>
          <a:ext cx="1226796" cy="356537"/>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46</xdr:col>
      <xdr:colOff>103903</xdr:colOff>
      <xdr:row>62</xdr:row>
      <xdr:rowOff>78442</xdr:rowOff>
    </xdr:from>
    <xdr:ext cx="1231277" cy="419290"/>
    <xdr:sp macro="" textlink="">
      <xdr:nvSpPr>
        <xdr:cNvPr id="4" name="Rectangle 3">
          <a:extLst>
            <a:ext uri="{FF2B5EF4-FFF2-40B4-BE49-F238E27FC236}">
              <a16:creationId xmlns:a16="http://schemas.microsoft.com/office/drawing/2014/main" id="{00000000-0008-0000-0700-000004000000}"/>
            </a:ext>
          </a:extLst>
        </xdr:cNvPr>
        <xdr:cNvSpPr/>
      </xdr:nvSpPr>
      <xdr:spPr>
        <a:xfrm>
          <a:off x="5714128" y="7755592"/>
          <a:ext cx="1231277" cy="41929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2</xdr:col>
      <xdr:colOff>28</xdr:colOff>
      <xdr:row>46</xdr:row>
      <xdr:rowOff>40660</xdr:rowOff>
    </xdr:from>
    <xdr:ext cx="1235761" cy="313954"/>
    <xdr:sp macro="" textlink="">
      <xdr:nvSpPr>
        <xdr:cNvPr id="5" name="Rectangle 4">
          <a:extLst>
            <a:ext uri="{FF2B5EF4-FFF2-40B4-BE49-F238E27FC236}">
              <a16:creationId xmlns:a16="http://schemas.microsoft.com/office/drawing/2014/main" id="{00000000-0008-0000-0700-000005000000}"/>
            </a:ext>
          </a:extLst>
        </xdr:cNvPr>
        <xdr:cNvSpPr/>
      </xdr:nvSpPr>
      <xdr:spPr>
        <a:xfrm>
          <a:off x="123853" y="573661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46</xdr:col>
      <xdr:colOff>114301</xdr:colOff>
      <xdr:row>52</xdr:row>
      <xdr:rowOff>74348</xdr:rowOff>
    </xdr:from>
    <xdr:to>
      <xdr:col>50</xdr:col>
      <xdr:colOff>94181</xdr:colOff>
      <xdr:row>65</xdr:row>
      <xdr:rowOff>123824</xdr:rowOff>
    </xdr:to>
    <xdr:cxnSp macro="">
      <xdr:nvCxnSpPr>
        <xdr:cNvPr id="6" name="Straight Connector 5">
          <a:extLst>
            <a:ext uri="{FF2B5EF4-FFF2-40B4-BE49-F238E27FC236}">
              <a16:creationId xmlns:a16="http://schemas.microsoft.com/office/drawing/2014/main" id="{00000000-0008-0000-0700-000006000000}"/>
            </a:ext>
          </a:extLst>
        </xdr:cNvPr>
        <xdr:cNvCxnSpPr>
          <a:stCxn id="7" idx="4"/>
        </xdr:cNvCxnSpPr>
      </xdr:nvCxnSpPr>
      <xdr:spPr>
        <a:xfrm rot="5400000">
          <a:off x="5132515" y="7105259"/>
          <a:ext cx="1659201" cy="47518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50</xdr:col>
      <xdr:colOff>6623</xdr:colOff>
      <xdr:row>51</xdr:row>
      <xdr:rowOff>15734</xdr:rowOff>
    </xdr:from>
    <xdr:to>
      <xdr:col>51</xdr:col>
      <xdr:colOff>57911</xdr:colOff>
      <xdr:row>52</xdr:row>
      <xdr:rowOff>74349</xdr:rowOff>
    </xdr:to>
    <xdr:sp macro="" textlink="">
      <xdr:nvSpPr>
        <xdr:cNvPr id="7" name="Oval 6">
          <a:extLst>
            <a:ext uri="{FF2B5EF4-FFF2-40B4-BE49-F238E27FC236}">
              <a16:creationId xmlns:a16="http://schemas.microsoft.com/office/drawing/2014/main" id="{00000000-0008-0000-0700-000007000000}"/>
            </a:ext>
          </a:extLst>
        </xdr:cNvPr>
        <xdr:cNvSpPr/>
      </xdr:nvSpPr>
      <xdr:spPr>
        <a:xfrm>
          <a:off x="6112148" y="633080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1</xdr:colOff>
      <xdr:row>49</xdr:row>
      <xdr:rowOff>1</xdr:rowOff>
    </xdr:from>
    <xdr:to>
      <xdr:col>19</xdr:col>
      <xdr:colOff>38100</xdr:colOff>
      <xdr:row>52</xdr:row>
      <xdr:rowOff>76201</xdr:rowOff>
    </xdr:to>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rot="10800000">
          <a:off x="1362076" y="6067426"/>
          <a:ext cx="904874" cy="44767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28575</xdr:colOff>
      <xdr:row>52</xdr:row>
      <xdr:rowOff>63359</xdr:rowOff>
    </xdr:from>
    <xdr:to>
      <xdr:col>20</xdr:col>
      <xdr:colOff>79863</xdr:colOff>
      <xdr:row>53</xdr:row>
      <xdr:rowOff>121974</xdr:rowOff>
    </xdr:to>
    <xdr:sp macro="" textlink="">
      <xdr:nvSpPr>
        <xdr:cNvPr id="9" name="Oval 8">
          <a:extLst>
            <a:ext uri="{FF2B5EF4-FFF2-40B4-BE49-F238E27FC236}">
              <a16:creationId xmlns:a16="http://schemas.microsoft.com/office/drawing/2014/main" id="{00000000-0008-0000-0700-000009000000}"/>
            </a:ext>
          </a:extLst>
        </xdr:cNvPr>
        <xdr:cNvSpPr/>
      </xdr:nvSpPr>
      <xdr:spPr>
        <a:xfrm>
          <a:off x="2257425" y="650225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1</xdr:colOff>
      <xdr:row>23</xdr:row>
      <xdr:rowOff>9530</xdr:rowOff>
    </xdr:from>
    <xdr:to>
      <xdr:col>20</xdr:col>
      <xdr:colOff>16121</xdr:colOff>
      <xdr:row>26</xdr:row>
      <xdr:rowOff>123824</xdr:rowOff>
    </xdr:to>
    <xdr:cxnSp macro="">
      <xdr:nvCxnSpPr>
        <xdr:cNvPr id="10" name="Straight Connector 9">
          <a:extLst>
            <a:ext uri="{FF2B5EF4-FFF2-40B4-BE49-F238E27FC236}">
              <a16:creationId xmlns:a16="http://schemas.microsoft.com/office/drawing/2014/main" id="{00000000-0008-0000-0700-00000A000000}"/>
            </a:ext>
          </a:extLst>
        </xdr:cNvPr>
        <xdr:cNvCxnSpPr>
          <a:stCxn id="11" idx="3"/>
        </xdr:cNvCxnSpPr>
      </xdr:nvCxnSpPr>
      <xdr:spPr>
        <a:xfrm rot="5400000">
          <a:off x="1622551" y="2597030"/>
          <a:ext cx="485769" cy="100672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114300</xdr:colOff>
      <xdr:row>21</xdr:row>
      <xdr:rowOff>101459</xdr:rowOff>
    </xdr:from>
    <xdr:to>
      <xdr:col>21</xdr:col>
      <xdr:colOff>41763</xdr:colOff>
      <xdr:row>23</xdr:row>
      <xdr:rowOff>36249</xdr:rowOff>
    </xdr:to>
    <xdr:sp macro="" textlink="">
      <xdr:nvSpPr>
        <xdr:cNvPr id="11" name="Oval 10">
          <a:extLst>
            <a:ext uri="{FF2B5EF4-FFF2-40B4-BE49-F238E27FC236}">
              <a16:creationId xmlns:a16="http://schemas.microsoft.com/office/drawing/2014/main" id="{00000000-0008-0000-0700-00000B000000}"/>
            </a:ext>
          </a:extLst>
        </xdr:cNvPr>
        <xdr:cNvSpPr/>
      </xdr:nvSpPr>
      <xdr:spPr>
        <a:xfrm>
          <a:off x="2343150" y="270178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79</xdr:col>
      <xdr:colOff>96216</xdr:colOff>
      <xdr:row>34</xdr:row>
      <xdr:rowOff>91783</xdr:rowOff>
    </xdr:from>
    <xdr:to>
      <xdr:col>80</xdr:col>
      <xdr:colOff>109029</xdr:colOff>
      <xdr:row>37</xdr:row>
      <xdr:rowOff>10025</xdr:rowOff>
    </xdr:to>
    <xdr:sp macro="" textlink="">
      <xdr:nvSpPr>
        <xdr:cNvPr id="12" name="Freccia in giù 9">
          <a:extLst>
            <a:ext uri="{FF2B5EF4-FFF2-40B4-BE49-F238E27FC236}">
              <a16:creationId xmlns:a16="http://schemas.microsoft.com/office/drawing/2014/main" id="{00000000-0008-0000-0700-00000C000000}"/>
            </a:ext>
          </a:extLst>
        </xdr:cNvPr>
        <xdr:cNvSpPr/>
      </xdr:nvSpPr>
      <xdr:spPr>
        <a:xfrm rot="10800000">
          <a:off x="2077416" y="134648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74</xdr:col>
      <xdr:colOff>103195</xdr:colOff>
      <xdr:row>21</xdr:row>
      <xdr:rowOff>117519</xdr:rowOff>
    </xdr:from>
    <xdr:ext cx="963800" cy="311715"/>
    <xdr:sp macro="" textlink="">
      <xdr:nvSpPr>
        <xdr:cNvPr id="13" name="Rectangle 12">
          <a:extLst>
            <a:ext uri="{FF2B5EF4-FFF2-40B4-BE49-F238E27FC236}">
              <a16:creationId xmlns:a16="http://schemas.microsoft.com/office/drawing/2014/main" id="{00000000-0008-0000-0700-00000D000000}"/>
            </a:ext>
          </a:extLst>
        </xdr:cNvPr>
        <xdr:cNvSpPr/>
      </xdr:nvSpPr>
      <xdr:spPr>
        <a:xfrm>
          <a:off x="1465270" y="1188089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79</xdr:col>
      <xdr:colOff>53688</xdr:colOff>
      <xdr:row>12</xdr:row>
      <xdr:rowOff>62470</xdr:rowOff>
    </xdr:from>
    <xdr:to>
      <xdr:col>81</xdr:col>
      <xdr:colOff>77017</xdr:colOff>
      <xdr:row>14</xdr:row>
      <xdr:rowOff>109538</xdr:rowOff>
    </xdr:to>
    <xdr:sp macro="" textlink="">
      <xdr:nvSpPr>
        <xdr:cNvPr id="14" name="Freccia curva 8">
          <a:extLst>
            <a:ext uri="{FF2B5EF4-FFF2-40B4-BE49-F238E27FC236}">
              <a16:creationId xmlns:a16="http://schemas.microsoft.com/office/drawing/2014/main" id="{00000000-0008-0000-0700-00000E000000}"/>
            </a:ext>
          </a:extLst>
        </xdr:cNvPr>
        <xdr:cNvSpPr/>
      </xdr:nvSpPr>
      <xdr:spPr>
        <a:xfrm rot="10800000" flipH="1">
          <a:off x="2034888" y="107114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55058</xdr:colOff>
      <xdr:row>12</xdr:row>
      <xdr:rowOff>67264</xdr:rowOff>
    </xdr:from>
    <xdr:to>
      <xdr:col>84</xdr:col>
      <xdr:colOff>84922</xdr:colOff>
      <xdr:row>14</xdr:row>
      <xdr:rowOff>123518</xdr:rowOff>
    </xdr:to>
    <xdr:sp macro="" textlink="">
      <xdr:nvSpPr>
        <xdr:cNvPr id="15" name="Freccia a inversione 13">
          <a:extLst>
            <a:ext uri="{FF2B5EF4-FFF2-40B4-BE49-F238E27FC236}">
              <a16:creationId xmlns:a16="http://schemas.microsoft.com/office/drawing/2014/main" id="{00000000-0008-0000-0700-00000F000000}"/>
            </a:ext>
          </a:extLst>
        </xdr:cNvPr>
        <xdr:cNvSpPr/>
      </xdr:nvSpPr>
      <xdr:spPr>
        <a:xfrm flipV="1">
          <a:off x="2407733" y="107162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101397</xdr:colOff>
      <xdr:row>12</xdr:row>
      <xdr:rowOff>51932</xdr:rowOff>
    </xdr:from>
    <xdr:to>
      <xdr:col>77</xdr:col>
      <xdr:colOff>114211</xdr:colOff>
      <xdr:row>14</xdr:row>
      <xdr:rowOff>95625</xdr:rowOff>
    </xdr:to>
    <xdr:sp macro="" textlink="">
      <xdr:nvSpPr>
        <xdr:cNvPr id="16" name="Freccia in giù 9">
          <a:extLst>
            <a:ext uri="{FF2B5EF4-FFF2-40B4-BE49-F238E27FC236}">
              <a16:creationId xmlns:a16="http://schemas.microsoft.com/office/drawing/2014/main" id="{00000000-0008-0000-0700-000010000000}"/>
            </a:ext>
          </a:extLst>
        </xdr:cNvPr>
        <xdr:cNvSpPr/>
      </xdr:nvSpPr>
      <xdr:spPr>
        <a:xfrm>
          <a:off x="1711122" y="107008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32507</xdr:colOff>
      <xdr:row>12</xdr:row>
      <xdr:rowOff>111530</xdr:rowOff>
    </xdr:from>
    <xdr:to>
      <xdr:col>75</xdr:col>
      <xdr:colOff>65439</xdr:colOff>
      <xdr:row>15</xdr:row>
      <xdr:rowOff>9683</xdr:rowOff>
    </xdr:to>
    <xdr:sp macro="" textlink="">
      <xdr:nvSpPr>
        <xdr:cNvPr id="17" name="Freccia curva 7">
          <a:extLst>
            <a:ext uri="{FF2B5EF4-FFF2-40B4-BE49-F238E27FC236}">
              <a16:creationId xmlns:a16="http://schemas.microsoft.com/office/drawing/2014/main" id="{00000000-0008-0000-0700-000011000000}"/>
            </a:ext>
          </a:extLst>
        </xdr:cNvPr>
        <xdr:cNvSpPr/>
      </xdr:nvSpPr>
      <xdr:spPr>
        <a:xfrm rot="10800000">
          <a:off x="1270757" y="10760480"/>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66020</xdr:colOff>
      <xdr:row>47</xdr:row>
      <xdr:rowOff>58156</xdr:rowOff>
    </xdr:from>
    <xdr:to>
      <xdr:col>69</xdr:col>
      <xdr:colOff>24702</xdr:colOff>
      <xdr:row>49</xdr:row>
      <xdr:rowOff>69436</xdr:rowOff>
    </xdr:to>
    <xdr:sp macro="" textlink="">
      <xdr:nvSpPr>
        <xdr:cNvPr id="18" name="Freccia a inversione 13">
          <a:extLst>
            <a:ext uri="{FF2B5EF4-FFF2-40B4-BE49-F238E27FC236}">
              <a16:creationId xmlns:a16="http://schemas.microsoft.com/office/drawing/2014/main" id="{00000000-0008-0000-0700-000012000000}"/>
            </a:ext>
          </a:extLst>
        </xdr:cNvPr>
        <xdr:cNvSpPr/>
      </xdr:nvSpPr>
      <xdr:spPr>
        <a:xfrm rot="16200000" flipV="1">
          <a:off x="473109" y="15005367"/>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51289</xdr:colOff>
      <xdr:row>50</xdr:row>
      <xdr:rowOff>58615</xdr:rowOff>
    </xdr:from>
    <xdr:to>
      <xdr:col>68</xdr:col>
      <xdr:colOff>116943</xdr:colOff>
      <xdr:row>52</xdr:row>
      <xdr:rowOff>63358</xdr:rowOff>
    </xdr:to>
    <xdr:sp macro="" textlink="">
      <xdr:nvSpPr>
        <xdr:cNvPr id="19" name="Freccia curva 8">
          <a:extLst>
            <a:ext uri="{FF2B5EF4-FFF2-40B4-BE49-F238E27FC236}">
              <a16:creationId xmlns:a16="http://schemas.microsoft.com/office/drawing/2014/main" id="{00000000-0008-0000-0700-000013000000}"/>
            </a:ext>
          </a:extLst>
        </xdr:cNvPr>
        <xdr:cNvSpPr/>
      </xdr:nvSpPr>
      <xdr:spPr>
        <a:xfrm rot="5400000" flipH="1">
          <a:off x="453219" y="1538246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73270</xdr:colOff>
      <xdr:row>56</xdr:row>
      <xdr:rowOff>80596</xdr:rowOff>
    </xdr:from>
    <xdr:to>
      <xdr:col>68</xdr:col>
      <xdr:colOff>134510</xdr:colOff>
      <xdr:row>58</xdr:row>
      <xdr:rowOff>94943</xdr:rowOff>
    </xdr:to>
    <xdr:sp macro="" textlink="">
      <xdr:nvSpPr>
        <xdr:cNvPr id="20" name="Freccia curva 7">
          <a:extLst>
            <a:ext uri="{FF2B5EF4-FFF2-40B4-BE49-F238E27FC236}">
              <a16:creationId xmlns:a16="http://schemas.microsoft.com/office/drawing/2014/main" id="{00000000-0008-0000-0700-000014000000}"/>
            </a:ext>
          </a:extLst>
        </xdr:cNvPr>
        <xdr:cNvSpPr/>
      </xdr:nvSpPr>
      <xdr:spPr>
        <a:xfrm rot="5400000">
          <a:off x="463429" y="16159162"/>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13549</xdr:colOff>
      <xdr:row>50</xdr:row>
      <xdr:rowOff>27872</xdr:rowOff>
    </xdr:from>
    <xdr:ext cx="963800" cy="311715"/>
    <xdr:sp macro="" textlink="">
      <xdr:nvSpPr>
        <xdr:cNvPr id="21" name="Rectangle 20">
          <a:extLst>
            <a:ext uri="{FF2B5EF4-FFF2-40B4-BE49-F238E27FC236}">
              <a16:creationId xmlns:a16="http://schemas.microsoft.com/office/drawing/2014/main" id="{00000000-0008-0000-0700-000015000000}"/>
            </a:ext>
          </a:extLst>
        </xdr:cNvPr>
        <xdr:cNvSpPr/>
      </xdr:nvSpPr>
      <xdr:spPr>
        <a:xfrm>
          <a:off x="1499449" y="153821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66</xdr:col>
      <xdr:colOff>58937</xdr:colOff>
      <xdr:row>54</xdr:row>
      <xdr:rowOff>6397</xdr:rowOff>
    </xdr:from>
    <xdr:to>
      <xdr:col>69</xdr:col>
      <xdr:colOff>5058</xdr:colOff>
      <xdr:row>55</xdr:row>
      <xdr:rowOff>9918</xdr:rowOff>
    </xdr:to>
    <xdr:sp macro="" textlink="">
      <xdr:nvSpPr>
        <xdr:cNvPr id="22" name="Freccia in giù 9">
          <a:extLst>
            <a:ext uri="{FF2B5EF4-FFF2-40B4-BE49-F238E27FC236}">
              <a16:creationId xmlns:a16="http://schemas.microsoft.com/office/drawing/2014/main" id="{00000000-0008-0000-0700-000016000000}"/>
            </a:ext>
          </a:extLst>
        </xdr:cNvPr>
        <xdr:cNvSpPr/>
      </xdr:nvSpPr>
      <xdr:spPr>
        <a:xfrm rot="16200000">
          <a:off x="525537" y="15760872"/>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97574</xdr:colOff>
      <xdr:row>51</xdr:row>
      <xdr:rowOff>4645</xdr:rowOff>
    </xdr:from>
    <xdr:to>
      <xdr:col>91</xdr:col>
      <xdr:colOff>43694</xdr:colOff>
      <xdr:row>52</xdr:row>
      <xdr:rowOff>8166</xdr:rowOff>
    </xdr:to>
    <xdr:sp macro="" textlink="">
      <xdr:nvSpPr>
        <xdr:cNvPr id="23" name="Freccia in giù 9">
          <a:extLst>
            <a:ext uri="{FF2B5EF4-FFF2-40B4-BE49-F238E27FC236}">
              <a16:creationId xmlns:a16="http://schemas.microsoft.com/office/drawing/2014/main" id="{00000000-0008-0000-0700-000017000000}"/>
            </a:ext>
          </a:extLst>
        </xdr:cNvPr>
        <xdr:cNvSpPr/>
      </xdr:nvSpPr>
      <xdr:spPr>
        <a:xfrm rot="5400000">
          <a:off x="3288324" y="153876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53</xdr:row>
      <xdr:rowOff>136072</xdr:rowOff>
    </xdr:from>
    <xdr:to>
      <xdr:col>119</xdr:col>
      <xdr:colOff>55717</xdr:colOff>
      <xdr:row>55</xdr:row>
      <xdr:rowOff>82778</xdr:rowOff>
    </xdr:to>
    <xdr:sp macro="" textlink="">
      <xdr:nvSpPr>
        <xdr:cNvPr id="24" name="Freccia curva 66">
          <a:extLst>
            <a:ext uri="{FF2B5EF4-FFF2-40B4-BE49-F238E27FC236}">
              <a16:creationId xmlns:a16="http://schemas.microsoft.com/office/drawing/2014/main" id="{00000000-0008-0000-0700-000018000000}"/>
            </a:ext>
          </a:extLst>
        </xdr:cNvPr>
        <xdr:cNvSpPr/>
      </xdr:nvSpPr>
      <xdr:spPr>
        <a:xfrm rot="16200000" flipH="1">
          <a:off x="6736293" y="158025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53</xdr:row>
      <xdr:rowOff>136072</xdr:rowOff>
    </xdr:from>
    <xdr:to>
      <xdr:col>119</xdr:col>
      <xdr:colOff>55717</xdr:colOff>
      <xdr:row>55</xdr:row>
      <xdr:rowOff>82778</xdr:rowOff>
    </xdr:to>
    <xdr:sp macro="" textlink="">
      <xdr:nvSpPr>
        <xdr:cNvPr id="25" name="Freccia curva 66">
          <a:extLst>
            <a:ext uri="{FF2B5EF4-FFF2-40B4-BE49-F238E27FC236}">
              <a16:creationId xmlns:a16="http://schemas.microsoft.com/office/drawing/2014/main" id="{00000000-0008-0000-0700-000019000000}"/>
            </a:ext>
          </a:extLst>
        </xdr:cNvPr>
        <xdr:cNvSpPr/>
      </xdr:nvSpPr>
      <xdr:spPr>
        <a:xfrm rot="16200000" flipH="1">
          <a:off x="6736293" y="158025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53</xdr:row>
      <xdr:rowOff>136072</xdr:rowOff>
    </xdr:from>
    <xdr:to>
      <xdr:col>119</xdr:col>
      <xdr:colOff>55717</xdr:colOff>
      <xdr:row>55</xdr:row>
      <xdr:rowOff>82778</xdr:rowOff>
    </xdr:to>
    <xdr:sp macro="" textlink="">
      <xdr:nvSpPr>
        <xdr:cNvPr id="26" name="Freccia curva 66">
          <a:extLst>
            <a:ext uri="{FF2B5EF4-FFF2-40B4-BE49-F238E27FC236}">
              <a16:creationId xmlns:a16="http://schemas.microsoft.com/office/drawing/2014/main" id="{00000000-0008-0000-0700-00001A000000}"/>
            </a:ext>
          </a:extLst>
        </xdr:cNvPr>
        <xdr:cNvSpPr/>
      </xdr:nvSpPr>
      <xdr:spPr>
        <a:xfrm rot="16200000" flipH="1">
          <a:off x="6736293" y="158025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53</xdr:row>
      <xdr:rowOff>136072</xdr:rowOff>
    </xdr:from>
    <xdr:to>
      <xdr:col>119</xdr:col>
      <xdr:colOff>55717</xdr:colOff>
      <xdr:row>55</xdr:row>
      <xdr:rowOff>82778</xdr:rowOff>
    </xdr:to>
    <xdr:sp macro="" textlink="">
      <xdr:nvSpPr>
        <xdr:cNvPr id="27" name="Freccia curva 66">
          <a:extLst>
            <a:ext uri="{FF2B5EF4-FFF2-40B4-BE49-F238E27FC236}">
              <a16:creationId xmlns:a16="http://schemas.microsoft.com/office/drawing/2014/main" id="{00000000-0008-0000-0700-00001B000000}"/>
            </a:ext>
          </a:extLst>
        </xdr:cNvPr>
        <xdr:cNvSpPr/>
      </xdr:nvSpPr>
      <xdr:spPr>
        <a:xfrm rot="16200000" flipH="1">
          <a:off x="6736293" y="1580257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96216</xdr:colOff>
      <xdr:row>62</xdr:row>
      <xdr:rowOff>91783</xdr:rowOff>
    </xdr:from>
    <xdr:to>
      <xdr:col>80</xdr:col>
      <xdr:colOff>109029</xdr:colOff>
      <xdr:row>65</xdr:row>
      <xdr:rowOff>10025</xdr:rowOff>
    </xdr:to>
    <xdr:sp macro="" textlink="">
      <xdr:nvSpPr>
        <xdr:cNvPr id="28" name="Freccia in giù 9">
          <a:extLst>
            <a:ext uri="{FF2B5EF4-FFF2-40B4-BE49-F238E27FC236}">
              <a16:creationId xmlns:a16="http://schemas.microsoft.com/office/drawing/2014/main" id="{00000000-0008-0000-0700-00001C000000}"/>
            </a:ext>
          </a:extLst>
        </xdr:cNvPr>
        <xdr:cNvSpPr/>
      </xdr:nvSpPr>
      <xdr:spPr>
        <a:xfrm rot="10800000">
          <a:off x="2077416" y="16931983"/>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103</xdr:col>
      <xdr:colOff>13549</xdr:colOff>
      <xdr:row>50</xdr:row>
      <xdr:rowOff>27872</xdr:rowOff>
    </xdr:from>
    <xdr:ext cx="963800" cy="311715"/>
    <xdr:sp macro="" textlink="">
      <xdr:nvSpPr>
        <xdr:cNvPr id="29" name="Rectangle 28">
          <a:extLst>
            <a:ext uri="{FF2B5EF4-FFF2-40B4-BE49-F238E27FC236}">
              <a16:creationId xmlns:a16="http://schemas.microsoft.com/office/drawing/2014/main" id="{00000000-0008-0000-0700-00001D000000}"/>
            </a:ext>
          </a:extLst>
        </xdr:cNvPr>
        <xdr:cNvSpPr/>
      </xdr:nvSpPr>
      <xdr:spPr>
        <a:xfrm>
          <a:off x="4966549" y="15382172"/>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73</xdr:col>
      <xdr:colOff>46691</xdr:colOff>
      <xdr:row>62</xdr:row>
      <xdr:rowOff>118493</xdr:rowOff>
    </xdr:from>
    <xdr:to>
      <xdr:col>75</xdr:col>
      <xdr:colOff>74536</xdr:colOff>
      <xdr:row>65</xdr:row>
      <xdr:rowOff>52529</xdr:rowOff>
    </xdr:to>
    <xdr:sp macro="" textlink="">
      <xdr:nvSpPr>
        <xdr:cNvPr id="30" name="Freccia a inversione 13">
          <a:extLst>
            <a:ext uri="{FF2B5EF4-FFF2-40B4-BE49-F238E27FC236}">
              <a16:creationId xmlns:a16="http://schemas.microsoft.com/office/drawing/2014/main" id="{00000000-0008-0000-0700-00001E000000}"/>
            </a:ext>
          </a:extLst>
        </xdr:cNvPr>
        <xdr:cNvSpPr/>
      </xdr:nvSpPr>
      <xdr:spPr>
        <a:xfrm rot="10800000" flipV="1">
          <a:off x="1284941" y="16958693"/>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36089</xdr:colOff>
      <xdr:row>63</xdr:row>
      <xdr:rowOff>3514</xdr:rowOff>
    </xdr:from>
    <xdr:to>
      <xdr:col>78</xdr:col>
      <xdr:colOff>59418</xdr:colOff>
      <xdr:row>65</xdr:row>
      <xdr:rowOff>50582</xdr:rowOff>
    </xdr:to>
    <xdr:sp macro="" textlink="">
      <xdr:nvSpPr>
        <xdr:cNvPr id="31" name="Freccia curva 8">
          <a:extLst>
            <a:ext uri="{FF2B5EF4-FFF2-40B4-BE49-F238E27FC236}">
              <a16:creationId xmlns:a16="http://schemas.microsoft.com/office/drawing/2014/main" id="{00000000-0008-0000-0700-00001F000000}"/>
            </a:ext>
          </a:extLst>
        </xdr:cNvPr>
        <xdr:cNvSpPr/>
      </xdr:nvSpPr>
      <xdr:spPr>
        <a:xfrm flipH="1">
          <a:off x="1645814" y="16967539"/>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94989</xdr:colOff>
      <xdr:row>56</xdr:row>
      <xdr:rowOff>82275</xdr:rowOff>
    </xdr:from>
    <xdr:to>
      <xdr:col>119</xdr:col>
      <xdr:colOff>56903</xdr:colOff>
      <xdr:row>58</xdr:row>
      <xdr:rowOff>91535</xdr:rowOff>
    </xdr:to>
    <xdr:sp macro="" textlink="">
      <xdr:nvSpPr>
        <xdr:cNvPr id="32" name="Freccia a inversione 13">
          <a:extLst>
            <a:ext uri="{FF2B5EF4-FFF2-40B4-BE49-F238E27FC236}">
              <a16:creationId xmlns:a16="http://schemas.microsoft.com/office/drawing/2014/main" id="{00000000-0008-0000-0700-000020000000}"/>
            </a:ext>
          </a:extLst>
        </xdr:cNvPr>
        <xdr:cNvSpPr/>
      </xdr:nvSpPr>
      <xdr:spPr>
        <a:xfrm rot="5400000" flipV="1">
          <a:off x="6695954" y="16141285"/>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58937</xdr:colOff>
      <xdr:row>57</xdr:row>
      <xdr:rowOff>6397</xdr:rowOff>
    </xdr:from>
    <xdr:to>
      <xdr:col>97</xdr:col>
      <xdr:colOff>5058</xdr:colOff>
      <xdr:row>58</xdr:row>
      <xdr:rowOff>9918</xdr:rowOff>
    </xdr:to>
    <xdr:sp macro="" textlink="">
      <xdr:nvSpPr>
        <xdr:cNvPr id="33" name="Freccia in giù 9">
          <a:extLst>
            <a:ext uri="{FF2B5EF4-FFF2-40B4-BE49-F238E27FC236}">
              <a16:creationId xmlns:a16="http://schemas.microsoft.com/office/drawing/2014/main" id="{00000000-0008-0000-0700-000021000000}"/>
            </a:ext>
          </a:extLst>
        </xdr:cNvPr>
        <xdr:cNvSpPr/>
      </xdr:nvSpPr>
      <xdr:spPr>
        <a:xfrm rot="16200000">
          <a:off x="3992637" y="161323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97574</xdr:colOff>
      <xdr:row>51</xdr:row>
      <xdr:rowOff>4645</xdr:rowOff>
    </xdr:from>
    <xdr:to>
      <xdr:col>119</xdr:col>
      <xdr:colOff>43694</xdr:colOff>
      <xdr:row>52</xdr:row>
      <xdr:rowOff>8166</xdr:rowOff>
    </xdr:to>
    <xdr:sp macro="" textlink="">
      <xdr:nvSpPr>
        <xdr:cNvPr id="34" name="Freccia in giù 9">
          <a:extLst>
            <a:ext uri="{FF2B5EF4-FFF2-40B4-BE49-F238E27FC236}">
              <a16:creationId xmlns:a16="http://schemas.microsoft.com/office/drawing/2014/main" id="{00000000-0008-0000-0700-000022000000}"/>
            </a:ext>
          </a:extLst>
        </xdr:cNvPr>
        <xdr:cNvSpPr/>
      </xdr:nvSpPr>
      <xdr:spPr>
        <a:xfrm rot="5400000">
          <a:off x="6755424" y="15387645"/>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41799</xdr:colOff>
      <xdr:row>63</xdr:row>
      <xdr:rowOff>18603</xdr:rowOff>
    </xdr:from>
    <xdr:to>
      <xdr:col>84</xdr:col>
      <xdr:colOff>74730</xdr:colOff>
      <xdr:row>65</xdr:row>
      <xdr:rowOff>42207</xdr:rowOff>
    </xdr:to>
    <xdr:sp macro="" textlink="">
      <xdr:nvSpPr>
        <xdr:cNvPr id="35" name="Freccia curva 7">
          <a:extLst>
            <a:ext uri="{FF2B5EF4-FFF2-40B4-BE49-F238E27FC236}">
              <a16:creationId xmlns:a16="http://schemas.microsoft.com/office/drawing/2014/main" id="{00000000-0008-0000-0700-000023000000}"/>
            </a:ext>
          </a:extLst>
        </xdr:cNvPr>
        <xdr:cNvSpPr/>
      </xdr:nvSpPr>
      <xdr:spPr>
        <a:xfrm>
          <a:off x="2394474" y="169826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65638</xdr:colOff>
      <xdr:row>40</xdr:row>
      <xdr:rowOff>70116</xdr:rowOff>
    </xdr:from>
    <xdr:to>
      <xdr:col>103</xdr:col>
      <xdr:colOff>98570</xdr:colOff>
      <xdr:row>42</xdr:row>
      <xdr:rowOff>92508</xdr:rowOff>
    </xdr:to>
    <xdr:sp macro="" textlink="">
      <xdr:nvSpPr>
        <xdr:cNvPr id="36" name="Freccia curva 7">
          <a:extLst>
            <a:ext uri="{FF2B5EF4-FFF2-40B4-BE49-F238E27FC236}">
              <a16:creationId xmlns:a16="http://schemas.microsoft.com/office/drawing/2014/main" id="{00000000-0008-0000-0700-000024000000}"/>
            </a:ext>
          </a:extLst>
        </xdr:cNvPr>
        <xdr:cNvSpPr/>
      </xdr:nvSpPr>
      <xdr:spPr>
        <a:xfrm rot="10800000">
          <a:off x="4770988" y="14186166"/>
          <a:ext cx="280582" cy="270042"/>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80009</xdr:colOff>
      <xdr:row>47</xdr:row>
      <xdr:rowOff>53281</xdr:rowOff>
    </xdr:from>
    <xdr:to>
      <xdr:col>90</xdr:col>
      <xdr:colOff>103613</xdr:colOff>
      <xdr:row>49</xdr:row>
      <xdr:rowOff>86213</xdr:rowOff>
    </xdr:to>
    <xdr:sp macro="" textlink="">
      <xdr:nvSpPr>
        <xdr:cNvPr id="37" name="Freccia curva 7">
          <a:extLst>
            <a:ext uri="{FF2B5EF4-FFF2-40B4-BE49-F238E27FC236}">
              <a16:creationId xmlns:a16="http://schemas.microsoft.com/office/drawing/2014/main" id="{00000000-0008-0000-0700-000025000000}"/>
            </a:ext>
          </a:extLst>
        </xdr:cNvPr>
        <xdr:cNvSpPr/>
      </xdr:nvSpPr>
      <xdr:spPr>
        <a:xfrm rot="16200000">
          <a:off x="3170970" y="15040770"/>
          <a:ext cx="280582"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107674</xdr:colOff>
      <xdr:row>47</xdr:row>
      <xdr:rowOff>57978</xdr:rowOff>
    </xdr:from>
    <xdr:to>
      <xdr:col>119</xdr:col>
      <xdr:colOff>7038</xdr:colOff>
      <xdr:row>49</xdr:row>
      <xdr:rowOff>90910</xdr:rowOff>
    </xdr:to>
    <xdr:sp macro="" textlink="">
      <xdr:nvSpPr>
        <xdr:cNvPr id="38" name="Freccia curva 7">
          <a:extLst>
            <a:ext uri="{FF2B5EF4-FFF2-40B4-BE49-F238E27FC236}">
              <a16:creationId xmlns:a16="http://schemas.microsoft.com/office/drawing/2014/main" id="{00000000-0008-0000-0700-000026000000}"/>
            </a:ext>
          </a:extLst>
        </xdr:cNvPr>
        <xdr:cNvSpPr/>
      </xdr:nvSpPr>
      <xdr:spPr>
        <a:xfrm rot="16200000">
          <a:off x="6665528" y="15045674"/>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80009</xdr:colOff>
      <xdr:row>25</xdr:row>
      <xdr:rowOff>53281</xdr:rowOff>
    </xdr:from>
    <xdr:to>
      <xdr:col>90</xdr:col>
      <xdr:colOff>103613</xdr:colOff>
      <xdr:row>27</xdr:row>
      <xdr:rowOff>86213</xdr:rowOff>
    </xdr:to>
    <xdr:sp macro="" textlink="">
      <xdr:nvSpPr>
        <xdr:cNvPr id="39" name="Freccia curva 7">
          <a:extLst>
            <a:ext uri="{FF2B5EF4-FFF2-40B4-BE49-F238E27FC236}">
              <a16:creationId xmlns:a16="http://schemas.microsoft.com/office/drawing/2014/main" id="{00000000-0008-0000-0700-000027000000}"/>
            </a:ext>
          </a:extLst>
        </xdr:cNvPr>
        <xdr:cNvSpPr/>
      </xdr:nvSpPr>
      <xdr:spPr>
        <a:xfrm rot="16200000">
          <a:off x="3170970" y="12316620"/>
          <a:ext cx="280582"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53688</xdr:colOff>
      <xdr:row>40</xdr:row>
      <xdr:rowOff>62470</xdr:rowOff>
    </xdr:from>
    <xdr:to>
      <xdr:col>106</xdr:col>
      <xdr:colOff>77017</xdr:colOff>
      <xdr:row>42</xdr:row>
      <xdr:rowOff>109538</xdr:rowOff>
    </xdr:to>
    <xdr:sp macro="" textlink="">
      <xdr:nvSpPr>
        <xdr:cNvPr id="40" name="Freccia curva 8">
          <a:extLst>
            <a:ext uri="{FF2B5EF4-FFF2-40B4-BE49-F238E27FC236}">
              <a16:creationId xmlns:a16="http://schemas.microsoft.com/office/drawing/2014/main" id="{00000000-0008-0000-0700-000028000000}"/>
            </a:ext>
          </a:extLst>
        </xdr:cNvPr>
        <xdr:cNvSpPr/>
      </xdr:nvSpPr>
      <xdr:spPr>
        <a:xfrm rot="10800000" flipH="1">
          <a:off x="5130513" y="14178520"/>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51289</xdr:colOff>
      <xdr:row>53</xdr:row>
      <xdr:rowOff>58615</xdr:rowOff>
    </xdr:from>
    <xdr:to>
      <xdr:col>96</xdr:col>
      <xdr:colOff>116943</xdr:colOff>
      <xdr:row>55</xdr:row>
      <xdr:rowOff>63358</xdr:rowOff>
    </xdr:to>
    <xdr:sp macro="" textlink="">
      <xdr:nvSpPr>
        <xdr:cNvPr id="41" name="Freccia curva 8">
          <a:extLst>
            <a:ext uri="{FF2B5EF4-FFF2-40B4-BE49-F238E27FC236}">
              <a16:creationId xmlns:a16="http://schemas.microsoft.com/office/drawing/2014/main" id="{00000000-0008-0000-0700-000029000000}"/>
            </a:ext>
          </a:extLst>
        </xdr:cNvPr>
        <xdr:cNvSpPr/>
      </xdr:nvSpPr>
      <xdr:spPr>
        <a:xfrm rot="5400000" flipH="1">
          <a:off x="3920319" y="157539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49073</xdr:colOff>
      <xdr:row>40</xdr:row>
      <xdr:rowOff>111530</xdr:rowOff>
    </xdr:from>
    <xdr:to>
      <xdr:col>75</xdr:col>
      <xdr:colOff>82004</xdr:colOff>
      <xdr:row>43</xdr:row>
      <xdr:rowOff>9683</xdr:rowOff>
    </xdr:to>
    <xdr:sp macro="" textlink="">
      <xdr:nvSpPr>
        <xdr:cNvPr id="42" name="Freccia curva 7">
          <a:extLst>
            <a:ext uri="{FF2B5EF4-FFF2-40B4-BE49-F238E27FC236}">
              <a16:creationId xmlns:a16="http://schemas.microsoft.com/office/drawing/2014/main" id="{00000000-0008-0000-0700-00002A000000}"/>
            </a:ext>
          </a:extLst>
        </xdr:cNvPr>
        <xdr:cNvSpPr/>
      </xdr:nvSpPr>
      <xdr:spPr>
        <a:xfrm rot="10800000">
          <a:off x="1287323" y="14227580"/>
          <a:ext cx="280581"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101397</xdr:colOff>
      <xdr:row>40</xdr:row>
      <xdr:rowOff>51932</xdr:rowOff>
    </xdr:from>
    <xdr:to>
      <xdr:col>77</xdr:col>
      <xdr:colOff>114211</xdr:colOff>
      <xdr:row>42</xdr:row>
      <xdr:rowOff>95625</xdr:rowOff>
    </xdr:to>
    <xdr:sp macro="" textlink="">
      <xdr:nvSpPr>
        <xdr:cNvPr id="43" name="Freccia in giù 9">
          <a:extLst>
            <a:ext uri="{FF2B5EF4-FFF2-40B4-BE49-F238E27FC236}">
              <a16:creationId xmlns:a16="http://schemas.microsoft.com/office/drawing/2014/main" id="{00000000-0008-0000-0700-00002B000000}"/>
            </a:ext>
          </a:extLst>
        </xdr:cNvPr>
        <xdr:cNvSpPr/>
      </xdr:nvSpPr>
      <xdr:spPr>
        <a:xfrm>
          <a:off x="1711122" y="14167982"/>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41799</xdr:colOff>
      <xdr:row>35</xdr:row>
      <xdr:rowOff>18603</xdr:rowOff>
    </xdr:from>
    <xdr:to>
      <xdr:col>84</xdr:col>
      <xdr:colOff>74730</xdr:colOff>
      <xdr:row>37</xdr:row>
      <xdr:rowOff>42207</xdr:rowOff>
    </xdr:to>
    <xdr:sp macro="" textlink="">
      <xdr:nvSpPr>
        <xdr:cNvPr id="44" name="Freccia curva 7">
          <a:extLst>
            <a:ext uri="{FF2B5EF4-FFF2-40B4-BE49-F238E27FC236}">
              <a16:creationId xmlns:a16="http://schemas.microsoft.com/office/drawing/2014/main" id="{00000000-0008-0000-0700-00002C000000}"/>
            </a:ext>
          </a:extLst>
        </xdr:cNvPr>
        <xdr:cNvSpPr/>
      </xdr:nvSpPr>
      <xdr:spPr>
        <a:xfrm>
          <a:off x="2394474" y="13515528"/>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28</xdr:row>
      <xdr:rowOff>136072</xdr:rowOff>
    </xdr:from>
    <xdr:to>
      <xdr:col>91</xdr:col>
      <xdr:colOff>55717</xdr:colOff>
      <xdr:row>30</xdr:row>
      <xdr:rowOff>82778</xdr:rowOff>
    </xdr:to>
    <xdr:sp macro="" textlink="">
      <xdr:nvSpPr>
        <xdr:cNvPr id="45" name="Freccia curva 66">
          <a:extLst>
            <a:ext uri="{FF2B5EF4-FFF2-40B4-BE49-F238E27FC236}">
              <a16:creationId xmlns:a16="http://schemas.microsoft.com/office/drawing/2014/main" id="{00000000-0008-0000-0700-00002D000000}"/>
            </a:ext>
          </a:extLst>
        </xdr:cNvPr>
        <xdr:cNvSpPr/>
      </xdr:nvSpPr>
      <xdr:spPr>
        <a:xfrm rot="16200000" flipH="1">
          <a:off x="3269193" y="127069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28</xdr:row>
      <xdr:rowOff>136072</xdr:rowOff>
    </xdr:from>
    <xdr:to>
      <xdr:col>91</xdr:col>
      <xdr:colOff>55717</xdr:colOff>
      <xdr:row>30</xdr:row>
      <xdr:rowOff>82778</xdr:rowOff>
    </xdr:to>
    <xdr:sp macro="" textlink="">
      <xdr:nvSpPr>
        <xdr:cNvPr id="46" name="Freccia curva 66">
          <a:extLst>
            <a:ext uri="{FF2B5EF4-FFF2-40B4-BE49-F238E27FC236}">
              <a16:creationId xmlns:a16="http://schemas.microsoft.com/office/drawing/2014/main" id="{00000000-0008-0000-0700-00002E000000}"/>
            </a:ext>
          </a:extLst>
        </xdr:cNvPr>
        <xdr:cNvSpPr/>
      </xdr:nvSpPr>
      <xdr:spPr>
        <a:xfrm rot="16200000" flipH="1">
          <a:off x="3269193" y="127069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28</xdr:row>
      <xdr:rowOff>136072</xdr:rowOff>
    </xdr:from>
    <xdr:to>
      <xdr:col>91</xdr:col>
      <xdr:colOff>55717</xdr:colOff>
      <xdr:row>30</xdr:row>
      <xdr:rowOff>82778</xdr:rowOff>
    </xdr:to>
    <xdr:sp macro="" textlink="">
      <xdr:nvSpPr>
        <xdr:cNvPr id="47" name="Freccia curva 66">
          <a:extLst>
            <a:ext uri="{FF2B5EF4-FFF2-40B4-BE49-F238E27FC236}">
              <a16:creationId xmlns:a16="http://schemas.microsoft.com/office/drawing/2014/main" id="{00000000-0008-0000-0700-00002F000000}"/>
            </a:ext>
          </a:extLst>
        </xdr:cNvPr>
        <xdr:cNvSpPr/>
      </xdr:nvSpPr>
      <xdr:spPr>
        <a:xfrm rot="16200000" flipH="1">
          <a:off x="3269193" y="127069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28</xdr:row>
      <xdr:rowOff>136072</xdr:rowOff>
    </xdr:from>
    <xdr:to>
      <xdr:col>91</xdr:col>
      <xdr:colOff>55717</xdr:colOff>
      <xdr:row>30</xdr:row>
      <xdr:rowOff>82778</xdr:rowOff>
    </xdr:to>
    <xdr:sp macro="" textlink="">
      <xdr:nvSpPr>
        <xdr:cNvPr id="48" name="Freccia curva 66">
          <a:extLst>
            <a:ext uri="{FF2B5EF4-FFF2-40B4-BE49-F238E27FC236}">
              <a16:creationId xmlns:a16="http://schemas.microsoft.com/office/drawing/2014/main" id="{00000000-0008-0000-0700-000030000000}"/>
            </a:ext>
          </a:extLst>
        </xdr:cNvPr>
        <xdr:cNvSpPr/>
      </xdr:nvSpPr>
      <xdr:spPr>
        <a:xfrm rot="16200000" flipH="1">
          <a:off x="3269193" y="127069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114300</xdr:colOff>
      <xdr:row>68</xdr:row>
      <xdr:rowOff>19050</xdr:rowOff>
    </xdr:from>
    <xdr:to>
      <xdr:col>122</xdr:col>
      <xdr:colOff>57149</xdr:colOff>
      <xdr:row>72</xdr:row>
      <xdr:rowOff>0</xdr:rowOff>
    </xdr:to>
    <xdr:sp macro="" textlink="">
      <xdr:nvSpPr>
        <xdr:cNvPr id="49" name="Right Arrow 48">
          <a:hlinkClick xmlns:r="http://schemas.openxmlformats.org/officeDocument/2006/relationships" r:id="rId2"/>
          <a:extLst>
            <a:ext uri="{FF2B5EF4-FFF2-40B4-BE49-F238E27FC236}">
              <a16:creationId xmlns:a16="http://schemas.microsoft.com/office/drawing/2014/main" id="{00000000-0008-0000-0700-000031000000}"/>
            </a:ext>
          </a:extLst>
        </xdr:cNvPr>
        <xdr:cNvSpPr/>
      </xdr:nvSpPr>
      <xdr:spPr>
        <a:xfrm>
          <a:off x="6219825" y="1751647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76200</xdr:colOff>
      <xdr:row>23</xdr:row>
      <xdr:rowOff>9525</xdr:rowOff>
    </xdr:from>
    <xdr:to>
      <xdr:col>58</xdr:col>
      <xdr:colOff>57151</xdr:colOff>
      <xdr:row>69</xdr:row>
      <xdr:rowOff>94905</xdr:rowOff>
    </xdr:to>
    <xdr:pic>
      <xdr:nvPicPr>
        <xdr:cNvPr id="51" name="Picture 50" descr="Quadrant-Model.jpg">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 cstate="print"/>
        <a:stretch>
          <a:fillRect/>
        </a:stretch>
      </xdr:blipFill>
      <xdr:spPr>
        <a:xfrm rot="10800000">
          <a:off x="1724025" y="2857500"/>
          <a:ext cx="5429251" cy="5781330"/>
        </a:xfrm>
        <a:prstGeom prst="rect">
          <a:avLst/>
        </a:prstGeom>
      </xdr:spPr>
    </xdr:pic>
    <xdr:clientData/>
  </xdr:twoCellAnchor>
  <xdr:oneCellAnchor>
    <xdr:from>
      <xdr:col>44</xdr:col>
      <xdr:colOff>3610</xdr:colOff>
      <xdr:row>13</xdr:row>
      <xdr:rowOff>28575</xdr:rowOff>
    </xdr:from>
    <xdr:ext cx="1226796" cy="356537"/>
    <xdr:sp macro="" textlink="">
      <xdr:nvSpPr>
        <xdr:cNvPr id="3" name="Rectangle 2">
          <a:extLst>
            <a:ext uri="{FF2B5EF4-FFF2-40B4-BE49-F238E27FC236}">
              <a16:creationId xmlns:a16="http://schemas.microsoft.com/office/drawing/2014/main" id="{00000000-0008-0000-0800-000003000000}"/>
            </a:ext>
          </a:extLst>
        </xdr:cNvPr>
        <xdr:cNvSpPr/>
      </xdr:nvSpPr>
      <xdr:spPr>
        <a:xfrm>
          <a:off x="5328085" y="1638300"/>
          <a:ext cx="1226796" cy="356537"/>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1</xdr:col>
      <xdr:colOff>122953</xdr:colOff>
      <xdr:row>19</xdr:row>
      <xdr:rowOff>78442</xdr:rowOff>
    </xdr:from>
    <xdr:ext cx="1231277" cy="419290"/>
    <xdr:sp macro="" textlink="">
      <xdr:nvSpPr>
        <xdr:cNvPr id="4" name="Rectangle 3">
          <a:extLst>
            <a:ext uri="{FF2B5EF4-FFF2-40B4-BE49-F238E27FC236}">
              <a16:creationId xmlns:a16="http://schemas.microsoft.com/office/drawing/2014/main" id="{00000000-0008-0000-0800-000004000000}"/>
            </a:ext>
          </a:extLst>
        </xdr:cNvPr>
        <xdr:cNvSpPr/>
      </xdr:nvSpPr>
      <xdr:spPr>
        <a:xfrm>
          <a:off x="122953" y="2431117"/>
          <a:ext cx="1231277" cy="41929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1</xdr:col>
      <xdr:colOff>114328</xdr:colOff>
      <xdr:row>58</xdr:row>
      <xdr:rowOff>31135</xdr:rowOff>
    </xdr:from>
    <xdr:ext cx="1235761" cy="313954"/>
    <xdr:sp macro="" textlink="">
      <xdr:nvSpPr>
        <xdr:cNvPr id="5" name="Rectangle 4">
          <a:extLst>
            <a:ext uri="{FF2B5EF4-FFF2-40B4-BE49-F238E27FC236}">
              <a16:creationId xmlns:a16="http://schemas.microsoft.com/office/drawing/2014/main" id="{00000000-0008-0000-0800-000005000000}"/>
            </a:ext>
          </a:extLst>
        </xdr:cNvPr>
        <xdr:cNvSpPr/>
      </xdr:nvSpPr>
      <xdr:spPr>
        <a:xfrm>
          <a:off x="114328" y="7212985"/>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11</xdr:col>
      <xdr:colOff>114300</xdr:colOff>
      <xdr:row>22</xdr:row>
      <xdr:rowOff>104775</xdr:rowOff>
    </xdr:from>
    <xdr:to>
      <xdr:col>22</xdr:col>
      <xdr:colOff>25645</xdr:colOff>
      <xdr:row>29</xdr:row>
      <xdr:rowOff>4352</xdr:rowOff>
    </xdr:to>
    <xdr:cxnSp macro="">
      <xdr:nvCxnSpPr>
        <xdr:cNvPr id="6" name="Straight Connector 5">
          <a:extLst>
            <a:ext uri="{FF2B5EF4-FFF2-40B4-BE49-F238E27FC236}">
              <a16:creationId xmlns:a16="http://schemas.microsoft.com/office/drawing/2014/main" id="{00000000-0008-0000-0800-000006000000}"/>
            </a:ext>
          </a:extLst>
        </xdr:cNvPr>
        <xdr:cNvCxnSpPr>
          <a:stCxn id="7" idx="1"/>
        </xdr:cNvCxnSpPr>
      </xdr:nvCxnSpPr>
      <xdr:spPr>
        <a:xfrm rot="16200000" flipV="1">
          <a:off x="1606084" y="2575391"/>
          <a:ext cx="766352" cy="1273420"/>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0</xdr:colOff>
      <xdr:row>28</xdr:row>
      <xdr:rowOff>101459</xdr:rowOff>
    </xdr:from>
    <xdr:to>
      <xdr:col>23</xdr:col>
      <xdr:colOff>51288</xdr:colOff>
      <xdr:row>30</xdr:row>
      <xdr:rowOff>36249</xdr:rowOff>
    </xdr:to>
    <xdr:sp macro="" textlink="">
      <xdr:nvSpPr>
        <xdr:cNvPr id="7" name="Oval 6">
          <a:extLst>
            <a:ext uri="{FF2B5EF4-FFF2-40B4-BE49-F238E27FC236}">
              <a16:creationId xmlns:a16="http://schemas.microsoft.com/office/drawing/2014/main" id="{00000000-0008-0000-0800-000007000000}"/>
            </a:ext>
          </a:extLst>
        </xdr:cNvPr>
        <xdr:cNvSpPr/>
      </xdr:nvSpPr>
      <xdr:spPr>
        <a:xfrm>
          <a:off x="2600325" y="356855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11</xdr:col>
      <xdr:colOff>95251</xdr:colOff>
      <xdr:row>60</xdr:row>
      <xdr:rowOff>106954</xdr:rowOff>
    </xdr:from>
    <xdr:to>
      <xdr:col>23</xdr:col>
      <xdr:colOff>9528</xdr:colOff>
      <xdr:row>60</xdr:row>
      <xdr:rowOff>114300</xdr:rowOff>
    </xdr:to>
    <xdr:cxnSp macro="">
      <xdr:nvCxnSpPr>
        <xdr:cNvPr id="8" name="Straight Connector 7">
          <a:extLst>
            <a:ext uri="{FF2B5EF4-FFF2-40B4-BE49-F238E27FC236}">
              <a16:creationId xmlns:a16="http://schemas.microsoft.com/office/drawing/2014/main" id="{00000000-0008-0000-0800-000008000000}"/>
            </a:ext>
          </a:extLst>
        </xdr:cNvPr>
        <xdr:cNvCxnSpPr/>
      </xdr:nvCxnSpPr>
      <xdr:spPr>
        <a:xfrm rot="10800000" flipV="1">
          <a:off x="1371601" y="7536454"/>
          <a:ext cx="1400177" cy="7346"/>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23</xdr:col>
      <xdr:colOff>66675</xdr:colOff>
      <xdr:row>60</xdr:row>
      <xdr:rowOff>15734</xdr:rowOff>
    </xdr:from>
    <xdr:to>
      <xdr:col>24</xdr:col>
      <xdr:colOff>117963</xdr:colOff>
      <xdr:row>61</xdr:row>
      <xdr:rowOff>74349</xdr:rowOff>
    </xdr:to>
    <xdr:sp macro="" textlink="">
      <xdr:nvSpPr>
        <xdr:cNvPr id="9" name="Oval 8">
          <a:extLst>
            <a:ext uri="{FF2B5EF4-FFF2-40B4-BE49-F238E27FC236}">
              <a16:creationId xmlns:a16="http://schemas.microsoft.com/office/drawing/2014/main" id="{00000000-0008-0000-0800-000009000000}"/>
            </a:ext>
          </a:extLst>
        </xdr:cNvPr>
        <xdr:cNvSpPr/>
      </xdr:nvSpPr>
      <xdr:spPr>
        <a:xfrm>
          <a:off x="2828925" y="7445234"/>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43</xdr:col>
      <xdr:colOff>104776</xdr:colOff>
      <xdr:row>22</xdr:row>
      <xdr:rowOff>0</xdr:rowOff>
    </xdr:from>
    <xdr:to>
      <xdr:col>52</xdr:col>
      <xdr:colOff>51319</xdr:colOff>
      <xdr:row>30</xdr:row>
      <xdr:rowOff>32927</xdr:rowOff>
    </xdr:to>
    <xdr:cxnSp macro="">
      <xdr:nvCxnSpPr>
        <xdr:cNvPr id="10" name="Straight Connector 9">
          <a:extLst>
            <a:ext uri="{FF2B5EF4-FFF2-40B4-BE49-F238E27FC236}">
              <a16:creationId xmlns:a16="http://schemas.microsoft.com/office/drawing/2014/main" id="{00000000-0008-0000-0800-00000A000000}"/>
            </a:ext>
          </a:extLst>
        </xdr:cNvPr>
        <xdr:cNvCxnSpPr>
          <a:stCxn id="11" idx="1"/>
        </xdr:cNvCxnSpPr>
      </xdr:nvCxnSpPr>
      <xdr:spPr>
        <a:xfrm rot="16200000" flipV="1">
          <a:off x="5362246" y="2705430"/>
          <a:ext cx="1023527" cy="1060968"/>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52</xdr:col>
      <xdr:colOff>25673</xdr:colOff>
      <xdr:row>30</xdr:row>
      <xdr:rowOff>6209</xdr:rowOff>
    </xdr:from>
    <xdr:to>
      <xdr:col>53</xdr:col>
      <xdr:colOff>76961</xdr:colOff>
      <xdr:row>31</xdr:row>
      <xdr:rowOff>64824</xdr:rowOff>
    </xdr:to>
    <xdr:sp macro="" textlink="">
      <xdr:nvSpPr>
        <xdr:cNvPr id="11" name="Oval 10">
          <a:extLst>
            <a:ext uri="{FF2B5EF4-FFF2-40B4-BE49-F238E27FC236}">
              <a16:creationId xmlns:a16="http://schemas.microsoft.com/office/drawing/2014/main" id="{00000000-0008-0000-0800-00000B000000}"/>
            </a:ext>
          </a:extLst>
        </xdr:cNvPr>
        <xdr:cNvSpPr/>
      </xdr:nvSpPr>
      <xdr:spPr>
        <a:xfrm>
          <a:off x="6378848" y="3720959"/>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79</xdr:col>
      <xdr:colOff>96216</xdr:colOff>
      <xdr:row>33</xdr:row>
      <xdr:rowOff>91783</xdr:rowOff>
    </xdr:from>
    <xdr:to>
      <xdr:col>80</xdr:col>
      <xdr:colOff>109029</xdr:colOff>
      <xdr:row>36</xdr:row>
      <xdr:rowOff>10025</xdr:rowOff>
    </xdr:to>
    <xdr:sp macro="" textlink="">
      <xdr:nvSpPr>
        <xdr:cNvPr id="12" name="Freccia in giù 9">
          <a:extLst>
            <a:ext uri="{FF2B5EF4-FFF2-40B4-BE49-F238E27FC236}">
              <a16:creationId xmlns:a16="http://schemas.microsoft.com/office/drawing/2014/main" id="{00000000-0008-0000-0800-00000C000000}"/>
            </a:ext>
          </a:extLst>
        </xdr:cNvPr>
        <xdr:cNvSpPr/>
      </xdr:nvSpPr>
      <xdr:spPr>
        <a:xfrm rot="10800000">
          <a:off x="2077416" y="133410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74</xdr:col>
      <xdr:colOff>103195</xdr:colOff>
      <xdr:row>49</xdr:row>
      <xdr:rowOff>41319</xdr:rowOff>
    </xdr:from>
    <xdr:ext cx="963800" cy="311715"/>
    <xdr:sp macro="" textlink="">
      <xdr:nvSpPr>
        <xdr:cNvPr id="13" name="Rectangle 12">
          <a:extLst>
            <a:ext uri="{FF2B5EF4-FFF2-40B4-BE49-F238E27FC236}">
              <a16:creationId xmlns:a16="http://schemas.microsoft.com/office/drawing/2014/main" id="{00000000-0008-0000-0800-00000D000000}"/>
            </a:ext>
          </a:extLst>
        </xdr:cNvPr>
        <xdr:cNvSpPr/>
      </xdr:nvSpPr>
      <xdr:spPr>
        <a:xfrm>
          <a:off x="1503370" y="15309894"/>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2</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79</xdr:col>
      <xdr:colOff>53688</xdr:colOff>
      <xdr:row>11</xdr:row>
      <xdr:rowOff>62470</xdr:rowOff>
    </xdr:from>
    <xdr:to>
      <xdr:col>81</xdr:col>
      <xdr:colOff>77017</xdr:colOff>
      <xdr:row>13</xdr:row>
      <xdr:rowOff>109538</xdr:rowOff>
    </xdr:to>
    <xdr:sp macro="" textlink="">
      <xdr:nvSpPr>
        <xdr:cNvPr id="14" name="Freccia curva 8">
          <a:extLst>
            <a:ext uri="{FF2B5EF4-FFF2-40B4-BE49-F238E27FC236}">
              <a16:creationId xmlns:a16="http://schemas.microsoft.com/office/drawing/2014/main" id="{00000000-0008-0000-0800-00000E000000}"/>
            </a:ext>
          </a:extLst>
        </xdr:cNvPr>
        <xdr:cNvSpPr/>
      </xdr:nvSpPr>
      <xdr:spPr>
        <a:xfrm rot="10800000" flipH="1">
          <a:off x="2034888" y="105875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55058</xdr:colOff>
      <xdr:row>11</xdr:row>
      <xdr:rowOff>67264</xdr:rowOff>
    </xdr:from>
    <xdr:to>
      <xdr:col>84</xdr:col>
      <xdr:colOff>84922</xdr:colOff>
      <xdr:row>13</xdr:row>
      <xdr:rowOff>123518</xdr:rowOff>
    </xdr:to>
    <xdr:sp macro="" textlink="">
      <xdr:nvSpPr>
        <xdr:cNvPr id="15" name="Freccia a inversione 13">
          <a:extLst>
            <a:ext uri="{FF2B5EF4-FFF2-40B4-BE49-F238E27FC236}">
              <a16:creationId xmlns:a16="http://schemas.microsoft.com/office/drawing/2014/main" id="{00000000-0008-0000-0800-00000F000000}"/>
            </a:ext>
          </a:extLst>
        </xdr:cNvPr>
        <xdr:cNvSpPr/>
      </xdr:nvSpPr>
      <xdr:spPr>
        <a:xfrm flipV="1">
          <a:off x="2407733" y="10592389"/>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101397</xdr:colOff>
      <xdr:row>11</xdr:row>
      <xdr:rowOff>51932</xdr:rowOff>
    </xdr:from>
    <xdr:to>
      <xdr:col>77</xdr:col>
      <xdr:colOff>114211</xdr:colOff>
      <xdr:row>13</xdr:row>
      <xdr:rowOff>95625</xdr:rowOff>
    </xdr:to>
    <xdr:sp macro="" textlink="">
      <xdr:nvSpPr>
        <xdr:cNvPr id="16" name="Freccia in giù 9">
          <a:extLst>
            <a:ext uri="{FF2B5EF4-FFF2-40B4-BE49-F238E27FC236}">
              <a16:creationId xmlns:a16="http://schemas.microsoft.com/office/drawing/2014/main" id="{00000000-0008-0000-0800-000010000000}"/>
            </a:ext>
          </a:extLst>
        </xdr:cNvPr>
        <xdr:cNvSpPr/>
      </xdr:nvSpPr>
      <xdr:spPr>
        <a:xfrm>
          <a:off x="1711122" y="105770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32507</xdr:colOff>
      <xdr:row>11</xdr:row>
      <xdr:rowOff>111530</xdr:rowOff>
    </xdr:from>
    <xdr:to>
      <xdr:col>75</xdr:col>
      <xdr:colOff>65439</xdr:colOff>
      <xdr:row>14</xdr:row>
      <xdr:rowOff>9683</xdr:rowOff>
    </xdr:to>
    <xdr:sp macro="" textlink="">
      <xdr:nvSpPr>
        <xdr:cNvPr id="17" name="Freccia curva 7">
          <a:extLst>
            <a:ext uri="{FF2B5EF4-FFF2-40B4-BE49-F238E27FC236}">
              <a16:creationId xmlns:a16="http://schemas.microsoft.com/office/drawing/2014/main" id="{00000000-0008-0000-0800-000011000000}"/>
            </a:ext>
          </a:extLst>
        </xdr:cNvPr>
        <xdr:cNvSpPr/>
      </xdr:nvSpPr>
      <xdr:spPr>
        <a:xfrm rot="10800000">
          <a:off x="1270757" y="106366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66020</xdr:colOff>
      <xdr:row>18</xdr:row>
      <xdr:rowOff>58156</xdr:rowOff>
    </xdr:from>
    <xdr:to>
      <xdr:col>69</xdr:col>
      <xdr:colOff>24702</xdr:colOff>
      <xdr:row>20</xdr:row>
      <xdr:rowOff>69436</xdr:rowOff>
    </xdr:to>
    <xdr:sp macro="" textlink="">
      <xdr:nvSpPr>
        <xdr:cNvPr id="18" name="Freccia a inversione 13">
          <a:extLst>
            <a:ext uri="{FF2B5EF4-FFF2-40B4-BE49-F238E27FC236}">
              <a16:creationId xmlns:a16="http://schemas.microsoft.com/office/drawing/2014/main" id="{00000000-0008-0000-0800-000012000000}"/>
            </a:ext>
          </a:extLst>
        </xdr:cNvPr>
        <xdr:cNvSpPr/>
      </xdr:nvSpPr>
      <xdr:spPr>
        <a:xfrm rot="16200000" flipV="1">
          <a:off x="473109" y="114144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51289</xdr:colOff>
      <xdr:row>21</xdr:row>
      <xdr:rowOff>58615</xdr:rowOff>
    </xdr:from>
    <xdr:to>
      <xdr:col>68</xdr:col>
      <xdr:colOff>116943</xdr:colOff>
      <xdr:row>23</xdr:row>
      <xdr:rowOff>63358</xdr:rowOff>
    </xdr:to>
    <xdr:sp macro="" textlink="">
      <xdr:nvSpPr>
        <xdr:cNvPr id="19" name="Freccia curva 8">
          <a:extLst>
            <a:ext uri="{FF2B5EF4-FFF2-40B4-BE49-F238E27FC236}">
              <a16:creationId xmlns:a16="http://schemas.microsoft.com/office/drawing/2014/main" id="{00000000-0008-0000-0800-000013000000}"/>
            </a:ext>
          </a:extLst>
        </xdr:cNvPr>
        <xdr:cNvSpPr/>
      </xdr:nvSpPr>
      <xdr:spPr>
        <a:xfrm rot="5400000" flipH="1">
          <a:off x="453219" y="117915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73270</xdr:colOff>
      <xdr:row>27</xdr:row>
      <xdr:rowOff>80596</xdr:rowOff>
    </xdr:from>
    <xdr:to>
      <xdr:col>68</xdr:col>
      <xdr:colOff>134510</xdr:colOff>
      <xdr:row>29</xdr:row>
      <xdr:rowOff>94943</xdr:rowOff>
    </xdr:to>
    <xdr:sp macro="" textlink="">
      <xdr:nvSpPr>
        <xdr:cNvPr id="20" name="Freccia curva 7">
          <a:extLst>
            <a:ext uri="{FF2B5EF4-FFF2-40B4-BE49-F238E27FC236}">
              <a16:creationId xmlns:a16="http://schemas.microsoft.com/office/drawing/2014/main" id="{00000000-0008-0000-0800-000014000000}"/>
            </a:ext>
          </a:extLst>
        </xdr:cNvPr>
        <xdr:cNvSpPr/>
      </xdr:nvSpPr>
      <xdr:spPr>
        <a:xfrm rot="5400000">
          <a:off x="463429" y="125682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4024</xdr:colOff>
      <xdr:row>21</xdr:row>
      <xdr:rowOff>46922</xdr:rowOff>
    </xdr:from>
    <xdr:ext cx="963800" cy="311715"/>
    <xdr:sp macro="" textlink="">
      <xdr:nvSpPr>
        <xdr:cNvPr id="21" name="Rectangle 20">
          <a:extLst>
            <a:ext uri="{FF2B5EF4-FFF2-40B4-BE49-F238E27FC236}">
              <a16:creationId xmlns:a16="http://schemas.microsoft.com/office/drawing/2014/main" id="{00000000-0008-0000-0800-000015000000}"/>
            </a:ext>
          </a:extLst>
        </xdr:cNvPr>
        <xdr:cNvSpPr/>
      </xdr:nvSpPr>
      <xdr:spPr>
        <a:xfrm>
          <a:off x="1528024" y="118483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76</xdr:col>
      <xdr:colOff>61970</xdr:colOff>
      <xdr:row>39</xdr:row>
      <xdr:rowOff>103883</xdr:rowOff>
    </xdr:from>
    <xdr:to>
      <xdr:col>78</xdr:col>
      <xdr:colOff>85299</xdr:colOff>
      <xdr:row>42</xdr:row>
      <xdr:rowOff>26712</xdr:rowOff>
    </xdr:to>
    <xdr:sp macro="" textlink="">
      <xdr:nvSpPr>
        <xdr:cNvPr id="22" name="Freccia curva 8">
          <a:extLst>
            <a:ext uri="{FF2B5EF4-FFF2-40B4-BE49-F238E27FC236}">
              <a16:creationId xmlns:a16="http://schemas.microsoft.com/office/drawing/2014/main" id="{00000000-0008-0000-0800-000016000000}"/>
            </a:ext>
          </a:extLst>
        </xdr:cNvPr>
        <xdr:cNvSpPr/>
      </xdr:nvSpPr>
      <xdr:spPr>
        <a:xfrm rot="10800000" flipH="1">
          <a:off x="1671695" y="14096108"/>
          <a:ext cx="270979" cy="294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58937</xdr:colOff>
      <xdr:row>25</xdr:row>
      <xdr:rowOff>6397</xdr:rowOff>
    </xdr:from>
    <xdr:to>
      <xdr:col>69</xdr:col>
      <xdr:colOff>5058</xdr:colOff>
      <xdr:row>26</xdr:row>
      <xdr:rowOff>9918</xdr:rowOff>
    </xdr:to>
    <xdr:sp macro="" textlink="">
      <xdr:nvSpPr>
        <xdr:cNvPr id="23" name="Freccia in giù 9">
          <a:extLst>
            <a:ext uri="{FF2B5EF4-FFF2-40B4-BE49-F238E27FC236}">
              <a16:creationId xmlns:a16="http://schemas.microsoft.com/office/drawing/2014/main" id="{00000000-0008-0000-0800-000017000000}"/>
            </a:ext>
          </a:extLst>
        </xdr:cNvPr>
        <xdr:cNvSpPr/>
      </xdr:nvSpPr>
      <xdr:spPr>
        <a:xfrm rot="16200000">
          <a:off x="525537" y="121699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97574</xdr:colOff>
      <xdr:row>22</xdr:row>
      <xdr:rowOff>4645</xdr:rowOff>
    </xdr:from>
    <xdr:to>
      <xdr:col>91</xdr:col>
      <xdr:colOff>43694</xdr:colOff>
      <xdr:row>23</xdr:row>
      <xdr:rowOff>8166</xdr:rowOff>
    </xdr:to>
    <xdr:sp macro="" textlink="">
      <xdr:nvSpPr>
        <xdr:cNvPr id="24" name="Freccia in giù 9">
          <a:extLst>
            <a:ext uri="{FF2B5EF4-FFF2-40B4-BE49-F238E27FC236}">
              <a16:creationId xmlns:a16="http://schemas.microsoft.com/office/drawing/2014/main" id="{00000000-0008-0000-0800-000018000000}"/>
            </a:ext>
          </a:extLst>
        </xdr:cNvPr>
        <xdr:cNvSpPr/>
      </xdr:nvSpPr>
      <xdr:spPr>
        <a:xfrm rot="5400000">
          <a:off x="3288324" y="117967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24</xdr:row>
      <xdr:rowOff>136072</xdr:rowOff>
    </xdr:from>
    <xdr:to>
      <xdr:col>119</xdr:col>
      <xdr:colOff>55717</xdr:colOff>
      <xdr:row>26</xdr:row>
      <xdr:rowOff>82778</xdr:rowOff>
    </xdr:to>
    <xdr:sp macro="" textlink="">
      <xdr:nvSpPr>
        <xdr:cNvPr id="25" name="Freccia curva 66">
          <a:extLst>
            <a:ext uri="{FF2B5EF4-FFF2-40B4-BE49-F238E27FC236}">
              <a16:creationId xmlns:a16="http://schemas.microsoft.com/office/drawing/2014/main" id="{00000000-0008-0000-0800-000019000000}"/>
            </a:ext>
          </a:extLst>
        </xdr:cNvPr>
        <xdr:cNvSpPr/>
      </xdr:nvSpPr>
      <xdr:spPr>
        <a:xfrm rot="16200000" flipH="1">
          <a:off x="6736293" y="122116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24</xdr:row>
      <xdr:rowOff>136072</xdr:rowOff>
    </xdr:from>
    <xdr:to>
      <xdr:col>119</xdr:col>
      <xdr:colOff>55717</xdr:colOff>
      <xdr:row>26</xdr:row>
      <xdr:rowOff>82778</xdr:rowOff>
    </xdr:to>
    <xdr:sp macro="" textlink="">
      <xdr:nvSpPr>
        <xdr:cNvPr id="26" name="Freccia curva 66">
          <a:extLst>
            <a:ext uri="{FF2B5EF4-FFF2-40B4-BE49-F238E27FC236}">
              <a16:creationId xmlns:a16="http://schemas.microsoft.com/office/drawing/2014/main" id="{00000000-0008-0000-0800-00001A000000}"/>
            </a:ext>
          </a:extLst>
        </xdr:cNvPr>
        <xdr:cNvSpPr/>
      </xdr:nvSpPr>
      <xdr:spPr>
        <a:xfrm rot="16200000" flipH="1">
          <a:off x="6736293" y="122116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24</xdr:row>
      <xdr:rowOff>136072</xdr:rowOff>
    </xdr:from>
    <xdr:to>
      <xdr:col>119</xdr:col>
      <xdr:colOff>55717</xdr:colOff>
      <xdr:row>26</xdr:row>
      <xdr:rowOff>82778</xdr:rowOff>
    </xdr:to>
    <xdr:sp macro="" textlink="">
      <xdr:nvSpPr>
        <xdr:cNvPr id="27" name="Freccia curva 66">
          <a:extLst>
            <a:ext uri="{FF2B5EF4-FFF2-40B4-BE49-F238E27FC236}">
              <a16:creationId xmlns:a16="http://schemas.microsoft.com/office/drawing/2014/main" id="{00000000-0008-0000-0800-00001B000000}"/>
            </a:ext>
          </a:extLst>
        </xdr:cNvPr>
        <xdr:cNvSpPr/>
      </xdr:nvSpPr>
      <xdr:spPr>
        <a:xfrm rot="16200000" flipH="1">
          <a:off x="6736293" y="122116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24</xdr:row>
      <xdr:rowOff>136072</xdr:rowOff>
    </xdr:from>
    <xdr:to>
      <xdr:col>119</xdr:col>
      <xdr:colOff>55717</xdr:colOff>
      <xdr:row>26</xdr:row>
      <xdr:rowOff>82778</xdr:rowOff>
    </xdr:to>
    <xdr:sp macro="" textlink="">
      <xdr:nvSpPr>
        <xdr:cNvPr id="28" name="Freccia curva 66">
          <a:extLst>
            <a:ext uri="{FF2B5EF4-FFF2-40B4-BE49-F238E27FC236}">
              <a16:creationId xmlns:a16="http://schemas.microsoft.com/office/drawing/2014/main" id="{00000000-0008-0000-0800-00001C000000}"/>
            </a:ext>
          </a:extLst>
        </xdr:cNvPr>
        <xdr:cNvSpPr/>
      </xdr:nvSpPr>
      <xdr:spPr>
        <a:xfrm rot="16200000" flipH="1">
          <a:off x="6736293" y="122116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79</xdr:col>
      <xdr:colOff>96216</xdr:colOff>
      <xdr:row>61</xdr:row>
      <xdr:rowOff>91783</xdr:rowOff>
    </xdr:from>
    <xdr:to>
      <xdr:col>80</xdr:col>
      <xdr:colOff>109029</xdr:colOff>
      <xdr:row>64</xdr:row>
      <xdr:rowOff>10025</xdr:rowOff>
    </xdr:to>
    <xdr:sp macro="" textlink="">
      <xdr:nvSpPr>
        <xdr:cNvPr id="29" name="Freccia in giù 9">
          <a:extLst>
            <a:ext uri="{FF2B5EF4-FFF2-40B4-BE49-F238E27FC236}">
              <a16:creationId xmlns:a16="http://schemas.microsoft.com/office/drawing/2014/main" id="{00000000-0008-0000-0800-00001D000000}"/>
            </a:ext>
          </a:extLst>
        </xdr:cNvPr>
        <xdr:cNvSpPr/>
      </xdr:nvSpPr>
      <xdr:spPr>
        <a:xfrm rot="10800000">
          <a:off x="2077416" y="168081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103</xdr:col>
      <xdr:colOff>13549</xdr:colOff>
      <xdr:row>21</xdr:row>
      <xdr:rowOff>46922</xdr:rowOff>
    </xdr:from>
    <xdr:ext cx="963800" cy="311715"/>
    <xdr:sp macro="" textlink="">
      <xdr:nvSpPr>
        <xdr:cNvPr id="30" name="Rectangle 29">
          <a:extLst>
            <a:ext uri="{FF2B5EF4-FFF2-40B4-BE49-F238E27FC236}">
              <a16:creationId xmlns:a16="http://schemas.microsoft.com/office/drawing/2014/main" id="{00000000-0008-0000-0800-00001E000000}"/>
            </a:ext>
          </a:extLst>
        </xdr:cNvPr>
        <xdr:cNvSpPr/>
      </xdr:nvSpPr>
      <xdr:spPr>
        <a:xfrm>
          <a:off x="5004649" y="1184839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3</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73</xdr:col>
      <xdr:colOff>46691</xdr:colOff>
      <xdr:row>61</xdr:row>
      <xdr:rowOff>118493</xdr:rowOff>
    </xdr:from>
    <xdr:to>
      <xdr:col>75</xdr:col>
      <xdr:colOff>74536</xdr:colOff>
      <xdr:row>64</xdr:row>
      <xdr:rowOff>52529</xdr:rowOff>
    </xdr:to>
    <xdr:sp macro="" textlink="">
      <xdr:nvSpPr>
        <xdr:cNvPr id="31" name="Freccia a inversione 13">
          <a:extLst>
            <a:ext uri="{FF2B5EF4-FFF2-40B4-BE49-F238E27FC236}">
              <a16:creationId xmlns:a16="http://schemas.microsoft.com/office/drawing/2014/main" id="{00000000-0008-0000-0800-00001F000000}"/>
            </a:ext>
          </a:extLst>
        </xdr:cNvPr>
        <xdr:cNvSpPr/>
      </xdr:nvSpPr>
      <xdr:spPr>
        <a:xfrm rot="10800000" flipV="1">
          <a:off x="1284941" y="168348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76</xdr:col>
      <xdr:colOff>36089</xdr:colOff>
      <xdr:row>62</xdr:row>
      <xdr:rowOff>3514</xdr:rowOff>
    </xdr:from>
    <xdr:to>
      <xdr:col>78</xdr:col>
      <xdr:colOff>59418</xdr:colOff>
      <xdr:row>64</xdr:row>
      <xdr:rowOff>50582</xdr:rowOff>
    </xdr:to>
    <xdr:sp macro="" textlink="">
      <xdr:nvSpPr>
        <xdr:cNvPr id="32" name="Freccia curva 8">
          <a:extLst>
            <a:ext uri="{FF2B5EF4-FFF2-40B4-BE49-F238E27FC236}">
              <a16:creationId xmlns:a16="http://schemas.microsoft.com/office/drawing/2014/main" id="{00000000-0008-0000-0800-000020000000}"/>
            </a:ext>
          </a:extLst>
        </xdr:cNvPr>
        <xdr:cNvSpPr/>
      </xdr:nvSpPr>
      <xdr:spPr>
        <a:xfrm flipH="1">
          <a:off x="1645814" y="16843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94989</xdr:colOff>
      <xdr:row>27</xdr:row>
      <xdr:rowOff>82275</xdr:rowOff>
    </xdr:from>
    <xdr:to>
      <xdr:col>119</xdr:col>
      <xdr:colOff>56903</xdr:colOff>
      <xdr:row>29</xdr:row>
      <xdr:rowOff>91535</xdr:rowOff>
    </xdr:to>
    <xdr:sp macro="" textlink="">
      <xdr:nvSpPr>
        <xdr:cNvPr id="33" name="Freccia a inversione 13">
          <a:extLst>
            <a:ext uri="{FF2B5EF4-FFF2-40B4-BE49-F238E27FC236}">
              <a16:creationId xmlns:a16="http://schemas.microsoft.com/office/drawing/2014/main" id="{00000000-0008-0000-0800-000021000000}"/>
            </a:ext>
          </a:extLst>
        </xdr:cNvPr>
        <xdr:cNvSpPr/>
      </xdr:nvSpPr>
      <xdr:spPr>
        <a:xfrm rot="5400000" flipV="1">
          <a:off x="6695954" y="125503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97574</xdr:colOff>
      <xdr:row>22</xdr:row>
      <xdr:rowOff>4645</xdr:rowOff>
    </xdr:from>
    <xdr:to>
      <xdr:col>119</xdr:col>
      <xdr:colOff>43694</xdr:colOff>
      <xdr:row>23</xdr:row>
      <xdr:rowOff>8166</xdr:rowOff>
    </xdr:to>
    <xdr:sp macro="" textlink="">
      <xdr:nvSpPr>
        <xdr:cNvPr id="34" name="Freccia in giù 9">
          <a:extLst>
            <a:ext uri="{FF2B5EF4-FFF2-40B4-BE49-F238E27FC236}">
              <a16:creationId xmlns:a16="http://schemas.microsoft.com/office/drawing/2014/main" id="{00000000-0008-0000-0800-000022000000}"/>
            </a:ext>
          </a:extLst>
        </xdr:cNvPr>
        <xdr:cNvSpPr/>
      </xdr:nvSpPr>
      <xdr:spPr>
        <a:xfrm rot="5400000">
          <a:off x="6755424" y="117967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41799</xdr:colOff>
      <xdr:row>62</xdr:row>
      <xdr:rowOff>18603</xdr:rowOff>
    </xdr:from>
    <xdr:to>
      <xdr:col>84</xdr:col>
      <xdr:colOff>74730</xdr:colOff>
      <xdr:row>64</xdr:row>
      <xdr:rowOff>42207</xdr:rowOff>
    </xdr:to>
    <xdr:sp macro="" textlink="">
      <xdr:nvSpPr>
        <xdr:cNvPr id="35" name="Freccia curva 7">
          <a:extLst>
            <a:ext uri="{FF2B5EF4-FFF2-40B4-BE49-F238E27FC236}">
              <a16:creationId xmlns:a16="http://schemas.microsoft.com/office/drawing/2014/main" id="{00000000-0008-0000-0800-000023000000}"/>
            </a:ext>
          </a:extLst>
        </xdr:cNvPr>
        <xdr:cNvSpPr/>
      </xdr:nvSpPr>
      <xdr:spPr>
        <a:xfrm>
          <a:off x="2394474" y="168588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80009</xdr:colOff>
      <xdr:row>18</xdr:row>
      <xdr:rowOff>53281</xdr:rowOff>
    </xdr:from>
    <xdr:to>
      <xdr:col>90</xdr:col>
      <xdr:colOff>103613</xdr:colOff>
      <xdr:row>20</xdr:row>
      <xdr:rowOff>86213</xdr:rowOff>
    </xdr:to>
    <xdr:sp macro="" textlink="">
      <xdr:nvSpPr>
        <xdr:cNvPr id="36" name="Freccia curva 7">
          <a:extLst>
            <a:ext uri="{FF2B5EF4-FFF2-40B4-BE49-F238E27FC236}">
              <a16:creationId xmlns:a16="http://schemas.microsoft.com/office/drawing/2014/main" id="{00000000-0008-0000-0800-000024000000}"/>
            </a:ext>
          </a:extLst>
        </xdr:cNvPr>
        <xdr:cNvSpPr/>
      </xdr:nvSpPr>
      <xdr:spPr>
        <a:xfrm rot="16200000">
          <a:off x="3170970" y="11449845"/>
          <a:ext cx="280582"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107674</xdr:colOff>
      <xdr:row>18</xdr:row>
      <xdr:rowOff>57978</xdr:rowOff>
    </xdr:from>
    <xdr:to>
      <xdr:col>119</xdr:col>
      <xdr:colOff>7038</xdr:colOff>
      <xdr:row>20</xdr:row>
      <xdr:rowOff>90910</xdr:rowOff>
    </xdr:to>
    <xdr:sp macro="" textlink="">
      <xdr:nvSpPr>
        <xdr:cNvPr id="37" name="Freccia curva 7">
          <a:extLst>
            <a:ext uri="{FF2B5EF4-FFF2-40B4-BE49-F238E27FC236}">
              <a16:creationId xmlns:a16="http://schemas.microsoft.com/office/drawing/2014/main" id="{00000000-0008-0000-0800-000025000000}"/>
            </a:ext>
          </a:extLst>
        </xdr:cNvPr>
        <xdr:cNvSpPr/>
      </xdr:nvSpPr>
      <xdr:spPr>
        <a:xfrm rot="16200000">
          <a:off x="6665528" y="114547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29877</xdr:colOff>
      <xdr:row>33</xdr:row>
      <xdr:rowOff>86341</xdr:rowOff>
    </xdr:from>
    <xdr:to>
      <xdr:col>109</xdr:col>
      <xdr:colOff>53206</xdr:colOff>
      <xdr:row>36</xdr:row>
      <xdr:rowOff>9170</xdr:rowOff>
    </xdr:to>
    <xdr:sp macro="" textlink="">
      <xdr:nvSpPr>
        <xdr:cNvPr id="38" name="Freccia curva 8">
          <a:extLst>
            <a:ext uri="{FF2B5EF4-FFF2-40B4-BE49-F238E27FC236}">
              <a16:creationId xmlns:a16="http://schemas.microsoft.com/office/drawing/2014/main" id="{00000000-0008-0000-0800-000026000000}"/>
            </a:ext>
          </a:extLst>
        </xdr:cNvPr>
        <xdr:cNvSpPr/>
      </xdr:nvSpPr>
      <xdr:spPr>
        <a:xfrm flipH="1">
          <a:off x="5478177" y="13335616"/>
          <a:ext cx="270979" cy="294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80009</xdr:colOff>
      <xdr:row>52</xdr:row>
      <xdr:rowOff>53281</xdr:rowOff>
    </xdr:from>
    <xdr:to>
      <xdr:col>90</xdr:col>
      <xdr:colOff>103613</xdr:colOff>
      <xdr:row>54</xdr:row>
      <xdr:rowOff>86213</xdr:rowOff>
    </xdr:to>
    <xdr:sp macro="" textlink="">
      <xdr:nvSpPr>
        <xdr:cNvPr id="39" name="Freccia curva 7">
          <a:extLst>
            <a:ext uri="{FF2B5EF4-FFF2-40B4-BE49-F238E27FC236}">
              <a16:creationId xmlns:a16="http://schemas.microsoft.com/office/drawing/2014/main" id="{00000000-0008-0000-0800-000027000000}"/>
            </a:ext>
          </a:extLst>
        </xdr:cNvPr>
        <xdr:cNvSpPr/>
      </xdr:nvSpPr>
      <xdr:spPr>
        <a:xfrm rot="16200000">
          <a:off x="3170970" y="15659895"/>
          <a:ext cx="280582"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55</xdr:row>
      <xdr:rowOff>136072</xdr:rowOff>
    </xdr:from>
    <xdr:to>
      <xdr:col>91</xdr:col>
      <xdr:colOff>55717</xdr:colOff>
      <xdr:row>57</xdr:row>
      <xdr:rowOff>82778</xdr:rowOff>
    </xdr:to>
    <xdr:sp macro="" textlink="">
      <xdr:nvSpPr>
        <xdr:cNvPr id="40" name="Freccia curva 66">
          <a:extLst>
            <a:ext uri="{FF2B5EF4-FFF2-40B4-BE49-F238E27FC236}">
              <a16:creationId xmlns:a16="http://schemas.microsoft.com/office/drawing/2014/main" id="{00000000-0008-0000-0800-000028000000}"/>
            </a:ext>
          </a:extLst>
        </xdr:cNvPr>
        <xdr:cNvSpPr/>
      </xdr:nvSpPr>
      <xdr:spPr>
        <a:xfrm rot="16200000" flipH="1">
          <a:off x="3269193" y="160502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55</xdr:row>
      <xdr:rowOff>136072</xdr:rowOff>
    </xdr:from>
    <xdr:to>
      <xdr:col>91</xdr:col>
      <xdr:colOff>55717</xdr:colOff>
      <xdr:row>57</xdr:row>
      <xdr:rowOff>82778</xdr:rowOff>
    </xdr:to>
    <xdr:sp macro="" textlink="">
      <xdr:nvSpPr>
        <xdr:cNvPr id="41" name="Freccia curva 66">
          <a:extLst>
            <a:ext uri="{FF2B5EF4-FFF2-40B4-BE49-F238E27FC236}">
              <a16:creationId xmlns:a16="http://schemas.microsoft.com/office/drawing/2014/main" id="{00000000-0008-0000-0800-000029000000}"/>
            </a:ext>
          </a:extLst>
        </xdr:cNvPr>
        <xdr:cNvSpPr/>
      </xdr:nvSpPr>
      <xdr:spPr>
        <a:xfrm rot="16200000" flipH="1">
          <a:off x="3269193" y="160502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55</xdr:row>
      <xdr:rowOff>136072</xdr:rowOff>
    </xdr:from>
    <xdr:to>
      <xdr:col>91</xdr:col>
      <xdr:colOff>55717</xdr:colOff>
      <xdr:row>57</xdr:row>
      <xdr:rowOff>82778</xdr:rowOff>
    </xdr:to>
    <xdr:sp macro="" textlink="">
      <xdr:nvSpPr>
        <xdr:cNvPr id="42" name="Freccia curva 66">
          <a:extLst>
            <a:ext uri="{FF2B5EF4-FFF2-40B4-BE49-F238E27FC236}">
              <a16:creationId xmlns:a16="http://schemas.microsoft.com/office/drawing/2014/main" id="{00000000-0008-0000-0800-00002A000000}"/>
            </a:ext>
          </a:extLst>
        </xdr:cNvPr>
        <xdr:cNvSpPr/>
      </xdr:nvSpPr>
      <xdr:spPr>
        <a:xfrm rot="16200000" flipH="1">
          <a:off x="3269193" y="160502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89</xdr:col>
      <xdr:colOff>0</xdr:colOff>
      <xdr:row>55</xdr:row>
      <xdr:rowOff>136072</xdr:rowOff>
    </xdr:from>
    <xdr:to>
      <xdr:col>91</xdr:col>
      <xdr:colOff>55717</xdr:colOff>
      <xdr:row>57</xdr:row>
      <xdr:rowOff>82778</xdr:rowOff>
    </xdr:to>
    <xdr:sp macro="" textlink="">
      <xdr:nvSpPr>
        <xdr:cNvPr id="43" name="Freccia curva 66">
          <a:extLst>
            <a:ext uri="{FF2B5EF4-FFF2-40B4-BE49-F238E27FC236}">
              <a16:creationId xmlns:a16="http://schemas.microsoft.com/office/drawing/2014/main" id="{00000000-0008-0000-0800-00002B000000}"/>
            </a:ext>
          </a:extLst>
        </xdr:cNvPr>
        <xdr:cNvSpPr/>
      </xdr:nvSpPr>
      <xdr:spPr>
        <a:xfrm rot="16200000" flipH="1">
          <a:off x="3269193" y="16050229"/>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101397</xdr:colOff>
      <xdr:row>39</xdr:row>
      <xdr:rowOff>51932</xdr:rowOff>
    </xdr:from>
    <xdr:to>
      <xdr:col>74</xdr:col>
      <xdr:colOff>114211</xdr:colOff>
      <xdr:row>41</xdr:row>
      <xdr:rowOff>95625</xdr:rowOff>
    </xdr:to>
    <xdr:sp macro="" textlink="">
      <xdr:nvSpPr>
        <xdr:cNvPr id="44" name="Freccia in giù 9">
          <a:extLst>
            <a:ext uri="{FF2B5EF4-FFF2-40B4-BE49-F238E27FC236}">
              <a16:creationId xmlns:a16="http://schemas.microsoft.com/office/drawing/2014/main" id="{00000000-0008-0000-0800-00002C000000}"/>
            </a:ext>
          </a:extLst>
        </xdr:cNvPr>
        <xdr:cNvSpPr/>
      </xdr:nvSpPr>
      <xdr:spPr>
        <a:xfrm>
          <a:off x="1339647" y="140441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82</xdr:col>
      <xdr:colOff>47625</xdr:colOff>
      <xdr:row>33</xdr:row>
      <xdr:rowOff>75753</xdr:rowOff>
    </xdr:from>
    <xdr:to>
      <xdr:col>84</xdr:col>
      <xdr:colOff>85724</xdr:colOff>
      <xdr:row>36</xdr:row>
      <xdr:rowOff>47625</xdr:rowOff>
    </xdr:to>
    <xdr:sp macro="" textlink="">
      <xdr:nvSpPr>
        <xdr:cNvPr id="45" name="Freccia curva 7">
          <a:extLst>
            <a:ext uri="{FF2B5EF4-FFF2-40B4-BE49-F238E27FC236}">
              <a16:creationId xmlns:a16="http://schemas.microsoft.com/office/drawing/2014/main" id="{00000000-0008-0000-0800-00002D000000}"/>
            </a:ext>
          </a:extLst>
        </xdr:cNvPr>
        <xdr:cNvSpPr/>
      </xdr:nvSpPr>
      <xdr:spPr>
        <a:xfrm>
          <a:off x="2400300" y="13325028"/>
          <a:ext cx="285749" cy="34334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70375</xdr:colOff>
      <xdr:row>33</xdr:row>
      <xdr:rowOff>85725</xdr:rowOff>
    </xdr:from>
    <xdr:to>
      <xdr:col>112</xdr:col>
      <xdr:colOff>47625</xdr:colOff>
      <xdr:row>36</xdr:row>
      <xdr:rowOff>0</xdr:rowOff>
    </xdr:to>
    <xdr:sp macro="" textlink="">
      <xdr:nvSpPr>
        <xdr:cNvPr id="46" name="Freccia curva 7">
          <a:extLst>
            <a:ext uri="{FF2B5EF4-FFF2-40B4-BE49-F238E27FC236}">
              <a16:creationId xmlns:a16="http://schemas.microsoft.com/office/drawing/2014/main" id="{00000000-0008-0000-0800-00002E000000}"/>
            </a:ext>
          </a:extLst>
        </xdr:cNvPr>
        <xdr:cNvSpPr/>
      </xdr:nvSpPr>
      <xdr:spPr>
        <a:xfrm>
          <a:off x="5890150" y="13335000"/>
          <a:ext cx="224900" cy="285750"/>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64987</xdr:colOff>
      <xdr:row>27</xdr:row>
      <xdr:rowOff>88880</xdr:rowOff>
    </xdr:from>
    <xdr:to>
      <xdr:col>96</xdr:col>
      <xdr:colOff>116702</xdr:colOff>
      <xdr:row>29</xdr:row>
      <xdr:rowOff>103227</xdr:rowOff>
    </xdr:to>
    <xdr:sp macro="" textlink="">
      <xdr:nvSpPr>
        <xdr:cNvPr id="47" name="Freccia curva 7">
          <a:extLst>
            <a:ext uri="{FF2B5EF4-FFF2-40B4-BE49-F238E27FC236}">
              <a16:creationId xmlns:a16="http://schemas.microsoft.com/office/drawing/2014/main" id="{00000000-0008-0000-0800-00002F000000}"/>
            </a:ext>
          </a:extLst>
        </xdr:cNvPr>
        <xdr:cNvSpPr/>
      </xdr:nvSpPr>
      <xdr:spPr>
        <a:xfrm rot="5400000">
          <a:off x="3922246" y="12576521"/>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58937</xdr:colOff>
      <xdr:row>25</xdr:row>
      <xdr:rowOff>6397</xdr:rowOff>
    </xdr:from>
    <xdr:to>
      <xdr:col>97</xdr:col>
      <xdr:colOff>5058</xdr:colOff>
      <xdr:row>26</xdr:row>
      <xdr:rowOff>9918</xdr:rowOff>
    </xdr:to>
    <xdr:sp macro="" textlink="">
      <xdr:nvSpPr>
        <xdr:cNvPr id="48" name="Freccia in giù 9">
          <a:extLst>
            <a:ext uri="{FF2B5EF4-FFF2-40B4-BE49-F238E27FC236}">
              <a16:creationId xmlns:a16="http://schemas.microsoft.com/office/drawing/2014/main" id="{00000000-0008-0000-0800-000030000000}"/>
            </a:ext>
          </a:extLst>
        </xdr:cNvPr>
        <xdr:cNvSpPr/>
      </xdr:nvSpPr>
      <xdr:spPr>
        <a:xfrm rot="16200000">
          <a:off x="3992637" y="121699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112</xdr:col>
      <xdr:colOff>95250</xdr:colOff>
      <xdr:row>68</xdr:row>
      <xdr:rowOff>19050</xdr:rowOff>
    </xdr:from>
    <xdr:to>
      <xdr:col>122</xdr:col>
      <xdr:colOff>38099</xdr:colOff>
      <xdr:row>72</xdr:row>
      <xdr:rowOff>0</xdr:rowOff>
    </xdr:to>
    <xdr:sp macro="" textlink="">
      <xdr:nvSpPr>
        <xdr:cNvPr id="49" name="Right Arrow 48">
          <a:hlinkClick xmlns:r="http://schemas.openxmlformats.org/officeDocument/2006/relationships" r:id="rId2"/>
          <a:extLst>
            <a:ext uri="{FF2B5EF4-FFF2-40B4-BE49-F238E27FC236}">
              <a16:creationId xmlns:a16="http://schemas.microsoft.com/office/drawing/2014/main" id="{00000000-0008-0000-0800-000031000000}"/>
            </a:ext>
          </a:extLst>
        </xdr:cNvPr>
        <xdr:cNvSpPr/>
      </xdr:nvSpPr>
      <xdr:spPr>
        <a:xfrm>
          <a:off x="6200775" y="17516475"/>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9525</xdr:colOff>
      <xdr:row>14</xdr:row>
      <xdr:rowOff>47625</xdr:rowOff>
    </xdr:from>
    <xdr:to>
      <xdr:col>47</xdr:col>
      <xdr:colOff>1</xdr:colOff>
      <xdr:row>61</xdr:row>
      <xdr:rowOff>9180</xdr:rowOff>
    </xdr:to>
    <xdr:pic>
      <xdr:nvPicPr>
        <xdr:cNvPr id="48" name="Picture 47" descr="Quadrant-Model.jpg">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 cstate="print"/>
        <a:stretch>
          <a:fillRect/>
        </a:stretch>
      </xdr:blipFill>
      <xdr:spPr>
        <a:xfrm>
          <a:off x="295275" y="1781175"/>
          <a:ext cx="5429251" cy="5781330"/>
        </a:xfrm>
        <a:prstGeom prst="rect">
          <a:avLst/>
        </a:prstGeom>
      </xdr:spPr>
    </xdr:pic>
    <xdr:clientData/>
  </xdr:twoCellAnchor>
  <xdr:twoCellAnchor>
    <xdr:from>
      <xdr:col>94</xdr:col>
      <xdr:colOff>51289</xdr:colOff>
      <xdr:row>24</xdr:row>
      <xdr:rowOff>58615</xdr:rowOff>
    </xdr:from>
    <xdr:to>
      <xdr:col>96</xdr:col>
      <xdr:colOff>116943</xdr:colOff>
      <xdr:row>26</xdr:row>
      <xdr:rowOff>63358</xdr:rowOff>
    </xdr:to>
    <xdr:sp macro="" textlink="">
      <xdr:nvSpPr>
        <xdr:cNvPr id="2" name="Freccia curva 8">
          <a:extLst>
            <a:ext uri="{FF2B5EF4-FFF2-40B4-BE49-F238E27FC236}">
              <a16:creationId xmlns:a16="http://schemas.microsoft.com/office/drawing/2014/main" id="{00000000-0008-0000-0900-000002000000}"/>
            </a:ext>
          </a:extLst>
        </xdr:cNvPr>
        <xdr:cNvSpPr/>
      </xdr:nvSpPr>
      <xdr:spPr>
        <a:xfrm rot="5400000" flipH="1">
          <a:off x="3920319" y="12163010"/>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96216</xdr:colOff>
      <xdr:row>33</xdr:row>
      <xdr:rowOff>91783</xdr:rowOff>
    </xdr:from>
    <xdr:to>
      <xdr:col>111</xdr:col>
      <xdr:colOff>109029</xdr:colOff>
      <xdr:row>36</xdr:row>
      <xdr:rowOff>10025</xdr:rowOff>
    </xdr:to>
    <xdr:sp macro="" textlink="">
      <xdr:nvSpPr>
        <xdr:cNvPr id="3" name="Freccia in giù 9">
          <a:extLst>
            <a:ext uri="{FF2B5EF4-FFF2-40B4-BE49-F238E27FC236}">
              <a16:creationId xmlns:a16="http://schemas.microsoft.com/office/drawing/2014/main" id="{00000000-0008-0000-0900-000003000000}"/>
            </a:ext>
          </a:extLst>
        </xdr:cNvPr>
        <xdr:cNvSpPr/>
      </xdr:nvSpPr>
      <xdr:spPr>
        <a:xfrm rot="10800000">
          <a:off x="5915991" y="133410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64987</xdr:colOff>
      <xdr:row>27</xdr:row>
      <xdr:rowOff>88880</xdr:rowOff>
    </xdr:from>
    <xdr:to>
      <xdr:col>96</xdr:col>
      <xdr:colOff>116702</xdr:colOff>
      <xdr:row>29</xdr:row>
      <xdr:rowOff>103227</xdr:rowOff>
    </xdr:to>
    <xdr:sp macro="" textlink="">
      <xdr:nvSpPr>
        <xdr:cNvPr id="4" name="Freccia curva 7">
          <a:extLst>
            <a:ext uri="{FF2B5EF4-FFF2-40B4-BE49-F238E27FC236}">
              <a16:creationId xmlns:a16="http://schemas.microsoft.com/office/drawing/2014/main" id="{00000000-0008-0000-0900-000004000000}"/>
            </a:ext>
          </a:extLst>
        </xdr:cNvPr>
        <xdr:cNvSpPr/>
      </xdr:nvSpPr>
      <xdr:spPr>
        <a:xfrm rot="5400000">
          <a:off x="3922246" y="12576521"/>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102</xdr:col>
      <xdr:colOff>103195</xdr:colOff>
      <xdr:row>20</xdr:row>
      <xdr:rowOff>117519</xdr:rowOff>
    </xdr:from>
    <xdr:ext cx="963800" cy="311715"/>
    <xdr:sp macro="" textlink="">
      <xdr:nvSpPr>
        <xdr:cNvPr id="5" name="Rectangle 4">
          <a:extLst>
            <a:ext uri="{FF2B5EF4-FFF2-40B4-BE49-F238E27FC236}">
              <a16:creationId xmlns:a16="http://schemas.microsoft.com/office/drawing/2014/main" id="{00000000-0008-0000-0900-000005000000}"/>
            </a:ext>
          </a:extLst>
        </xdr:cNvPr>
        <xdr:cNvSpPr/>
      </xdr:nvSpPr>
      <xdr:spPr>
        <a:xfrm>
          <a:off x="4932370" y="11757069"/>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107</xdr:col>
      <xdr:colOff>39402</xdr:colOff>
      <xdr:row>33</xdr:row>
      <xdr:rowOff>105391</xdr:rowOff>
    </xdr:from>
    <xdr:to>
      <xdr:col>109</xdr:col>
      <xdr:colOff>62731</xdr:colOff>
      <xdr:row>36</xdr:row>
      <xdr:rowOff>28220</xdr:rowOff>
    </xdr:to>
    <xdr:sp macro="" textlink="">
      <xdr:nvSpPr>
        <xdr:cNvPr id="6" name="Freccia curva 8">
          <a:extLst>
            <a:ext uri="{FF2B5EF4-FFF2-40B4-BE49-F238E27FC236}">
              <a16:creationId xmlns:a16="http://schemas.microsoft.com/office/drawing/2014/main" id="{00000000-0008-0000-0900-000006000000}"/>
            </a:ext>
          </a:extLst>
        </xdr:cNvPr>
        <xdr:cNvSpPr/>
      </xdr:nvSpPr>
      <xdr:spPr>
        <a:xfrm flipH="1">
          <a:off x="5487702" y="13354666"/>
          <a:ext cx="270979" cy="294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53688</xdr:colOff>
      <xdr:row>11</xdr:row>
      <xdr:rowOff>62470</xdr:rowOff>
    </xdr:from>
    <xdr:to>
      <xdr:col>109</xdr:col>
      <xdr:colOff>77017</xdr:colOff>
      <xdr:row>13</xdr:row>
      <xdr:rowOff>109538</xdr:rowOff>
    </xdr:to>
    <xdr:sp macro="" textlink="">
      <xdr:nvSpPr>
        <xdr:cNvPr id="7" name="Freccia curva 8">
          <a:extLst>
            <a:ext uri="{FF2B5EF4-FFF2-40B4-BE49-F238E27FC236}">
              <a16:creationId xmlns:a16="http://schemas.microsoft.com/office/drawing/2014/main" id="{00000000-0008-0000-0900-000007000000}"/>
            </a:ext>
          </a:extLst>
        </xdr:cNvPr>
        <xdr:cNvSpPr/>
      </xdr:nvSpPr>
      <xdr:spPr>
        <a:xfrm rot="10800000" flipH="1">
          <a:off x="5501988" y="10587595"/>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45533</xdr:colOff>
      <xdr:row>11</xdr:row>
      <xdr:rowOff>76789</xdr:rowOff>
    </xdr:from>
    <xdr:to>
      <xdr:col>112</xdr:col>
      <xdr:colOff>75397</xdr:colOff>
      <xdr:row>14</xdr:row>
      <xdr:rowOff>9218</xdr:rowOff>
    </xdr:to>
    <xdr:sp macro="" textlink="">
      <xdr:nvSpPr>
        <xdr:cNvPr id="8" name="Freccia a inversione 13">
          <a:extLst>
            <a:ext uri="{FF2B5EF4-FFF2-40B4-BE49-F238E27FC236}">
              <a16:creationId xmlns:a16="http://schemas.microsoft.com/office/drawing/2014/main" id="{00000000-0008-0000-0900-000008000000}"/>
            </a:ext>
          </a:extLst>
        </xdr:cNvPr>
        <xdr:cNvSpPr/>
      </xdr:nvSpPr>
      <xdr:spPr>
        <a:xfrm flipV="1">
          <a:off x="5865308" y="10601914"/>
          <a:ext cx="277514" cy="303904"/>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101397</xdr:colOff>
      <xdr:row>11</xdr:row>
      <xdr:rowOff>51932</xdr:rowOff>
    </xdr:from>
    <xdr:to>
      <xdr:col>105</xdr:col>
      <xdr:colOff>114211</xdr:colOff>
      <xdr:row>13</xdr:row>
      <xdr:rowOff>95625</xdr:rowOff>
    </xdr:to>
    <xdr:sp macro="" textlink="">
      <xdr:nvSpPr>
        <xdr:cNvPr id="9" name="Freccia in giù 9">
          <a:extLst>
            <a:ext uri="{FF2B5EF4-FFF2-40B4-BE49-F238E27FC236}">
              <a16:creationId xmlns:a16="http://schemas.microsoft.com/office/drawing/2014/main" id="{00000000-0008-0000-0900-000009000000}"/>
            </a:ext>
          </a:extLst>
        </xdr:cNvPr>
        <xdr:cNvSpPr/>
      </xdr:nvSpPr>
      <xdr:spPr>
        <a:xfrm>
          <a:off x="5178222" y="105770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32507</xdr:colOff>
      <xdr:row>11</xdr:row>
      <xdr:rowOff>111530</xdr:rowOff>
    </xdr:from>
    <xdr:to>
      <xdr:col>103</xdr:col>
      <xdr:colOff>65439</xdr:colOff>
      <xdr:row>14</xdr:row>
      <xdr:rowOff>9683</xdr:rowOff>
    </xdr:to>
    <xdr:sp macro="" textlink="">
      <xdr:nvSpPr>
        <xdr:cNvPr id="10" name="Freccia curva 7">
          <a:extLst>
            <a:ext uri="{FF2B5EF4-FFF2-40B4-BE49-F238E27FC236}">
              <a16:creationId xmlns:a16="http://schemas.microsoft.com/office/drawing/2014/main" id="{00000000-0008-0000-0900-00000A000000}"/>
            </a:ext>
          </a:extLst>
        </xdr:cNvPr>
        <xdr:cNvSpPr/>
      </xdr:nvSpPr>
      <xdr:spPr>
        <a:xfrm rot="10800000">
          <a:off x="4737857" y="10636655"/>
          <a:ext cx="280582"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66020</xdr:colOff>
      <xdr:row>46</xdr:row>
      <xdr:rowOff>58156</xdr:rowOff>
    </xdr:from>
    <xdr:to>
      <xdr:col>69</xdr:col>
      <xdr:colOff>24702</xdr:colOff>
      <xdr:row>48</xdr:row>
      <xdr:rowOff>69436</xdr:rowOff>
    </xdr:to>
    <xdr:sp macro="" textlink="">
      <xdr:nvSpPr>
        <xdr:cNvPr id="11" name="Freccia a inversione 13">
          <a:extLst>
            <a:ext uri="{FF2B5EF4-FFF2-40B4-BE49-F238E27FC236}">
              <a16:creationId xmlns:a16="http://schemas.microsoft.com/office/drawing/2014/main" id="{00000000-0008-0000-0900-00000B000000}"/>
            </a:ext>
          </a:extLst>
        </xdr:cNvPr>
        <xdr:cNvSpPr/>
      </xdr:nvSpPr>
      <xdr:spPr>
        <a:xfrm rot="16200000" flipV="1">
          <a:off x="473109" y="14881542"/>
          <a:ext cx="258930" cy="330157"/>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51289</xdr:colOff>
      <xdr:row>49</xdr:row>
      <xdr:rowOff>58615</xdr:rowOff>
    </xdr:from>
    <xdr:to>
      <xdr:col>68</xdr:col>
      <xdr:colOff>116943</xdr:colOff>
      <xdr:row>51</xdr:row>
      <xdr:rowOff>63358</xdr:rowOff>
    </xdr:to>
    <xdr:sp macro="" textlink="">
      <xdr:nvSpPr>
        <xdr:cNvPr id="12" name="Freccia curva 8">
          <a:extLst>
            <a:ext uri="{FF2B5EF4-FFF2-40B4-BE49-F238E27FC236}">
              <a16:creationId xmlns:a16="http://schemas.microsoft.com/office/drawing/2014/main" id="{00000000-0008-0000-0900-00000C000000}"/>
            </a:ext>
          </a:extLst>
        </xdr:cNvPr>
        <xdr:cNvSpPr/>
      </xdr:nvSpPr>
      <xdr:spPr>
        <a:xfrm rot="5400000" flipH="1">
          <a:off x="453219" y="15258635"/>
          <a:ext cx="252393" cy="313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73270</xdr:colOff>
      <xdr:row>55</xdr:row>
      <xdr:rowOff>80596</xdr:rowOff>
    </xdr:from>
    <xdr:to>
      <xdr:col>68</xdr:col>
      <xdr:colOff>134510</xdr:colOff>
      <xdr:row>57</xdr:row>
      <xdr:rowOff>94943</xdr:rowOff>
    </xdr:to>
    <xdr:sp macro="" textlink="">
      <xdr:nvSpPr>
        <xdr:cNvPr id="13" name="Freccia curva 7">
          <a:extLst>
            <a:ext uri="{FF2B5EF4-FFF2-40B4-BE49-F238E27FC236}">
              <a16:creationId xmlns:a16="http://schemas.microsoft.com/office/drawing/2014/main" id="{00000000-0008-0000-0900-00000D000000}"/>
            </a:ext>
          </a:extLst>
        </xdr:cNvPr>
        <xdr:cNvSpPr/>
      </xdr:nvSpPr>
      <xdr:spPr>
        <a:xfrm rot="5400000">
          <a:off x="463429" y="16035337"/>
          <a:ext cx="261997" cy="299365"/>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75</xdr:col>
      <xdr:colOff>13549</xdr:colOff>
      <xdr:row>49</xdr:row>
      <xdr:rowOff>27872</xdr:rowOff>
    </xdr:from>
    <xdr:ext cx="963800" cy="311715"/>
    <xdr:sp macro="" textlink="">
      <xdr:nvSpPr>
        <xdr:cNvPr id="14" name="Rectangle 13">
          <a:extLst>
            <a:ext uri="{FF2B5EF4-FFF2-40B4-BE49-F238E27FC236}">
              <a16:creationId xmlns:a16="http://schemas.microsoft.com/office/drawing/2014/main" id="{00000000-0008-0000-0900-00000E000000}"/>
            </a:ext>
          </a:extLst>
        </xdr:cNvPr>
        <xdr:cNvSpPr/>
      </xdr:nvSpPr>
      <xdr:spPr>
        <a:xfrm>
          <a:off x="1499449" y="152583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76</xdr:col>
      <xdr:colOff>61970</xdr:colOff>
      <xdr:row>39</xdr:row>
      <xdr:rowOff>103883</xdr:rowOff>
    </xdr:from>
    <xdr:to>
      <xdr:col>78</xdr:col>
      <xdr:colOff>85299</xdr:colOff>
      <xdr:row>42</xdr:row>
      <xdr:rowOff>26712</xdr:rowOff>
    </xdr:to>
    <xdr:sp macro="" textlink="">
      <xdr:nvSpPr>
        <xdr:cNvPr id="15" name="Freccia curva 8">
          <a:extLst>
            <a:ext uri="{FF2B5EF4-FFF2-40B4-BE49-F238E27FC236}">
              <a16:creationId xmlns:a16="http://schemas.microsoft.com/office/drawing/2014/main" id="{00000000-0008-0000-0900-00000F000000}"/>
            </a:ext>
          </a:extLst>
        </xdr:cNvPr>
        <xdr:cNvSpPr/>
      </xdr:nvSpPr>
      <xdr:spPr>
        <a:xfrm rot="10800000" flipH="1">
          <a:off x="1671695" y="14096108"/>
          <a:ext cx="270979" cy="29430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66</xdr:col>
      <xdr:colOff>58937</xdr:colOff>
      <xdr:row>53</xdr:row>
      <xdr:rowOff>6397</xdr:rowOff>
    </xdr:from>
    <xdr:to>
      <xdr:col>69</xdr:col>
      <xdr:colOff>5058</xdr:colOff>
      <xdr:row>54</xdr:row>
      <xdr:rowOff>9918</xdr:rowOff>
    </xdr:to>
    <xdr:sp macro="" textlink="">
      <xdr:nvSpPr>
        <xdr:cNvPr id="16" name="Freccia in giù 9">
          <a:extLst>
            <a:ext uri="{FF2B5EF4-FFF2-40B4-BE49-F238E27FC236}">
              <a16:creationId xmlns:a16="http://schemas.microsoft.com/office/drawing/2014/main" id="{00000000-0008-0000-0900-000010000000}"/>
            </a:ext>
          </a:extLst>
        </xdr:cNvPr>
        <xdr:cNvSpPr/>
      </xdr:nvSpPr>
      <xdr:spPr>
        <a:xfrm rot="16200000">
          <a:off x="525537" y="156370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97574</xdr:colOff>
      <xdr:row>50</xdr:row>
      <xdr:rowOff>4645</xdr:rowOff>
    </xdr:from>
    <xdr:to>
      <xdr:col>91</xdr:col>
      <xdr:colOff>43694</xdr:colOff>
      <xdr:row>51</xdr:row>
      <xdr:rowOff>8166</xdr:rowOff>
    </xdr:to>
    <xdr:sp macro="" textlink="">
      <xdr:nvSpPr>
        <xdr:cNvPr id="17" name="Freccia in giù 9">
          <a:extLst>
            <a:ext uri="{FF2B5EF4-FFF2-40B4-BE49-F238E27FC236}">
              <a16:creationId xmlns:a16="http://schemas.microsoft.com/office/drawing/2014/main" id="{00000000-0008-0000-0900-000011000000}"/>
            </a:ext>
          </a:extLst>
        </xdr:cNvPr>
        <xdr:cNvSpPr/>
      </xdr:nvSpPr>
      <xdr:spPr>
        <a:xfrm rot="5400000">
          <a:off x="3288324" y="15263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73</xdr:col>
      <xdr:colOff>49073</xdr:colOff>
      <xdr:row>39</xdr:row>
      <xdr:rowOff>111530</xdr:rowOff>
    </xdr:from>
    <xdr:to>
      <xdr:col>75</xdr:col>
      <xdr:colOff>82004</xdr:colOff>
      <xdr:row>42</xdr:row>
      <xdr:rowOff>9683</xdr:rowOff>
    </xdr:to>
    <xdr:sp macro="" textlink="">
      <xdr:nvSpPr>
        <xdr:cNvPr id="18" name="Freccia curva 7">
          <a:extLst>
            <a:ext uri="{FF2B5EF4-FFF2-40B4-BE49-F238E27FC236}">
              <a16:creationId xmlns:a16="http://schemas.microsoft.com/office/drawing/2014/main" id="{00000000-0008-0000-0900-000012000000}"/>
            </a:ext>
          </a:extLst>
        </xdr:cNvPr>
        <xdr:cNvSpPr/>
      </xdr:nvSpPr>
      <xdr:spPr>
        <a:xfrm rot="10800000">
          <a:off x="1287323" y="14103755"/>
          <a:ext cx="280581" cy="26962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52</xdr:row>
      <xdr:rowOff>136072</xdr:rowOff>
    </xdr:from>
    <xdr:to>
      <xdr:col>119</xdr:col>
      <xdr:colOff>55717</xdr:colOff>
      <xdr:row>54</xdr:row>
      <xdr:rowOff>82778</xdr:rowOff>
    </xdr:to>
    <xdr:sp macro="" textlink="">
      <xdr:nvSpPr>
        <xdr:cNvPr id="19" name="Freccia curva 66">
          <a:extLst>
            <a:ext uri="{FF2B5EF4-FFF2-40B4-BE49-F238E27FC236}">
              <a16:creationId xmlns:a16="http://schemas.microsoft.com/office/drawing/2014/main" id="{00000000-0008-0000-0900-000013000000}"/>
            </a:ext>
          </a:extLst>
        </xdr:cNvPr>
        <xdr:cNvSpPr/>
      </xdr:nvSpPr>
      <xdr:spPr>
        <a:xfrm rot="16200000" flipH="1">
          <a:off x="6736293" y="15678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52</xdr:row>
      <xdr:rowOff>136072</xdr:rowOff>
    </xdr:from>
    <xdr:to>
      <xdr:col>119</xdr:col>
      <xdr:colOff>55717</xdr:colOff>
      <xdr:row>54</xdr:row>
      <xdr:rowOff>82778</xdr:rowOff>
    </xdr:to>
    <xdr:sp macro="" textlink="">
      <xdr:nvSpPr>
        <xdr:cNvPr id="20" name="Freccia curva 66">
          <a:extLst>
            <a:ext uri="{FF2B5EF4-FFF2-40B4-BE49-F238E27FC236}">
              <a16:creationId xmlns:a16="http://schemas.microsoft.com/office/drawing/2014/main" id="{00000000-0008-0000-0900-000014000000}"/>
            </a:ext>
          </a:extLst>
        </xdr:cNvPr>
        <xdr:cNvSpPr/>
      </xdr:nvSpPr>
      <xdr:spPr>
        <a:xfrm rot="16200000" flipH="1">
          <a:off x="6736293" y="15678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52</xdr:row>
      <xdr:rowOff>136072</xdr:rowOff>
    </xdr:from>
    <xdr:to>
      <xdr:col>119</xdr:col>
      <xdr:colOff>55717</xdr:colOff>
      <xdr:row>54</xdr:row>
      <xdr:rowOff>82778</xdr:rowOff>
    </xdr:to>
    <xdr:sp macro="" textlink="">
      <xdr:nvSpPr>
        <xdr:cNvPr id="21" name="Freccia curva 66">
          <a:extLst>
            <a:ext uri="{FF2B5EF4-FFF2-40B4-BE49-F238E27FC236}">
              <a16:creationId xmlns:a16="http://schemas.microsoft.com/office/drawing/2014/main" id="{00000000-0008-0000-0900-000015000000}"/>
            </a:ext>
          </a:extLst>
        </xdr:cNvPr>
        <xdr:cNvSpPr/>
      </xdr:nvSpPr>
      <xdr:spPr>
        <a:xfrm rot="16200000" flipH="1">
          <a:off x="6736293" y="15678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117</xdr:col>
      <xdr:colOff>0</xdr:colOff>
      <xdr:row>52</xdr:row>
      <xdr:rowOff>136072</xdr:rowOff>
    </xdr:from>
    <xdr:to>
      <xdr:col>119</xdr:col>
      <xdr:colOff>55717</xdr:colOff>
      <xdr:row>54</xdr:row>
      <xdr:rowOff>82778</xdr:rowOff>
    </xdr:to>
    <xdr:sp macro="" textlink="">
      <xdr:nvSpPr>
        <xdr:cNvPr id="22" name="Freccia curva 66">
          <a:extLst>
            <a:ext uri="{FF2B5EF4-FFF2-40B4-BE49-F238E27FC236}">
              <a16:creationId xmlns:a16="http://schemas.microsoft.com/office/drawing/2014/main" id="{00000000-0008-0000-0900-000016000000}"/>
            </a:ext>
          </a:extLst>
        </xdr:cNvPr>
        <xdr:cNvSpPr/>
      </xdr:nvSpPr>
      <xdr:spPr>
        <a:xfrm rot="16200000" flipH="1">
          <a:off x="6736293" y="15678754"/>
          <a:ext cx="203881" cy="303367"/>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107</xdr:col>
      <xdr:colOff>96216</xdr:colOff>
      <xdr:row>61</xdr:row>
      <xdr:rowOff>91783</xdr:rowOff>
    </xdr:from>
    <xdr:to>
      <xdr:col>108</xdr:col>
      <xdr:colOff>109029</xdr:colOff>
      <xdr:row>64</xdr:row>
      <xdr:rowOff>10025</xdr:rowOff>
    </xdr:to>
    <xdr:sp macro="" textlink="">
      <xdr:nvSpPr>
        <xdr:cNvPr id="23" name="Freccia in giù 9">
          <a:extLst>
            <a:ext uri="{FF2B5EF4-FFF2-40B4-BE49-F238E27FC236}">
              <a16:creationId xmlns:a16="http://schemas.microsoft.com/office/drawing/2014/main" id="{00000000-0008-0000-0900-000017000000}"/>
            </a:ext>
          </a:extLst>
        </xdr:cNvPr>
        <xdr:cNvSpPr/>
      </xdr:nvSpPr>
      <xdr:spPr>
        <a:xfrm rot="10800000">
          <a:off x="5544516" y="16808158"/>
          <a:ext cx="136638" cy="2897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106400</xdr:colOff>
      <xdr:row>55</xdr:row>
      <xdr:rowOff>55751</xdr:rowOff>
    </xdr:from>
    <xdr:to>
      <xdr:col>97</xdr:col>
      <xdr:colOff>33876</xdr:colOff>
      <xdr:row>57</xdr:row>
      <xdr:rowOff>70098</xdr:rowOff>
    </xdr:to>
    <xdr:sp macro="" textlink="">
      <xdr:nvSpPr>
        <xdr:cNvPr id="24" name="Freccia curva 7">
          <a:extLst>
            <a:ext uri="{FF2B5EF4-FFF2-40B4-BE49-F238E27FC236}">
              <a16:creationId xmlns:a16="http://schemas.microsoft.com/office/drawing/2014/main" id="{00000000-0008-0000-0900-000018000000}"/>
            </a:ext>
          </a:extLst>
        </xdr:cNvPr>
        <xdr:cNvSpPr/>
      </xdr:nvSpPr>
      <xdr:spPr>
        <a:xfrm rot="5400000">
          <a:off x="3963452" y="16010699"/>
          <a:ext cx="261997" cy="298951"/>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103</xdr:col>
      <xdr:colOff>13549</xdr:colOff>
      <xdr:row>49</xdr:row>
      <xdr:rowOff>27872</xdr:rowOff>
    </xdr:from>
    <xdr:ext cx="963800" cy="311715"/>
    <xdr:sp macro="" textlink="">
      <xdr:nvSpPr>
        <xdr:cNvPr id="25" name="Rectangle 24">
          <a:extLst>
            <a:ext uri="{FF2B5EF4-FFF2-40B4-BE49-F238E27FC236}">
              <a16:creationId xmlns:a16="http://schemas.microsoft.com/office/drawing/2014/main" id="{00000000-0008-0000-0900-000019000000}"/>
            </a:ext>
          </a:extLst>
        </xdr:cNvPr>
        <xdr:cNvSpPr/>
      </xdr:nvSpPr>
      <xdr:spPr>
        <a:xfrm>
          <a:off x="4966549" y="15258347"/>
          <a:ext cx="963800" cy="311715"/>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101</xdr:col>
      <xdr:colOff>46691</xdr:colOff>
      <xdr:row>61</xdr:row>
      <xdr:rowOff>118493</xdr:rowOff>
    </xdr:from>
    <xdr:to>
      <xdr:col>103</xdr:col>
      <xdr:colOff>74536</xdr:colOff>
      <xdr:row>64</xdr:row>
      <xdr:rowOff>52529</xdr:rowOff>
    </xdr:to>
    <xdr:sp macro="" textlink="">
      <xdr:nvSpPr>
        <xdr:cNvPr id="26" name="Freccia a inversione 13">
          <a:extLst>
            <a:ext uri="{FF2B5EF4-FFF2-40B4-BE49-F238E27FC236}">
              <a16:creationId xmlns:a16="http://schemas.microsoft.com/office/drawing/2014/main" id="{00000000-0008-0000-0900-00001A000000}"/>
            </a:ext>
          </a:extLst>
        </xdr:cNvPr>
        <xdr:cNvSpPr/>
      </xdr:nvSpPr>
      <xdr:spPr>
        <a:xfrm rot="10800000" flipV="1">
          <a:off x="4752041" y="16834868"/>
          <a:ext cx="275495" cy="30551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36089</xdr:colOff>
      <xdr:row>62</xdr:row>
      <xdr:rowOff>3514</xdr:rowOff>
    </xdr:from>
    <xdr:to>
      <xdr:col>106</xdr:col>
      <xdr:colOff>59418</xdr:colOff>
      <xdr:row>64</xdr:row>
      <xdr:rowOff>50582</xdr:rowOff>
    </xdr:to>
    <xdr:sp macro="" textlink="">
      <xdr:nvSpPr>
        <xdr:cNvPr id="27" name="Freccia curva 8">
          <a:extLst>
            <a:ext uri="{FF2B5EF4-FFF2-40B4-BE49-F238E27FC236}">
              <a16:creationId xmlns:a16="http://schemas.microsoft.com/office/drawing/2014/main" id="{00000000-0008-0000-0900-00001B000000}"/>
            </a:ext>
          </a:extLst>
        </xdr:cNvPr>
        <xdr:cNvSpPr/>
      </xdr:nvSpPr>
      <xdr:spPr>
        <a:xfrm flipH="1">
          <a:off x="5112914" y="16843714"/>
          <a:ext cx="270979" cy="294718"/>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94989</xdr:colOff>
      <xdr:row>55</xdr:row>
      <xdr:rowOff>82275</xdr:rowOff>
    </xdr:from>
    <xdr:to>
      <xdr:col>119</xdr:col>
      <xdr:colOff>56903</xdr:colOff>
      <xdr:row>57</xdr:row>
      <xdr:rowOff>91535</xdr:rowOff>
    </xdr:to>
    <xdr:sp macro="" textlink="">
      <xdr:nvSpPr>
        <xdr:cNvPr id="28" name="Freccia a inversione 13">
          <a:extLst>
            <a:ext uri="{FF2B5EF4-FFF2-40B4-BE49-F238E27FC236}">
              <a16:creationId xmlns:a16="http://schemas.microsoft.com/office/drawing/2014/main" id="{00000000-0008-0000-0900-00001C000000}"/>
            </a:ext>
          </a:extLst>
        </xdr:cNvPr>
        <xdr:cNvSpPr/>
      </xdr:nvSpPr>
      <xdr:spPr>
        <a:xfrm rot="5400000" flipV="1">
          <a:off x="6695954" y="16017460"/>
          <a:ext cx="256910" cy="333389"/>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94</xdr:col>
      <xdr:colOff>58937</xdr:colOff>
      <xdr:row>53</xdr:row>
      <xdr:rowOff>6397</xdr:rowOff>
    </xdr:from>
    <xdr:to>
      <xdr:col>97</xdr:col>
      <xdr:colOff>5058</xdr:colOff>
      <xdr:row>54</xdr:row>
      <xdr:rowOff>9918</xdr:rowOff>
    </xdr:to>
    <xdr:sp macro="" textlink="">
      <xdr:nvSpPr>
        <xdr:cNvPr id="29" name="Freccia in giù 9">
          <a:extLst>
            <a:ext uri="{FF2B5EF4-FFF2-40B4-BE49-F238E27FC236}">
              <a16:creationId xmlns:a16="http://schemas.microsoft.com/office/drawing/2014/main" id="{00000000-0008-0000-0900-00001D000000}"/>
            </a:ext>
          </a:extLst>
        </xdr:cNvPr>
        <xdr:cNvSpPr/>
      </xdr:nvSpPr>
      <xdr:spPr>
        <a:xfrm rot="16200000">
          <a:off x="3992637" y="15637047"/>
          <a:ext cx="127346" cy="3175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104</xdr:col>
      <xdr:colOff>101397</xdr:colOff>
      <xdr:row>39</xdr:row>
      <xdr:rowOff>51932</xdr:rowOff>
    </xdr:from>
    <xdr:to>
      <xdr:col>105</xdr:col>
      <xdr:colOff>114211</xdr:colOff>
      <xdr:row>41</xdr:row>
      <xdr:rowOff>95625</xdr:rowOff>
    </xdr:to>
    <xdr:sp macro="" textlink="">
      <xdr:nvSpPr>
        <xdr:cNvPr id="30" name="Freccia in giù 9">
          <a:extLst>
            <a:ext uri="{FF2B5EF4-FFF2-40B4-BE49-F238E27FC236}">
              <a16:creationId xmlns:a16="http://schemas.microsoft.com/office/drawing/2014/main" id="{00000000-0008-0000-0900-00001E000000}"/>
            </a:ext>
          </a:extLst>
        </xdr:cNvPr>
        <xdr:cNvSpPr/>
      </xdr:nvSpPr>
      <xdr:spPr>
        <a:xfrm>
          <a:off x="5178222" y="14044157"/>
          <a:ext cx="136639" cy="2913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97574</xdr:colOff>
      <xdr:row>50</xdr:row>
      <xdr:rowOff>4645</xdr:rowOff>
    </xdr:from>
    <xdr:to>
      <xdr:col>119</xdr:col>
      <xdr:colOff>43694</xdr:colOff>
      <xdr:row>51</xdr:row>
      <xdr:rowOff>8166</xdr:rowOff>
    </xdr:to>
    <xdr:sp macro="" textlink="">
      <xdr:nvSpPr>
        <xdr:cNvPr id="31" name="Freccia in giù 9">
          <a:extLst>
            <a:ext uri="{FF2B5EF4-FFF2-40B4-BE49-F238E27FC236}">
              <a16:creationId xmlns:a16="http://schemas.microsoft.com/office/drawing/2014/main" id="{00000000-0008-0000-0900-00001F000000}"/>
            </a:ext>
          </a:extLst>
        </xdr:cNvPr>
        <xdr:cNvSpPr/>
      </xdr:nvSpPr>
      <xdr:spPr>
        <a:xfrm rot="5400000">
          <a:off x="6755424" y="15263820"/>
          <a:ext cx="127346" cy="3175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110</xdr:col>
      <xdr:colOff>41799</xdr:colOff>
      <xdr:row>62</xdr:row>
      <xdr:rowOff>18603</xdr:rowOff>
    </xdr:from>
    <xdr:to>
      <xdr:col>112</xdr:col>
      <xdr:colOff>74730</xdr:colOff>
      <xdr:row>64</xdr:row>
      <xdr:rowOff>42207</xdr:rowOff>
    </xdr:to>
    <xdr:sp macro="" textlink="">
      <xdr:nvSpPr>
        <xdr:cNvPr id="32" name="Freccia curva 7">
          <a:extLst>
            <a:ext uri="{FF2B5EF4-FFF2-40B4-BE49-F238E27FC236}">
              <a16:creationId xmlns:a16="http://schemas.microsoft.com/office/drawing/2014/main" id="{00000000-0008-0000-0900-000020000000}"/>
            </a:ext>
          </a:extLst>
        </xdr:cNvPr>
        <xdr:cNvSpPr/>
      </xdr:nvSpPr>
      <xdr:spPr>
        <a:xfrm>
          <a:off x="5861574" y="16858803"/>
          <a:ext cx="280581"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101</xdr:col>
      <xdr:colOff>65638</xdr:colOff>
      <xdr:row>39</xdr:row>
      <xdr:rowOff>70116</xdr:rowOff>
    </xdr:from>
    <xdr:to>
      <xdr:col>103</xdr:col>
      <xdr:colOff>98570</xdr:colOff>
      <xdr:row>41</xdr:row>
      <xdr:rowOff>92508</xdr:rowOff>
    </xdr:to>
    <xdr:sp macro="" textlink="">
      <xdr:nvSpPr>
        <xdr:cNvPr id="33" name="Freccia curva 7">
          <a:extLst>
            <a:ext uri="{FF2B5EF4-FFF2-40B4-BE49-F238E27FC236}">
              <a16:creationId xmlns:a16="http://schemas.microsoft.com/office/drawing/2014/main" id="{00000000-0008-0000-0900-000021000000}"/>
            </a:ext>
          </a:extLst>
        </xdr:cNvPr>
        <xdr:cNvSpPr/>
      </xdr:nvSpPr>
      <xdr:spPr>
        <a:xfrm rot="10800000">
          <a:off x="4770988" y="14062341"/>
          <a:ext cx="280582" cy="270042"/>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88</xdr:col>
      <xdr:colOff>80009</xdr:colOff>
      <xdr:row>46</xdr:row>
      <xdr:rowOff>53281</xdr:rowOff>
    </xdr:from>
    <xdr:to>
      <xdr:col>90</xdr:col>
      <xdr:colOff>103613</xdr:colOff>
      <xdr:row>48</xdr:row>
      <xdr:rowOff>86213</xdr:rowOff>
    </xdr:to>
    <xdr:sp macro="" textlink="">
      <xdr:nvSpPr>
        <xdr:cNvPr id="34" name="Freccia curva 7">
          <a:extLst>
            <a:ext uri="{FF2B5EF4-FFF2-40B4-BE49-F238E27FC236}">
              <a16:creationId xmlns:a16="http://schemas.microsoft.com/office/drawing/2014/main" id="{00000000-0008-0000-0900-000022000000}"/>
            </a:ext>
          </a:extLst>
        </xdr:cNvPr>
        <xdr:cNvSpPr/>
      </xdr:nvSpPr>
      <xdr:spPr>
        <a:xfrm rot="16200000">
          <a:off x="3170970" y="14916945"/>
          <a:ext cx="280582" cy="271254"/>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116</xdr:col>
      <xdr:colOff>107674</xdr:colOff>
      <xdr:row>46</xdr:row>
      <xdr:rowOff>57978</xdr:rowOff>
    </xdr:from>
    <xdr:to>
      <xdr:col>119</xdr:col>
      <xdr:colOff>7038</xdr:colOff>
      <xdr:row>48</xdr:row>
      <xdr:rowOff>90910</xdr:rowOff>
    </xdr:to>
    <xdr:sp macro="" textlink="">
      <xdr:nvSpPr>
        <xdr:cNvPr id="35" name="Freccia curva 7">
          <a:extLst>
            <a:ext uri="{FF2B5EF4-FFF2-40B4-BE49-F238E27FC236}">
              <a16:creationId xmlns:a16="http://schemas.microsoft.com/office/drawing/2014/main" id="{00000000-0008-0000-0900-000023000000}"/>
            </a:ext>
          </a:extLst>
        </xdr:cNvPr>
        <xdr:cNvSpPr/>
      </xdr:nvSpPr>
      <xdr:spPr>
        <a:xfrm rot="16200000">
          <a:off x="6665528" y="14921849"/>
          <a:ext cx="280582" cy="270839"/>
        </a:xfrm>
        <a:prstGeom prst="bentArrow">
          <a:avLst>
            <a:gd name="adj1" fmla="val 25000"/>
            <a:gd name="adj2" fmla="val 33333"/>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oneCellAnchor>
    <xdr:from>
      <xdr:col>47</xdr:col>
      <xdr:colOff>117910</xdr:colOff>
      <xdr:row>20</xdr:row>
      <xdr:rowOff>0</xdr:rowOff>
    </xdr:from>
    <xdr:ext cx="1226796" cy="356537"/>
    <xdr:sp macro="" textlink="">
      <xdr:nvSpPr>
        <xdr:cNvPr id="37" name="Rectangle 36">
          <a:extLst>
            <a:ext uri="{FF2B5EF4-FFF2-40B4-BE49-F238E27FC236}">
              <a16:creationId xmlns:a16="http://schemas.microsoft.com/office/drawing/2014/main" id="{00000000-0008-0000-0900-000025000000}"/>
            </a:ext>
          </a:extLst>
        </xdr:cNvPr>
        <xdr:cNvSpPr/>
      </xdr:nvSpPr>
      <xdr:spPr>
        <a:xfrm>
          <a:off x="5813860" y="2476500"/>
          <a:ext cx="1226796" cy="356537"/>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1</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47</xdr:col>
      <xdr:colOff>113428</xdr:colOff>
      <xdr:row>49</xdr:row>
      <xdr:rowOff>78442</xdr:rowOff>
    </xdr:from>
    <xdr:ext cx="1231277" cy="419290"/>
    <xdr:sp macro="" textlink="">
      <xdr:nvSpPr>
        <xdr:cNvPr id="38" name="Rectangle 37">
          <a:extLst>
            <a:ext uri="{FF2B5EF4-FFF2-40B4-BE49-F238E27FC236}">
              <a16:creationId xmlns:a16="http://schemas.microsoft.com/office/drawing/2014/main" id="{00000000-0008-0000-0900-000026000000}"/>
            </a:ext>
          </a:extLst>
        </xdr:cNvPr>
        <xdr:cNvSpPr/>
      </xdr:nvSpPr>
      <xdr:spPr>
        <a:xfrm>
          <a:off x="5809378" y="6145867"/>
          <a:ext cx="1231277" cy="419290"/>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5</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oneCellAnchor>
    <xdr:from>
      <xdr:col>8</xdr:col>
      <xdr:colOff>38128</xdr:colOff>
      <xdr:row>61</xdr:row>
      <xdr:rowOff>69235</xdr:rowOff>
    </xdr:from>
    <xdr:ext cx="1235761" cy="313954"/>
    <xdr:sp macro="" textlink="">
      <xdr:nvSpPr>
        <xdr:cNvPr id="39" name="Rectangle 38">
          <a:extLst>
            <a:ext uri="{FF2B5EF4-FFF2-40B4-BE49-F238E27FC236}">
              <a16:creationId xmlns:a16="http://schemas.microsoft.com/office/drawing/2014/main" id="{00000000-0008-0000-0900-000027000000}"/>
            </a:ext>
          </a:extLst>
        </xdr:cNvPr>
        <xdr:cNvSpPr/>
      </xdr:nvSpPr>
      <xdr:spPr>
        <a:xfrm>
          <a:off x="943003" y="7622560"/>
          <a:ext cx="1235761" cy="313954"/>
        </a:xfrm>
        <a:prstGeom prst="rect">
          <a:avLst/>
        </a:prstGeom>
        <a:noFill/>
      </xdr:spPr>
      <xdr:txBody>
        <a:bodyPr wrap="square" lIns="91440" tIns="45720" rIns="91440" bIns="45720">
          <a:noAutofit/>
        </a:bodyPr>
        <a:lstStyle/>
        <a:p>
          <a:pPr algn="ctr"/>
          <a:r>
            <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Zone</a:t>
          </a:r>
          <a:r>
            <a:rPr lang="en-US" sz="1600" b="1" cap="none" spc="0" baseline="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rPr>
            <a:t> 4</a:t>
          </a:r>
          <a:endParaRPr lang="en-US" sz="1600" b="1" cap="none" spc="0">
            <a:ln w="12700">
              <a:solidFill>
                <a:schemeClr val="tx1"/>
              </a:solidFill>
              <a:prstDash val="solid"/>
            </a:ln>
            <a:solidFill>
              <a:schemeClr val="tx1"/>
            </a:solidFill>
            <a:effectLst>
              <a:outerShdw blurRad="41275" dist="20320" dir="1800000" algn="tl" rotWithShape="0">
                <a:srgbClr val="000000">
                  <a:alpha val="40000"/>
                </a:srgbClr>
              </a:outerShdw>
              <a:reflection blurRad="6350" stA="55000" endA="300" endPos="45500" dir="5400000" sy="-100000" algn="bl" rotWithShape="0"/>
            </a:effectLst>
            <a:latin typeface="Times New Roman" pitchFamily="18" charset="0"/>
            <a:cs typeface="Times New Roman" pitchFamily="18" charset="0"/>
          </a:endParaRPr>
        </a:p>
      </xdr:txBody>
    </xdr:sp>
    <xdr:clientData/>
  </xdr:oneCellAnchor>
  <xdr:twoCellAnchor>
    <xdr:from>
      <xdr:col>39</xdr:col>
      <xdr:colOff>19811</xdr:colOff>
      <xdr:row>52</xdr:row>
      <xdr:rowOff>114300</xdr:rowOff>
    </xdr:from>
    <xdr:to>
      <xdr:col>48</xdr:col>
      <xdr:colOff>0</xdr:colOff>
      <xdr:row>54</xdr:row>
      <xdr:rowOff>30755</xdr:rowOff>
    </xdr:to>
    <xdr:cxnSp macro="">
      <xdr:nvCxnSpPr>
        <xdr:cNvPr id="40" name="Straight Connector 39">
          <a:extLst>
            <a:ext uri="{FF2B5EF4-FFF2-40B4-BE49-F238E27FC236}">
              <a16:creationId xmlns:a16="http://schemas.microsoft.com/office/drawing/2014/main" id="{00000000-0008-0000-0900-000028000000}"/>
            </a:ext>
          </a:extLst>
        </xdr:cNvPr>
        <xdr:cNvCxnSpPr>
          <a:stCxn id="41" idx="6"/>
        </xdr:cNvCxnSpPr>
      </xdr:nvCxnSpPr>
      <xdr:spPr>
        <a:xfrm flipV="1">
          <a:off x="4763261" y="6553200"/>
          <a:ext cx="1094614" cy="164105"/>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92348</xdr:colOff>
      <xdr:row>53</xdr:row>
      <xdr:rowOff>63360</xdr:rowOff>
    </xdr:from>
    <xdr:to>
      <xdr:col>39</xdr:col>
      <xdr:colOff>19811</xdr:colOff>
      <xdr:row>54</xdr:row>
      <xdr:rowOff>121975</xdr:rowOff>
    </xdr:to>
    <xdr:sp macro="" textlink="">
      <xdr:nvSpPr>
        <xdr:cNvPr id="41" name="Oval 40">
          <a:extLst>
            <a:ext uri="{FF2B5EF4-FFF2-40B4-BE49-F238E27FC236}">
              <a16:creationId xmlns:a16="http://schemas.microsoft.com/office/drawing/2014/main" id="{00000000-0008-0000-0900-000029000000}"/>
            </a:ext>
          </a:extLst>
        </xdr:cNvPr>
        <xdr:cNvSpPr/>
      </xdr:nvSpPr>
      <xdr:spPr>
        <a:xfrm>
          <a:off x="4588148" y="6626085"/>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38</xdr:col>
      <xdr:colOff>82352</xdr:colOff>
      <xdr:row>22</xdr:row>
      <xdr:rowOff>114301</xdr:rowOff>
    </xdr:from>
    <xdr:to>
      <xdr:col>47</xdr:col>
      <xdr:colOff>114300</xdr:colOff>
      <xdr:row>23</xdr:row>
      <xdr:rowOff>40278</xdr:rowOff>
    </xdr:to>
    <xdr:cxnSp macro="">
      <xdr:nvCxnSpPr>
        <xdr:cNvPr id="42" name="Straight Connector 41">
          <a:extLst>
            <a:ext uri="{FF2B5EF4-FFF2-40B4-BE49-F238E27FC236}">
              <a16:creationId xmlns:a16="http://schemas.microsoft.com/office/drawing/2014/main" id="{00000000-0008-0000-0900-00002A000000}"/>
            </a:ext>
          </a:extLst>
        </xdr:cNvPr>
        <xdr:cNvCxnSpPr>
          <a:stCxn id="43" idx="6"/>
        </xdr:cNvCxnSpPr>
      </xdr:nvCxnSpPr>
      <xdr:spPr>
        <a:xfrm flipV="1">
          <a:off x="4701977" y="2838451"/>
          <a:ext cx="1146373" cy="49802"/>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31064</xdr:colOff>
      <xdr:row>22</xdr:row>
      <xdr:rowOff>72883</xdr:rowOff>
    </xdr:from>
    <xdr:to>
      <xdr:col>38</xdr:col>
      <xdr:colOff>82352</xdr:colOff>
      <xdr:row>24</xdr:row>
      <xdr:rowOff>7673</xdr:rowOff>
    </xdr:to>
    <xdr:sp macro="" textlink="">
      <xdr:nvSpPr>
        <xdr:cNvPr id="43" name="Oval 42">
          <a:extLst>
            <a:ext uri="{FF2B5EF4-FFF2-40B4-BE49-F238E27FC236}">
              <a16:creationId xmlns:a16="http://schemas.microsoft.com/office/drawing/2014/main" id="{00000000-0008-0000-0900-00002B000000}"/>
            </a:ext>
          </a:extLst>
        </xdr:cNvPr>
        <xdr:cNvSpPr/>
      </xdr:nvSpPr>
      <xdr:spPr>
        <a:xfrm>
          <a:off x="4526864" y="2797033"/>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8</xdr:col>
      <xdr:colOff>9526</xdr:colOff>
      <xdr:row>53</xdr:row>
      <xdr:rowOff>102926</xdr:rowOff>
    </xdr:from>
    <xdr:to>
      <xdr:col>8</xdr:col>
      <xdr:colOff>90049</xdr:colOff>
      <xdr:row>63</xdr:row>
      <xdr:rowOff>95253</xdr:rowOff>
    </xdr:to>
    <xdr:cxnSp macro="">
      <xdr:nvCxnSpPr>
        <xdr:cNvPr id="44" name="Straight Connector 43">
          <a:extLst>
            <a:ext uri="{FF2B5EF4-FFF2-40B4-BE49-F238E27FC236}">
              <a16:creationId xmlns:a16="http://schemas.microsoft.com/office/drawing/2014/main" id="{00000000-0008-0000-0900-00002C000000}"/>
            </a:ext>
          </a:extLst>
        </xdr:cNvPr>
        <xdr:cNvCxnSpPr/>
      </xdr:nvCxnSpPr>
      <xdr:spPr>
        <a:xfrm rot="5400000">
          <a:off x="339374" y="7240678"/>
          <a:ext cx="1230577" cy="80523"/>
        </a:xfrm>
        <a:prstGeom prst="line">
          <a:avLst/>
        </a:prstGeom>
        <a:ln w="28575">
          <a:solidFill>
            <a:srgbClr val="FF0000"/>
          </a:solidFill>
          <a:prstDash val="sysDot"/>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40589</xdr:colOff>
      <xdr:row>52</xdr:row>
      <xdr:rowOff>44308</xdr:rowOff>
    </xdr:from>
    <xdr:to>
      <xdr:col>9</xdr:col>
      <xdr:colOff>91877</xdr:colOff>
      <xdr:row>53</xdr:row>
      <xdr:rowOff>102923</xdr:rowOff>
    </xdr:to>
    <xdr:sp macro="" textlink="">
      <xdr:nvSpPr>
        <xdr:cNvPr id="45" name="Oval 44">
          <a:extLst>
            <a:ext uri="{FF2B5EF4-FFF2-40B4-BE49-F238E27FC236}">
              <a16:creationId xmlns:a16="http://schemas.microsoft.com/office/drawing/2014/main" id="{00000000-0008-0000-0900-00002D000000}"/>
            </a:ext>
          </a:extLst>
        </xdr:cNvPr>
        <xdr:cNvSpPr/>
      </xdr:nvSpPr>
      <xdr:spPr>
        <a:xfrm>
          <a:off x="945464" y="6483208"/>
          <a:ext cx="175113" cy="182440"/>
        </a:xfrm>
        <a:prstGeom prst="ellipse">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112</xdr:col>
      <xdr:colOff>85725</xdr:colOff>
      <xdr:row>68</xdr:row>
      <xdr:rowOff>9525</xdr:rowOff>
    </xdr:from>
    <xdr:to>
      <xdr:col>122</xdr:col>
      <xdr:colOff>28574</xdr:colOff>
      <xdr:row>71</xdr:row>
      <xdr:rowOff>114300</xdr:rowOff>
    </xdr:to>
    <xdr:sp macro="" textlink="">
      <xdr:nvSpPr>
        <xdr:cNvPr id="46" name="Right Arrow 45">
          <a:hlinkClick xmlns:r="http://schemas.openxmlformats.org/officeDocument/2006/relationships" r:id="rId2"/>
          <a:extLst>
            <a:ext uri="{FF2B5EF4-FFF2-40B4-BE49-F238E27FC236}">
              <a16:creationId xmlns:a16="http://schemas.microsoft.com/office/drawing/2014/main" id="{00000000-0008-0000-0900-00002E000000}"/>
            </a:ext>
          </a:extLst>
        </xdr:cNvPr>
        <xdr:cNvSpPr/>
      </xdr:nvSpPr>
      <xdr:spPr>
        <a:xfrm>
          <a:off x="6191250" y="17506950"/>
          <a:ext cx="1181099" cy="4762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lang="en-US" sz="1000"/>
            <a:t>Back</a:t>
          </a:r>
          <a:r>
            <a:rPr lang="en-US" sz="1000" baseline="0"/>
            <a:t> to </a:t>
          </a:r>
          <a:r>
            <a:rPr lang="en-US" sz="1000"/>
            <a:t>Results</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sheetPr>
  <dimension ref="A1:FC257"/>
  <sheetViews>
    <sheetView showGridLines="0" showRowColHeaders="0" tabSelected="1" zoomScaleNormal="100" workbookViewId="0">
      <selection activeCell="AN3" sqref="AN3"/>
    </sheetView>
  </sheetViews>
  <sheetFormatPr defaultColWidth="0" defaultRowHeight="13.15" zeroHeight="1"/>
  <cols>
    <col min="1" max="1" width="0.5703125" customWidth="1"/>
    <col min="2" max="61" width="1.7109375" customWidth="1"/>
    <col min="62" max="63" width="0.5703125" customWidth="1"/>
    <col min="64" max="123" width="1.7109375" customWidth="1"/>
    <col min="124" max="124" width="0.5703125" customWidth="1"/>
    <col min="125" max="159" width="1.7109375" hidden="1" customWidth="1"/>
    <col min="160" max="16384" width="9.140625" hidden="1"/>
  </cols>
  <sheetData>
    <row r="1" spans="2:123" ht="9.9499999999999993" customHeight="1">
      <c r="B1" s="13"/>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70"/>
      <c r="BJ1" s="174"/>
      <c r="BK1" s="174"/>
      <c r="BL1" s="13"/>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70"/>
    </row>
    <row r="2" spans="2:123" ht="9.9499999999999993" customHeight="1">
      <c r="B2" s="1"/>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7"/>
      <c r="BJ2" s="174"/>
      <c r="BK2" s="174"/>
      <c r="BL2" s="1"/>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7"/>
    </row>
    <row r="3" spans="2:123" ht="9.9499999999999993" customHeight="1">
      <c r="B3" s="1"/>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7"/>
      <c r="BJ3" s="174"/>
      <c r="BK3" s="174"/>
      <c r="BL3" s="1"/>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74"/>
      <c r="DJ3" s="174"/>
      <c r="DK3" s="174"/>
      <c r="DL3" s="174"/>
      <c r="DM3" s="174"/>
      <c r="DN3" s="174"/>
      <c r="DO3" s="174"/>
      <c r="DP3" s="174"/>
      <c r="DQ3" s="174"/>
      <c r="DR3" s="174"/>
      <c r="DS3" s="177"/>
    </row>
    <row r="4" spans="2:123" ht="9.9499999999999993" customHeight="1">
      <c r="B4" s="1"/>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7"/>
      <c r="BJ4" s="174"/>
      <c r="BK4" s="174"/>
      <c r="BL4" s="1"/>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7"/>
    </row>
    <row r="5" spans="2:123" ht="9.9499999999999993" customHeigh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c r="B7" s="1"/>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7"/>
      <c r="BJ8" s="174"/>
      <c r="BK8" s="174"/>
      <c r="BL8" s="1"/>
      <c r="BM8" s="174"/>
      <c r="BN8" s="174"/>
      <c r="BO8" s="174"/>
      <c r="BP8" s="174"/>
      <c r="BQ8" s="174"/>
      <c r="BR8" s="174"/>
      <c r="BS8" s="174"/>
      <c r="BT8" s="174"/>
      <c r="BU8" s="87"/>
      <c r="BV8" s="88"/>
      <c r="BW8" s="88"/>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c r="B9" s="1"/>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7"/>
      <c r="BJ9" s="174"/>
      <c r="BK9" s="174"/>
      <c r="BL9" s="1"/>
      <c r="BM9" s="174"/>
      <c r="BN9" s="174"/>
      <c r="BO9" s="174"/>
      <c r="BP9" s="174"/>
      <c r="BQ9" s="174"/>
      <c r="BR9" s="174"/>
      <c r="BS9" s="174"/>
      <c r="BT9" s="174"/>
      <c r="BU9" s="88"/>
      <c r="BV9" s="88"/>
      <c r="BW9" s="88"/>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7"/>
      <c r="BJ10" s="174"/>
      <c r="BK10" s="174"/>
      <c r="BL10" s="1"/>
      <c r="BM10" s="174"/>
      <c r="BN10" s="174"/>
      <c r="BO10" s="174"/>
      <c r="BP10" s="174"/>
      <c r="BQ10" s="174"/>
      <c r="BR10" s="174"/>
      <c r="BS10" s="174"/>
      <c r="BT10" s="174"/>
      <c r="BU10" s="88"/>
      <c r="BV10" s="88"/>
      <c r="BW10" s="88"/>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7"/>
      <c r="BJ11" s="174"/>
      <c r="BK11" s="174"/>
      <c r="BL11" s="1"/>
      <c r="BM11" s="174"/>
      <c r="BN11" s="174"/>
      <c r="BO11" s="174"/>
      <c r="BP11" s="174"/>
      <c r="BQ11" s="174"/>
      <c r="BR11" s="174"/>
      <c r="BS11" s="174"/>
      <c r="BT11" s="174"/>
      <c r="BU11" s="88"/>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74"/>
      <c r="DK11" s="174"/>
      <c r="DL11" s="174"/>
      <c r="DM11" s="174"/>
      <c r="DN11" s="174"/>
      <c r="DO11" s="174"/>
      <c r="DP11" s="174"/>
      <c r="DQ11" s="174"/>
      <c r="DR11" s="174"/>
      <c r="DS11" s="177"/>
    </row>
    <row r="12" spans="2:123" ht="9.9499999999999993" customHeight="1">
      <c r="B12" s="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7"/>
      <c r="BJ12" s="174"/>
      <c r="BK12" s="174"/>
      <c r="BL12" s="1"/>
      <c r="BM12" s="174"/>
      <c r="BN12" s="174"/>
      <c r="BO12" s="174"/>
      <c r="BP12" s="174"/>
      <c r="BQ12" s="174"/>
      <c r="BR12" s="174"/>
      <c r="BS12" s="174"/>
      <c r="BT12" s="174"/>
      <c r="BU12" s="88"/>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74"/>
      <c r="DK12" s="174"/>
      <c r="DL12" s="174"/>
      <c r="DM12" s="174"/>
      <c r="DN12" s="174"/>
      <c r="DO12" s="174"/>
      <c r="DP12" s="174"/>
      <c r="DQ12" s="174"/>
      <c r="DR12" s="174"/>
      <c r="DS12" s="177"/>
    </row>
    <row r="13" spans="2:123" ht="9.9499999999999993" customHeight="1">
      <c r="B13" s="1"/>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7"/>
      <c r="BJ13" s="174"/>
      <c r="BK13" s="174"/>
      <c r="BL13" s="1"/>
      <c r="BM13" s="174"/>
      <c r="BN13" s="174"/>
      <c r="BO13" s="174"/>
      <c r="BP13" s="174"/>
      <c r="BQ13" s="174"/>
      <c r="BR13" s="174"/>
      <c r="BS13" s="174"/>
      <c r="BT13" s="174"/>
      <c r="BU13" s="88"/>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74"/>
      <c r="DK13" s="174"/>
      <c r="DL13" s="174"/>
      <c r="DM13" s="174"/>
      <c r="DN13" s="174"/>
      <c r="DO13" s="174"/>
      <c r="DP13" s="174"/>
      <c r="DQ13" s="174"/>
      <c r="DR13" s="174"/>
      <c r="DS13" s="177"/>
    </row>
    <row r="14" spans="2:123" ht="9.9499999999999993" customHeight="1">
      <c r="B14" s="1"/>
      <c r="C14" s="174"/>
      <c r="D14" s="174"/>
      <c r="E14" s="174"/>
      <c r="F14" s="174"/>
      <c r="G14" s="174"/>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174"/>
      <c r="BE14" s="174"/>
      <c r="BF14" s="174"/>
      <c r="BG14" s="174"/>
      <c r="BH14" s="174"/>
      <c r="BI14" s="177"/>
      <c r="BJ14" s="174"/>
      <c r="BK14" s="174"/>
      <c r="BL14" s="1"/>
      <c r="BM14" s="174"/>
      <c r="BN14" s="174"/>
      <c r="BO14" s="174"/>
      <c r="BP14" s="174"/>
      <c r="BQ14" s="174"/>
      <c r="BR14" s="174"/>
      <c r="BS14" s="174"/>
      <c r="BT14" s="174"/>
      <c r="BU14" s="88"/>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74"/>
      <c r="DK14" s="174"/>
      <c r="DL14" s="174"/>
      <c r="DM14" s="174"/>
      <c r="DN14" s="174"/>
      <c r="DO14" s="174"/>
      <c r="DP14" s="174"/>
      <c r="DQ14" s="174"/>
      <c r="DR14" s="174"/>
      <c r="DS14" s="177"/>
    </row>
    <row r="15" spans="2:123" ht="9.9499999999999993" customHeight="1">
      <c r="B15" s="1"/>
      <c r="C15" s="174"/>
      <c r="D15" s="174"/>
      <c r="E15" s="174"/>
      <c r="F15" s="174"/>
      <c r="G15" s="174"/>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174"/>
      <c r="BE15" s="174"/>
      <c r="BF15" s="174"/>
      <c r="BG15" s="174"/>
      <c r="BH15" s="174"/>
      <c r="BI15" s="177"/>
      <c r="BJ15" s="174"/>
      <c r="BK15" s="174"/>
      <c r="BL15" s="1"/>
      <c r="BM15" s="174"/>
      <c r="BN15" s="174"/>
      <c r="BO15" s="174"/>
      <c r="BP15" s="174"/>
      <c r="BQ15" s="174"/>
      <c r="BR15" s="174"/>
      <c r="BS15" s="174"/>
      <c r="BT15" s="174"/>
      <c r="BU15" s="88"/>
      <c r="BV15" s="6"/>
      <c r="BW15" s="6"/>
      <c r="BX15" s="6"/>
      <c r="BY15" s="6"/>
      <c r="BZ15" s="6"/>
      <c r="CA15" s="6"/>
      <c r="CB15" s="6"/>
      <c r="CC15" s="6"/>
      <c r="CD15" s="6"/>
      <c r="CE15" s="6"/>
      <c r="CF15" s="6"/>
      <c r="CG15" s="6"/>
      <c r="CH15" s="6"/>
      <c r="CI15" s="6"/>
      <c r="CJ15" s="6"/>
      <c r="CK15" s="107"/>
      <c r="CL15" s="107"/>
      <c r="CM15" s="107"/>
      <c r="CN15" s="107"/>
      <c r="CO15" s="107"/>
      <c r="CP15" s="107"/>
      <c r="CQ15" s="107"/>
      <c r="CR15" s="107"/>
      <c r="CS15" s="107"/>
      <c r="CT15" s="108"/>
      <c r="CU15" s="108"/>
      <c r="CV15" s="108"/>
      <c r="CW15" s="108"/>
      <c r="CX15" s="108"/>
      <c r="CY15" s="108"/>
      <c r="CZ15" s="108"/>
      <c r="DA15" s="108"/>
      <c r="DB15" s="108"/>
      <c r="DC15" s="108"/>
      <c r="DD15" s="108"/>
      <c r="DE15" s="108"/>
      <c r="DF15" s="108"/>
      <c r="DG15" s="108"/>
      <c r="DH15" s="108"/>
      <c r="DI15" s="108"/>
      <c r="DJ15" s="174"/>
      <c r="DK15" s="174"/>
      <c r="DL15" s="174"/>
      <c r="DM15" s="174"/>
      <c r="DN15" s="174"/>
      <c r="DO15" s="174"/>
      <c r="DP15" s="174"/>
      <c r="DQ15" s="174"/>
      <c r="DR15" s="174"/>
      <c r="DS15" s="177"/>
    </row>
    <row r="16" spans="2:123" ht="9.9499999999999993" customHeight="1">
      <c r="B16" s="1"/>
      <c r="C16" s="174"/>
      <c r="D16" s="174"/>
      <c r="E16" s="174"/>
      <c r="F16" s="174"/>
      <c r="G16" s="174"/>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174"/>
      <c r="BE16" s="174"/>
      <c r="BF16" s="174"/>
      <c r="BG16" s="173"/>
      <c r="BH16" s="174"/>
      <c r="BI16" s="177"/>
      <c r="BJ16" s="174"/>
      <c r="BK16" s="174"/>
      <c r="BL16" s="1"/>
      <c r="BM16" s="174"/>
      <c r="BN16" s="174"/>
      <c r="BO16" s="174"/>
      <c r="BP16" s="174"/>
      <c r="BQ16" s="174"/>
      <c r="BR16" s="174"/>
      <c r="BS16" s="174"/>
      <c r="BT16" s="174"/>
      <c r="BU16" s="88"/>
      <c r="BV16" s="6"/>
      <c r="BW16" s="6"/>
      <c r="BX16" s="6"/>
      <c r="BY16" s="6"/>
      <c r="BZ16" s="6"/>
      <c r="CA16" s="6"/>
      <c r="CB16" s="6"/>
      <c r="CC16" s="6"/>
      <c r="CD16" s="6"/>
      <c r="CE16" s="6"/>
      <c r="CF16" s="6"/>
      <c r="CG16" s="6"/>
      <c r="CH16" s="6"/>
      <c r="CI16" s="6"/>
      <c r="CJ16" s="6"/>
      <c r="CK16" s="107"/>
      <c r="CL16" s="107"/>
      <c r="CM16" s="107"/>
      <c r="CN16" s="107"/>
      <c r="CO16" s="107"/>
      <c r="CP16" s="107"/>
      <c r="CQ16" s="107"/>
      <c r="CR16" s="107"/>
      <c r="CS16" s="107"/>
      <c r="CT16" s="108"/>
      <c r="CU16" s="108"/>
      <c r="CV16" s="108"/>
      <c r="CW16" s="108"/>
      <c r="CX16" s="108"/>
      <c r="CY16" s="108"/>
      <c r="CZ16" s="108"/>
      <c r="DA16" s="108"/>
      <c r="DB16" s="108"/>
      <c r="DC16" s="108"/>
      <c r="DD16" s="108"/>
      <c r="DE16" s="108"/>
      <c r="DF16" s="108"/>
      <c r="DG16" s="108"/>
      <c r="DH16" s="108"/>
      <c r="DI16" s="108"/>
      <c r="DJ16" s="174"/>
      <c r="DK16" s="174"/>
      <c r="DL16" s="174"/>
      <c r="DM16" s="174"/>
      <c r="DN16" s="174"/>
      <c r="DO16" s="174"/>
      <c r="DP16" s="174"/>
      <c r="DQ16" s="174"/>
      <c r="DR16" s="174"/>
      <c r="DS16" s="177"/>
    </row>
    <row r="17" spans="2:123" ht="9.9499999999999993" customHeight="1">
      <c r="B17" s="1"/>
      <c r="C17" s="174"/>
      <c r="D17" s="174"/>
      <c r="E17" s="174"/>
      <c r="F17" s="174"/>
      <c r="G17" s="174"/>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174"/>
      <c r="BE17" s="174"/>
      <c r="BF17" s="174"/>
      <c r="BG17" s="173"/>
      <c r="BH17" s="174"/>
      <c r="BI17" s="177"/>
      <c r="BJ17" s="174"/>
      <c r="BK17" s="174"/>
      <c r="BL17" s="1"/>
      <c r="BM17" s="174"/>
      <c r="BN17" s="174"/>
      <c r="BO17" s="174"/>
      <c r="BP17" s="174"/>
      <c r="BQ17" s="174"/>
      <c r="BR17" s="174"/>
      <c r="BS17" s="174"/>
      <c r="BT17" s="174"/>
      <c r="BU17" s="88"/>
      <c r="BV17" s="6"/>
      <c r="BW17" s="6"/>
      <c r="BX17" s="6"/>
      <c r="BY17" s="6"/>
      <c r="BZ17" s="6"/>
      <c r="CA17" s="6"/>
      <c r="CB17" s="6"/>
      <c r="CC17" s="6"/>
      <c r="CD17" s="6"/>
      <c r="CE17" s="6"/>
      <c r="CF17" s="6"/>
      <c r="CG17" s="6"/>
      <c r="CH17" s="6"/>
      <c r="CI17" s="6"/>
      <c r="CJ17" s="6"/>
      <c r="CK17" s="107"/>
      <c r="CL17" s="107"/>
      <c r="CM17" s="107"/>
      <c r="CN17" s="107"/>
      <c r="CO17" s="107"/>
      <c r="CP17" s="107"/>
      <c r="CQ17" s="107"/>
      <c r="CR17" s="107"/>
      <c r="CS17" s="107"/>
      <c r="CT17" s="108"/>
      <c r="CU17" s="108"/>
      <c r="CV17" s="108"/>
      <c r="CW17" s="108"/>
      <c r="CX17" s="108"/>
      <c r="CY17" s="108"/>
      <c r="CZ17" s="108"/>
      <c r="DA17" s="108"/>
      <c r="DB17" s="108"/>
      <c r="DC17" s="108"/>
      <c r="DD17" s="108"/>
      <c r="DE17" s="108"/>
      <c r="DF17" s="108"/>
      <c r="DG17" s="108"/>
      <c r="DH17" s="108"/>
      <c r="DI17" s="108"/>
      <c r="DJ17" s="174"/>
      <c r="DK17" s="174"/>
      <c r="DL17" s="174"/>
      <c r="DM17" s="174"/>
      <c r="DN17" s="174"/>
      <c r="DO17" s="174"/>
      <c r="DP17" s="174"/>
      <c r="DQ17" s="174"/>
      <c r="DR17" s="174"/>
      <c r="DS17" s="177"/>
    </row>
    <row r="18" spans="2:123" ht="9.9499999999999993" customHeight="1">
      <c r="B18" s="1"/>
      <c r="C18" s="174"/>
      <c r="D18" s="174"/>
      <c r="E18" s="174"/>
      <c r="F18" s="174"/>
      <c r="G18" s="174"/>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174"/>
      <c r="BE18" s="174"/>
      <c r="BF18" s="174"/>
      <c r="BG18" s="173"/>
      <c r="BH18" s="174"/>
      <c r="BI18" s="177"/>
      <c r="BJ18" s="174"/>
      <c r="BK18" s="174"/>
      <c r="BL18" s="1"/>
      <c r="BM18" s="174"/>
      <c r="BN18" s="174"/>
      <c r="BO18" s="174"/>
      <c r="BP18" s="174"/>
      <c r="BQ18" s="174"/>
      <c r="BR18" s="174"/>
      <c r="BS18" s="174"/>
      <c r="BT18" s="174"/>
      <c r="BU18" s="88"/>
      <c r="BV18" s="6"/>
      <c r="BW18" s="6"/>
      <c r="BX18" s="6"/>
      <c r="BY18" s="6"/>
      <c r="BZ18" s="6"/>
      <c r="CA18" s="6"/>
      <c r="CB18" s="6"/>
      <c r="CC18" s="6"/>
      <c r="CD18" s="6"/>
      <c r="CE18" s="6"/>
      <c r="CF18" s="6"/>
      <c r="CG18" s="6"/>
      <c r="CH18" s="6"/>
      <c r="CI18" s="6"/>
      <c r="CJ18" s="6"/>
      <c r="CK18" s="107"/>
      <c r="CL18" s="107"/>
      <c r="CM18" s="107"/>
      <c r="CN18" s="107"/>
      <c r="CO18" s="107"/>
      <c r="CP18" s="107"/>
      <c r="CQ18" s="107"/>
      <c r="CR18" s="107"/>
      <c r="CS18" s="107"/>
      <c r="CT18" s="108"/>
      <c r="CU18" s="108"/>
      <c r="CV18" s="108"/>
      <c r="CW18" s="108"/>
      <c r="CX18" s="108"/>
      <c r="CY18" s="108"/>
      <c r="CZ18" s="108"/>
      <c r="DA18" s="108"/>
      <c r="DB18" s="108"/>
      <c r="DC18" s="108"/>
      <c r="DD18" s="108"/>
      <c r="DE18" s="108"/>
      <c r="DF18" s="108"/>
      <c r="DG18" s="108"/>
      <c r="DH18" s="108"/>
      <c r="DI18" s="108"/>
      <c r="DJ18" s="174"/>
      <c r="DK18" s="174"/>
      <c r="DL18" s="174"/>
      <c r="DM18" s="174"/>
      <c r="DN18" s="174"/>
      <c r="DO18" s="174"/>
      <c r="DP18" s="174"/>
      <c r="DQ18" s="174"/>
      <c r="DR18" s="174"/>
      <c r="DS18" s="177"/>
    </row>
    <row r="19" spans="2:123" ht="9.9499999999999993" customHeight="1">
      <c r="B19" s="1"/>
      <c r="C19" s="174"/>
      <c r="D19" s="174"/>
      <c r="E19" s="174"/>
      <c r="F19" s="174"/>
      <c r="G19" s="174"/>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174"/>
      <c r="BE19" s="174"/>
      <c r="BF19" s="174"/>
      <c r="BG19" s="173"/>
      <c r="BH19" s="174"/>
      <c r="BI19" s="177"/>
      <c r="BJ19" s="174"/>
      <c r="BK19" s="174"/>
      <c r="BL19" s="1"/>
      <c r="BM19" s="174"/>
      <c r="BN19" s="174"/>
      <c r="BO19" s="174"/>
      <c r="BP19" s="174"/>
      <c r="BQ19" s="174"/>
      <c r="BR19" s="174"/>
      <c r="BS19" s="174"/>
      <c r="BT19" s="174"/>
      <c r="BU19" s="88"/>
      <c r="BV19" s="6"/>
      <c r="BW19" s="6"/>
      <c r="BX19" s="6"/>
      <c r="BY19" s="6"/>
      <c r="BZ19" s="6"/>
      <c r="CA19" s="6"/>
      <c r="CB19" s="6"/>
      <c r="CC19" s="6"/>
      <c r="CD19" s="6"/>
      <c r="CE19" s="6"/>
      <c r="CF19" s="6"/>
      <c r="CG19" s="6"/>
      <c r="CH19" s="6"/>
      <c r="CI19" s="6"/>
      <c r="CJ19" s="6"/>
      <c r="CK19" s="107"/>
      <c r="CL19" s="107"/>
      <c r="CM19" s="107"/>
      <c r="CN19" s="107"/>
      <c r="CO19" s="107"/>
      <c r="CP19" s="107"/>
      <c r="CQ19" s="107"/>
      <c r="CR19" s="107"/>
      <c r="CS19" s="107"/>
      <c r="CT19" s="108"/>
      <c r="CU19" s="108"/>
      <c r="CV19" s="108"/>
      <c r="CW19" s="108"/>
      <c r="CX19" s="108"/>
      <c r="CY19" s="108"/>
      <c r="CZ19" s="108"/>
      <c r="DA19" s="108"/>
      <c r="DB19" s="108"/>
      <c r="DC19" s="108"/>
      <c r="DD19" s="108"/>
      <c r="DE19" s="108"/>
      <c r="DF19" s="108"/>
      <c r="DG19" s="108"/>
      <c r="DH19" s="108"/>
      <c r="DI19" s="108"/>
      <c r="DJ19" s="174"/>
      <c r="DK19" s="174"/>
      <c r="DL19" s="174"/>
      <c r="DM19" s="174"/>
      <c r="DN19" s="174"/>
      <c r="DO19" s="174"/>
      <c r="DP19" s="174"/>
      <c r="DQ19" s="174"/>
      <c r="DR19" s="174"/>
      <c r="DS19" s="177"/>
    </row>
    <row r="20" spans="2:123" ht="9.9499999999999993" customHeight="1">
      <c r="B20" s="1"/>
      <c r="C20" s="174"/>
      <c r="D20" s="174"/>
      <c r="E20" s="174"/>
      <c r="F20" s="174"/>
      <c r="G20" s="174"/>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174"/>
      <c r="BE20" s="174"/>
      <c r="BF20" s="174"/>
      <c r="BG20" s="3"/>
      <c r="BH20" s="174"/>
      <c r="BI20" s="177"/>
      <c r="BJ20" s="174"/>
      <c r="BK20" s="174"/>
      <c r="BL20" s="1"/>
      <c r="BM20" s="174"/>
      <c r="BN20" s="174"/>
      <c r="BO20" s="174"/>
      <c r="BP20" s="174"/>
      <c r="BQ20" s="174"/>
      <c r="BR20" s="174"/>
      <c r="BS20" s="174"/>
      <c r="BT20" s="174"/>
      <c r="BU20" s="88"/>
      <c r="BV20" s="6"/>
      <c r="BW20" s="6"/>
      <c r="BX20" s="6"/>
      <c r="BY20" s="6"/>
      <c r="BZ20" s="6"/>
      <c r="CA20" s="6"/>
      <c r="CB20" s="6"/>
      <c r="CC20" s="6"/>
      <c r="CD20" s="6"/>
      <c r="CE20" s="6"/>
      <c r="CF20" s="6"/>
      <c r="CG20" s="6"/>
      <c r="CH20" s="6"/>
      <c r="CI20" s="6"/>
      <c r="CJ20" s="6"/>
      <c r="CK20" s="107"/>
      <c r="CL20" s="107"/>
      <c r="CM20" s="107"/>
      <c r="CN20" s="107"/>
      <c r="CO20" s="107"/>
      <c r="CP20" s="107"/>
      <c r="CQ20" s="107"/>
      <c r="CR20" s="107"/>
      <c r="CS20" s="107"/>
      <c r="CT20" s="108"/>
      <c r="CU20" s="108"/>
      <c r="CV20" s="108"/>
      <c r="CW20" s="108"/>
      <c r="CX20" s="108"/>
      <c r="CY20" s="108"/>
      <c r="CZ20" s="108"/>
      <c r="DA20" s="108"/>
      <c r="DB20" s="108"/>
      <c r="DC20" s="108"/>
      <c r="DD20" s="108"/>
      <c r="DE20" s="108"/>
      <c r="DF20" s="108"/>
      <c r="DG20" s="108"/>
      <c r="DH20" s="108"/>
      <c r="DI20" s="108"/>
      <c r="DJ20" s="174"/>
      <c r="DK20" s="174"/>
      <c r="DL20" s="174"/>
      <c r="DM20" s="174"/>
      <c r="DN20" s="174"/>
      <c r="DO20" s="174"/>
      <c r="DP20" s="174"/>
      <c r="DQ20" s="174"/>
      <c r="DR20" s="174"/>
      <c r="DS20" s="177"/>
    </row>
    <row r="21" spans="2:123" ht="9.9499999999999993" customHeight="1">
      <c r="B21" s="1"/>
      <c r="C21" s="174"/>
      <c r="D21" s="174"/>
      <c r="E21" s="174"/>
      <c r="F21" s="174"/>
      <c r="G21" s="174"/>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174"/>
      <c r="BE21" s="174"/>
      <c r="BF21" s="174"/>
      <c r="BG21" s="174"/>
      <c r="BH21" s="174"/>
      <c r="BI21" s="177"/>
      <c r="BJ21" s="174"/>
      <c r="BK21" s="174"/>
      <c r="BL21" s="1"/>
      <c r="BM21" s="174"/>
      <c r="BN21" s="174"/>
      <c r="BO21" s="174"/>
      <c r="BP21" s="174"/>
      <c r="BQ21" s="174"/>
      <c r="BR21" s="174"/>
      <c r="BS21" s="174"/>
      <c r="BT21" s="174"/>
      <c r="BU21" s="88"/>
      <c r="BV21" s="6"/>
      <c r="BW21" s="6"/>
      <c r="BX21" s="6"/>
      <c r="BY21" s="6"/>
      <c r="BZ21" s="6"/>
      <c r="CA21" s="6"/>
      <c r="CB21" s="6"/>
      <c r="CC21" s="6"/>
      <c r="CD21" s="6"/>
      <c r="CE21" s="6"/>
      <c r="CF21" s="6"/>
      <c r="CG21" s="6"/>
      <c r="CH21" s="6"/>
      <c r="CI21" s="6"/>
      <c r="CJ21" s="6"/>
      <c r="CK21" s="107"/>
      <c r="CL21" s="107"/>
      <c r="CM21" s="107"/>
      <c r="CN21" s="107"/>
      <c r="CO21" s="107"/>
      <c r="CP21" s="107"/>
      <c r="CQ21" s="107"/>
      <c r="CR21" s="107"/>
      <c r="CS21" s="107"/>
      <c r="CT21" s="108"/>
      <c r="CU21" s="108"/>
      <c r="CV21" s="108"/>
      <c r="CW21" s="108"/>
      <c r="CX21" s="108"/>
      <c r="CY21" s="108"/>
      <c r="CZ21" s="108"/>
      <c r="DA21" s="108"/>
      <c r="DB21" s="108"/>
      <c r="DC21" s="108"/>
      <c r="DD21" s="108"/>
      <c r="DE21" s="108"/>
      <c r="DF21" s="108"/>
      <c r="DG21" s="108"/>
      <c r="DH21" s="108"/>
      <c r="DI21" s="108"/>
      <c r="DJ21" s="174"/>
      <c r="DK21" s="174"/>
      <c r="DL21" s="174"/>
      <c r="DM21" s="174"/>
      <c r="DN21" s="174"/>
      <c r="DO21" s="174"/>
      <c r="DP21" s="174"/>
      <c r="DQ21" s="174"/>
      <c r="DR21" s="174"/>
      <c r="DS21" s="177"/>
    </row>
    <row r="22" spans="2:123" ht="9.9499999999999993" customHeight="1">
      <c r="B22" s="1"/>
      <c r="C22" s="4"/>
      <c r="D22" s="4"/>
      <c r="E22" s="174"/>
      <c r="F22" s="174"/>
      <c r="G22" s="174"/>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174"/>
      <c r="BE22" s="174"/>
      <c r="BF22" s="174"/>
      <c r="BG22" s="174"/>
      <c r="BH22" s="174"/>
      <c r="BI22" s="177"/>
      <c r="BJ22" s="174"/>
      <c r="BK22" s="174"/>
      <c r="BL22" s="1"/>
      <c r="BM22" s="174"/>
      <c r="BN22" s="174"/>
      <c r="BO22" s="174"/>
      <c r="BP22" s="174"/>
      <c r="BQ22" s="174"/>
      <c r="BR22" s="174"/>
      <c r="BS22" s="174"/>
      <c r="BT22" s="174"/>
      <c r="BU22" s="88"/>
      <c r="BV22" s="6"/>
      <c r="BW22" s="6"/>
      <c r="BX22" s="6"/>
      <c r="BY22" s="6"/>
      <c r="BZ22" s="6"/>
      <c r="CA22" s="6"/>
      <c r="CB22" s="6"/>
      <c r="CC22" s="6"/>
      <c r="CD22" s="6"/>
      <c r="CE22" s="6"/>
      <c r="CF22" s="6"/>
      <c r="CG22" s="6"/>
      <c r="CH22" s="6"/>
      <c r="CI22" s="6"/>
      <c r="CJ22" s="6"/>
      <c r="CK22" s="107"/>
      <c r="CL22" s="107"/>
      <c r="CM22" s="107"/>
      <c r="CN22" s="107"/>
      <c r="CO22" s="107"/>
      <c r="CP22" s="107"/>
      <c r="CQ22" s="107"/>
      <c r="CR22" s="107"/>
      <c r="CS22" s="107"/>
      <c r="CT22" s="108"/>
      <c r="CU22" s="108"/>
      <c r="CV22" s="108"/>
      <c r="CW22" s="108"/>
      <c r="CX22" s="108"/>
      <c r="CY22" s="108"/>
      <c r="CZ22" s="108"/>
      <c r="DA22" s="108"/>
      <c r="DB22" s="108"/>
      <c r="DC22" s="108"/>
      <c r="DD22" s="108"/>
      <c r="DE22" s="108"/>
      <c r="DF22" s="108"/>
      <c r="DG22" s="108"/>
      <c r="DH22" s="108"/>
      <c r="DI22" s="108"/>
      <c r="DJ22" s="174"/>
      <c r="DK22" s="174"/>
      <c r="DL22" s="174"/>
      <c r="DM22" s="174"/>
      <c r="DN22" s="174"/>
      <c r="DO22" s="174"/>
      <c r="DP22" s="174"/>
      <c r="DQ22" s="174"/>
      <c r="DR22" s="174"/>
      <c r="DS22" s="177"/>
    </row>
    <row r="23" spans="2:123" ht="9.9499999999999993" customHeight="1">
      <c r="B23" s="1"/>
      <c r="C23" s="4"/>
      <c r="D23" s="4"/>
      <c r="E23" s="174"/>
      <c r="F23" s="174"/>
      <c r="G23" s="174"/>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174"/>
      <c r="BE23" s="174"/>
      <c r="BF23" s="174"/>
      <c r="BG23" s="174"/>
      <c r="BH23" s="174"/>
      <c r="BI23" s="177"/>
      <c r="BJ23" s="174"/>
      <c r="BK23" s="174"/>
      <c r="BL23" s="1"/>
      <c r="BM23" s="174"/>
      <c r="BN23" s="174"/>
      <c r="BO23" s="174"/>
      <c r="BP23" s="174"/>
      <c r="BQ23" s="174"/>
      <c r="BR23" s="174"/>
      <c r="BS23" s="174"/>
      <c r="BT23" s="174"/>
      <c r="BU23" s="88"/>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74"/>
      <c r="DK23" s="174"/>
      <c r="DL23" s="174"/>
      <c r="DM23" s="174"/>
      <c r="DN23" s="174"/>
      <c r="DO23" s="174"/>
      <c r="DP23" s="174"/>
      <c r="DQ23" s="174"/>
      <c r="DR23" s="174"/>
      <c r="DS23" s="177"/>
    </row>
    <row r="24" spans="2:123" ht="9.9499999999999993" customHeight="1">
      <c r="B24" s="1"/>
      <c r="C24" s="4"/>
      <c r="D24" s="4"/>
      <c r="E24" s="174"/>
      <c r="F24" s="174"/>
      <c r="G24" s="174"/>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174"/>
      <c r="BE24" s="174"/>
      <c r="BF24" s="174"/>
      <c r="BG24" s="174"/>
      <c r="BH24" s="174"/>
      <c r="BI24" s="177"/>
      <c r="BJ24" s="174"/>
      <c r="BK24" s="174"/>
      <c r="BL24" s="1"/>
      <c r="BM24" s="174"/>
      <c r="BN24" s="174"/>
      <c r="BO24" s="174"/>
      <c r="BP24" s="174"/>
      <c r="BQ24" s="174"/>
      <c r="BR24" s="174"/>
      <c r="BS24" s="174"/>
      <c r="BT24" s="174"/>
      <c r="BU24" s="174"/>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74"/>
      <c r="DK24" s="174"/>
      <c r="DL24" s="174"/>
      <c r="DM24" s="174"/>
      <c r="DN24" s="174"/>
      <c r="DO24" s="174"/>
      <c r="DP24" s="174"/>
      <c r="DQ24" s="174"/>
      <c r="DR24" s="174"/>
      <c r="DS24" s="177"/>
    </row>
    <row r="25" spans="2:123" ht="9.9499999999999993" customHeight="1">
      <c r="B25" s="1"/>
      <c r="C25" s="4"/>
      <c r="D25" s="4"/>
      <c r="E25" s="174"/>
      <c r="F25" s="174"/>
      <c r="G25" s="174"/>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174"/>
      <c r="BE25" s="174"/>
      <c r="BF25" s="174"/>
      <c r="BG25" s="174"/>
      <c r="BH25" s="174"/>
      <c r="BI25" s="177"/>
      <c r="BJ25" s="174"/>
      <c r="BK25" s="174"/>
      <c r="BL25" s="1"/>
      <c r="BM25" s="174"/>
      <c r="BN25" s="174"/>
      <c r="BO25" s="174"/>
      <c r="BP25" s="174"/>
      <c r="BQ25" s="174"/>
      <c r="BR25" s="174"/>
      <c r="BS25" s="174"/>
      <c r="BT25" s="174"/>
      <c r="BU25" s="174"/>
      <c r="BV25" s="6"/>
      <c r="BW25" s="6"/>
      <c r="BX25" s="6"/>
      <c r="BY25" s="6"/>
      <c r="BZ25" s="6"/>
      <c r="CA25" s="6"/>
      <c r="CB25" s="6"/>
      <c r="CC25" s="6"/>
      <c r="CD25" s="6"/>
      <c r="CE25" s="6"/>
      <c r="CF25" s="6"/>
      <c r="CG25" s="6"/>
      <c r="CH25" s="6"/>
      <c r="CI25" s="6"/>
      <c r="CJ25" s="6"/>
      <c r="CK25" s="107"/>
      <c r="CL25" s="107"/>
      <c r="CM25" s="107"/>
      <c r="CN25" s="107"/>
      <c r="CO25" s="107"/>
      <c r="CP25" s="107"/>
      <c r="CQ25" s="107"/>
      <c r="CR25" s="107"/>
      <c r="CS25" s="107"/>
      <c r="CT25" s="108"/>
      <c r="CU25" s="108"/>
      <c r="CV25" s="108"/>
      <c r="CW25" s="108"/>
      <c r="CX25" s="108"/>
      <c r="CY25" s="108"/>
      <c r="CZ25" s="108"/>
      <c r="DA25" s="108"/>
      <c r="DB25" s="108"/>
      <c r="DC25" s="108"/>
      <c r="DD25" s="108"/>
      <c r="DE25" s="108"/>
      <c r="DF25" s="108"/>
      <c r="DG25" s="108"/>
      <c r="DH25" s="108"/>
      <c r="DI25" s="108"/>
      <c r="DJ25" s="174"/>
      <c r="DK25" s="174"/>
      <c r="DL25" s="174"/>
      <c r="DM25" s="174"/>
      <c r="DN25" s="174"/>
      <c r="DO25" s="174"/>
      <c r="DP25" s="174"/>
      <c r="DQ25" s="174"/>
      <c r="DR25" s="174"/>
      <c r="DS25" s="177"/>
    </row>
    <row r="26" spans="2:123" ht="9.9499999999999993" customHeight="1">
      <c r="B26" s="1"/>
      <c r="C26" s="174"/>
      <c r="D26" s="174"/>
      <c r="E26" s="174"/>
      <c r="F26" s="174"/>
      <c r="G26" s="174"/>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174"/>
      <c r="BE26" s="174"/>
      <c r="BF26" s="174"/>
      <c r="BG26" s="174"/>
      <c r="BH26" s="174"/>
      <c r="BI26" s="177"/>
      <c r="BJ26" s="174"/>
      <c r="BK26" s="174"/>
      <c r="BL26" s="1"/>
      <c r="BM26" s="174"/>
      <c r="BN26" s="174"/>
      <c r="BO26" s="174"/>
      <c r="BP26" s="174"/>
      <c r="BQ26" s="174"/>
      <c r="BR26" s="174"/>
      <c r="BS26" s="174"/>
      <c r="BT26" s="174"/>
      <c r="BU26" s="174"/>
      <c r="BV26" s="6"/>
      <c r="BW26" s="6"/>
      <c r="BX26" s="6"/>
      <c r="BY26" s="6"/>
      <c r="BZ26" s="6"/>
      <c r="CA26" s="6"/>
      <c r="CB26" s="6"/>
      <c r="CC26" s="6"/>
      <c r="CD26" s="6"/>
      <c r="CE26" s="6"/>
      <c r="CF26" s="6"/>
      <c r="CG26" s="6"/>
      <c r="CH26" s="6"/>
      <c r="CI26" s="6"/>
      <c r="CJ26" s="6"/>
      <c r="CK26" s="107"/>
      <c r="CL26" s="107"/>
      <c r="CM26" s="107"/>
      <c r="CN26" s="107"/>
      <c r="CO26" s="107"/>
      <c r="CP26" s="107"/>
      <c r="CQ26" s="107"/>
      <c r="CR26" s="107"/>
      <c r="CS26" s="107"/>
      <c r="CT26" s="108"/>
      <c r="CU26" s="108"/>
      <c r="CV26" s="108"/>
      <c r="CW26" s="108"/>
      <c r="CX26" s="108"/>
      <c r="CY26" s="108"/>
      <c r="CZ26" s="108"/>
      <c r="DA26" s="108"/>
      <c r="DB26" s="108"/>
      <c r="DC26" s="108"/>
      <c r="DD26" s="108"/>
      <c r="DE26" s="108"/>
      <c r="DF26" s="108"/>
      <c r="DG26" s="108"/>
      <c r="DH26" s="108"/>
      <c r="DI26" s="108"/>
      <c r="DJ26" s="174"/>
      <c r="DK26" s="174"/>
      <c r="DL26" s="174"/>
      <c r="DM26" s="174"/>
      <c r="DN26" s="174"/>
      <c r="DO26" s="174"/>
      <c r="DP26" s="174"/>
      <c r="DQ26" s="174"/>
      <c r="DR26" s="174"/>
      <c r="DS26" s="177"/>
    </row>
    <row r="27" spans="2:123" ht="9.9499999999999993" customHeight="1">
      <c r="B27" s="1"/>
      <c r="C27" s="174"/>
      <c r="D27" s="174"/>
      <c r="E27" s="174"/>
      <c r="F27" s="174"/>
      <c r="G27" s="174"/>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174"/>
      <c r="BE27" s="174"/>
      <c r="BF27" s="174"/>
      <c r="BG27" s="174"/>
      <c r="BH27" s="174"/>
      <c r="BI27" s="177"/>
      <c r="BJ27" s="174"/>
      <c r="BK27" s="174"/>
      <c r="BL27" s="1"/>
      <c r="BM27" s="174"/>
      <c r="BN27" s="174"/>
      <c r="BO27" s="174"/>
      <c r="BP27" s="174"/>
      <c r="BQ27" s="174"/>
      <c r="BR27" s="174"/>
      <c r="BS27" s="174"/>
      <c r="BT27" s="174"/>
      <c r="BU27" s="174"/>
      <c r="BV27" s="6"/>
      <c r="BW27" s="6"/>
      <c r="BX27" s="6"/>
      <c r="BY27" s="6"/>
      <c r="BZ27" s="6"/>
      <c r="CA27" s="6"/>
      <c r="CB27" s="6"/>
      <c r="CC27" s="6"/>
      <c r="CD27" s="6"/>
      <c r="CE27" s="6"/>
      <c r="CF27" s="6"/>
      <c r="CG27" s="6"/>
      <c r="CH27" s="6"/>
      <c r="CI27" s="6"/>
      <c r="CJ27" s="6"/>
      <c r="CK27" s="107"/>
      <c r="CL27" s="107"/>
      <c r="CM27" s="107"/>
      <c r="CN27" s="107"/>
      <c r="CO27" s="107"/>
      <c r="CP27" s="107"/>
      <c r="CQ27" s="107"/>
      <c r="CR27" s="107"/>
      <c r="CS27" s="107"/>
      <c r="CT27" s="108"/>
      <c r="CU27" s="108"/>
      <c r="CV27" s="108"/>
      <c r="CW27" s="108"/>
      <c r="CX27" s="108"/>
      <c r="CY27" s="108"/>
      <c r="CZ27" s="108"/>
      <c r="DA27" s="108"/>
      <c r="DB27" s="108"/>
      <c r="DC27" s="108"/>
      <c r="DD27" s="108"/>
      <c r="DE27" s="108"/>
      <c r="DF27" s="108"/>
      <c r="DG27" s="108"/>
      <c r="DH27" s="108"/>
      <c r="DI27" s="108"/>
      <c r="DJ27" s="174"/>
      <c r="DK27" s="174"/>
      <c r="DL27" s="174"/>
      <c r="DM27" s="174"/>
      <c r="DN27" s="174"/>
      <c r="DO27" s="174"/>
      <c r="DP27" s="174"/>
      <c r="DQ27" s="174"/>
      <c r="DR27" s="174"/>
      <c r="DS27" s="177"/>
    </row>
    <row r="28" spans="2:123" ht="9.9499999999999993" customHeight="1">
      <c r="B28" s="1"/>
      <c r="C28" s="174"/>
      <c r="D28" s="174"/>
      <c r="E28" s="174"/>
      <c r="F28" s="174"/>
      <c r="G28" s="174"/>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174"/>
      <c r="BE28" s="174"/>
      <c r="BF28" s="174"/>
      <c r="BG28" s="174"/>
      <c r="BH28" s="174"/>
      <c r="BI28" s="177"/>
      <c r="BJ28" s="174"/>
      <c r="BK28" s="174"/>
      <c r="BL28" s="1"/>
      <c r="BM28" s="174"/>
      <c r="BN28" s="174"/>
      <c r="BO28" s="174"/>
      <c r="BP28" s="174"/>
      <c r="BQ28" s="174"/>
      <c r="BR28" s="174"/>
      <c r="BS28" s="174"/>
      <c r="BT28" s="174"/>
      <c r="BU28" s="174"/>
      <c r="BV28" s="6"/>
      <c r="BW28" s="6"/>
      <c r="BX28" s="6"/>
      <c r="BY28" s="6"/>
      <c r="BZ28" s="6"/>
      <c r="CA28" s="6"/>
      <c r="CB28" s="6"/>
      <c r="CC28" s="6"/>
      <c r="CD28" s="6"/>
      <c r="CE28" s="6"/>
      <c r="CF28" s="6"/>
      <c r="CG28" s="6"/>
      <c r="CH28" s="6"/>
      <c r="CI28" s="6"/>
      <c r="CJ28" s="6"/>
      <c r="CK28" s="107"/>
      <c r="CL28" s="107"/>
      <c r="CM28" s="107"/>
      <c r="CN28" s="107"/>
      <c r="CO28" s="107"/>
      <c r="CP28" s="107"/>
      <c r="CQ28" s="107"/>
      <c r="CR28" s="107"/>
      <c r="CS28" s="107"/>
      <c r="CT28" s="108"/>
      <c r="CU28" s="108"/>
      <c r="CV28" s="108"/>
      <c r="CW28" s="108"/>
      <c r="CX28" s="108"/>
      <c r="CY28" s="108"/>
      <c r="CZ28" s="108"/>
      <c r="DA28" s="108"/>
      <c r="DB28" s="108"/>
      <c r="DC28" s="108"/>
      <c r="DD28" s="108"/>
      <c r="DE28" s="108"/>
      <c r="DF28" s="108"/>
      <c r="DG28" s="108"/>
      <c r="DH28" s="108"/>
      <c r="DI28" s="108"/>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J29" s="174"/>
      <c r="BK29" s="174"/>
      <c r="BL29" s="1"/>
      <c r="BM29" s="174"/>
      <c r="BN29" s="174"/>
      <c r="BO29" s="174"/>
      <c r="BP29" s="174"/>
      <c r="BQ29" s="174"/>
      <c r="BR29" s="174"/>
      <c r="BS29" s="174"/>
      <c r="BT29" s="174"/>
      <c r="BU29" s="174"/>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J30" s="174"/>
      <c r="BK30" s="174"/>
      <c r="BL30" s="1"/>
      <c r="BM30" s="174"/>
      <c r="BN30" s="174"/>
      <c r="BO30" s="174"/>
      <c r="BP30" s="174"/>
      <c r="BQ30" s="174"/>
      <c r="BR30" s="174"/>
      <c r="BS30" s="174"/>
      <c r="BT30" s="174"/>
      <c r="BU30" s="174"/>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7"/>
      <c r="BJ31" s="174"/>
      <c r="BK31" s="174"/>
      <c r="BL31" s="1"/>
      <c r="BM31" s="174"/>
      <c r="BN31" s="174"/>
      <c r="BO31" s="174"/>
      <c r="BP31" s="174"/>
      <c r="BQ31" s="174"/>
      <c r="BR31" s="174"/>
      <c r="BS31" s="174"/>
      <c r="BT31" s="174"/>
      <c r="BU31" s="174"/>
      <c r="BV31" s="6"/>
      <c r="BW31" s="6"/>
      <c r="BX31" s="6"/>
      <c r="BY31" s="6"/>
      <c r="BZ31" s="6"/>
      <c r="CA31" s="6"/>
      <c r="CB31" s="6"/>
      <c r="CC31" s="6"/>
      <c r="CD31" s="6"/>
      <c r="CE31" s="6"/>
      <c r="CF31" s="6"/>
      <c r="CG31" s="6"/>
      <c r="CH31" s="6"/>
      <c r="CI31" s="6"/>
      <c r="CJ31" s="6"/>
      <c r="CK31" s="107"/>
      <c r="CL31" s="107"/>
      <c r="CM31" s="107"/>
      <c r="CN31" s="107"/>
      <c r="CO31" s="107"/>
      <c r="CP31" s="107"/>
      <c r="CQ31" s="107"/>
      <c r="CR31" s="107"/>
      <c r="CS31" s="107"/>
      <c r="CT31" s="108"/>
      <c r="CU31" s="108"/>
      <c r="CV31" s="108"/>
      <c r="CW31" s="108"/>
      <c r="CX31" s="108"/>
      <c r="CY31" s="108"/>
      <c r="CZ31" s="108"/>
      <c r="DA31" s="108"/>
      <c r="DB31" s="108"/>
      <c r="DC31" s="108"/>
      <c r="DD31" s="108"/>
      <c r="DE31" s="108"/>
      <c r="DF31" s="108"/>
      <c r="DG31" s="108"/>
      <c r="DH31" s="108"/>
      <c r="DI31" s="108"/>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7"/>
      <c r="BJ32" s="174"/>
      <c r="BK32" s="174"/>
      <c r="BL32" s="1"/>
      <c r="BM32" s="174"/>
      <c r="BN32" s="174"/>
      <c r="BO32" s="174"/>
      <c r="BP32" s="174"/>
      <c r="BQ32" s="174"/>
      <c r="BR32" s="174"/>
      <c r="BS32" s="174"/>
      <c r="BT32" s="174"/>
      <c r="BU32" s="174"/>
      <c r="BV32" s="6"/>
      <c r="BW32" s="6"/>
      <c r="BX32" s="6"/>
      <c r="BY32" s="6"/>
      <c r="BZ32" s="6"/>
      <c r="CA32" s="6"/>
      <c r="CB32" s="6"/>
      <c r="CC32" s="6"/>
      <c r="CD32" s="6"/>
      <c r="CE32" s="6"/>
      <c r="CF32" s="6"/>
      <c r="CG32" s="6"/>
      <c r="CH32" s="6"/>
      <c r="CI32" s="6"/>
      <c r="CJ32" s="6"/>
      <c r="CK32" s="107"/>
      <c r="CL32" s="107"/>
      <c r="CM32" s="107"/>
      <c r="CN32" s="107"/>
      <c r="CO32" s="107"/>
      <c r="CP32" s="107"/>
      <c r="CQ32" s="107"/>
      <c r="CR32" s="107"/>
      <c r="CS32" s="107"/>
      <c r="CT32" s="108"/>
      <c r="CU32" s="108"/>
      <c r="CV32" s="108"/>
      <c r="CW32" s="108"/>
      <c r="CX32" s="108"/>
      <c r="CY32" s="108"/>
      <c r="CZ32" s="108"/>
      <c r="DA32" s="108"/>
      <c r="DB32" s="108"/>
      <c r="DC32" s="108"/>
      <c r="DD32" s="108"/>
      <c r="DE32" s="108"/>
      <c r="DF32" s="108"/>
      <c r="DG32" s="108"/>
      <c r="DH32" s="108"/>
      <c r="DI32" s="108"/>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90"/>
      <c r="Z33" s="90"/>
      <c r="AA33" s="90"/>
      <c r="AB33" s="90"/>
      <c r="AC33" s="90"/>
      <c r="AD33" s="90"/>
      <c r="AE33" s="90"/>
      <c r="AF33" s="90"/>
      <c r="AG33" s="90"/>
      <c r="AH33" s="90"/>
      <c r="AI33" s="90"/>
      <c r="AJ33" s="90"/>
      <c r="AK33" s="90"/>
      <c r="AL33" s="90"/>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6"/>
      <c r="BW33" s="6"/>
      <c r="BX33" s="6"/>
      <c r="BY33" s="6"/>
      <c r="BZ33" s="6"/>
      <c r="CA33" s="6"/>
      <c r="CB33" s="6"/>
      <c r="CC33" s="6"/>
      <c r="CD33" s="6"/>
      <c r="CE33" s="6"/>
      <c r="CF33" s="6"/>
      <c r="CG33" s="6"/>
      <c r="CH33" s="6"/>
      <c r="CI33" s="6"/>
      <c r="CJ33" s="6"/>
      <c r="CK33" s="107"/>
      <c r="CL33" s="107"/>
      <c r="CM33" s="107"/>
      <c r="CN33" s="107"/>
      <c r="CO33" s="107"/>
      <c r="CP33" s="107"/>
      <c r="CQ33" s="107"/>
      <c r="CR33" s="107"/>
      <c r="CS33" s="107"/>
      <c r="CT33" s="108"/>
      <c r="CU33" s="108"/>
      <c r="CV33" s="108"/>
      <c r="CW33" s="108"/>
      <c r="CX33" s="108"/>
      <c r="CY33" s="108"/>
      <c r="CZ33" s="108"/>
      <c r="DA33" s="108"/>
      <c r="DB33" s="108"/>
      <c r="DC33" s="108"/>
      <c r="DD33" s="108"/>
      <c r="DE33" s="108"/>
      <c r="DF33" s="108"/>
      <c r="DG33" s="108"/>
      <c r="DH33" s="108"/>
      <c r="DI33" s="108"/>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90"/>
      <c r="Z34" s="90"/>
      <c r="AA34" s="90"/>
      <c r="AB34" s="90"/>
      <c r="AC34" s="90"/>
      <c r="AD34" s="90"/>
      <c r="AE34" s="90"/>
      <c r="AF34" s="90"/>
      <c r="AG34" s="90"/>
      <c r="AH34" s="90"/>
      <c r="AI34" s="90"/>
      <c r="AJ34" s="90"/>
      <c r="AK34" s="90"/>
      <c r="AL34" s="90"/>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6"/>
      <c r="BW34" s="6"/>
      <c r="BX34" s="6"/>
      <c r="BY34" s="6"/>
      <c r="BZ34" s="6"/>
      <c r="CA34" s="6"/>
      <c r="CB34" s="6"/>
      <c r="CC34" s="6"/>
      <c r="CD34" s="6"/>
      <c r="CE34" s="6"/>
      <c r="CF34" s="6"/>
      <c r="CG34" s="6"/>
      <c r="CH34" s="6"/>
      <c r="CI34" s="6"/>
      <c r="CJ34" s="6"/>
      <c r="CK34" s="107"/>
      <c r="CL34" s="107"/>
      <c r="CM34" s="107"/>
      <c r="CN34" s="107"/>
      <c r="CO34" s="107"/>
      <c r="CP34" s="107"/>
      <c r="CQ34" s="107"/>
      <c r="CR34" s="107"/>
      <c r="CS34" s="107"/>
      <c r="CT34" s="108"/>
      <c r="CU34" s="108"/>
      <c r="CV34" s="108"/>
      <c r="CW34" s="108"/>
      <c r="CX34" s="108"/>
      <c r="CY34" s="108"/>
      <c r="CZ34" s="108"/>
      <c r="DA34" s="108"/>
      <c r="DB34" s="108"/>
      <c r="DC34" s="108"/>
      <c r="DD34" s="108"/>
      <c r="DE34" s="108"/>
      <c r="DF34" s="108"/>
      <c r="DG34" s="108"/>
      <c r="DH34" s="108"/>
      <c r="DI34" s="108"/>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90"/>
      <c r="Z35" s="90"/>
      <c r="AA35" s="90"/>
      <c r="AB35" s="90"/>
      <c r="AC35" s="90"/>
      <c r="AD35" s="90"/>
      <c r="AE35" s="90"/>
      <c r="AF35" s="90"/>
      <c r="AG35" s="90"/>
      <c r="AH35" s="90"/>
      <c r="AI35" s="90"/>
      <c r="AJ35" s="90"/>
      <c r="AK35" s="90"/>
      <c r="AL35" s="90"/>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6"/>
      <c r="BW35" s="6"/>
      <c r="BX35" s="6"/>
      <c r="BY35" s="6"/>
      <c r="BZ35" s="6"/>
      <c r="CA35" s="6"/>
      <c r="CB35" s="6"/>
      <c r="CC35" s="6"/>
      <c r="CD35" s="6"/>
      <c r="CE35" s="6"/>
      <c r="CF35" s="6"/>
      <c r="CG35" s="6"/>
      <c r="CH35" s="6"/>
      <c r="CI35" s="6"/>
      <c r="CJ35" s="6"/>
      <c r="CK35" s="107"/>
      <c r="CL35" s="107"/>
      <c r="CM35" s="107"/>
      <c r="CN35" s="107"/>
      <c r="CO35" s="107"/>
      <c r="CP35" s="107"/>
      <c r="CQ35" s="107"/>
      <c r="CR35" s="107"/>
      <c r="CS35" s="107"/>
      <c r="CT35" s="108"/>
      <c r="CU35" s="108"/>
      <c r="CV35" s="108"/>
      <c r="CW35" s="108"/>
      <c r="CX35" s="108"/>
      <c r="CY35" s="108"/>
      <c r="CZ35" s="108"/>
      <c r="DA35" s="108"/>
      <c r="DB35" s="108"/>
      <c r="DC35" s="108"/>
      <c r="DD35" s="108"/>
      <c r="DE35" s="108"/>
      <c r="DF35" s="108"/>
      <c r="DG35" s="108"/>
      <c r="DH35" s="108"/>
      <c r="DI35" s="108"/>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6"/>
      <c r="BW36" s="6"/>
      <c r="BX36" s="6"/>
      <c r="BY36" s="6"/>
      <c r="BZ36" s="6"/>
      <c r="CA36" s="6"/>
      <c r="CB36" s="6"/>
      <c r="CC36" s="6"/>
      <c r="CD36" s="6"/>
      <c r="CE36" s="6"/>
      <c r="CF36" s="6"/>
      <c r="CG36" s="6"/>
      <c r="CH36" s="6"/>
      <c r="CI36" s="6"/>
      <c r="CJ36" s="6"/>
      <c r="CK36" s="107"/>
      <c r="CL36" s="107"/>
      <c r="CM36" s="107"/>
      <c r="CN36" s="107"/>
      <c r="CO36" s="107"/>
      <c r="CP36" s="107"/>
      <c r="CQ36" s="107"/>
      <c r="CR36" s="107"/>
      <c r="CS36" s="107"/>
      <c r="CT36" s="108"/>
      <c r="CU36" s="108"/>
      <c r="CV36" s="108"/>
      <c r="CW36" s="108"/>
      <c r="CX36" s="108"/>
      <c r="CY36" s="108"/>
      <c r="CZ36" s="108"/>
      <c r="DA36" s="108"/>
      <c r="DB36" s="108"/>
      <c r="DC36" s="108"/>
      <c r="DD36" s="108"/>
      <c r="DE36" s="108"/>
      <c r="DF36" s="108"/>
      <c r="DG36" s="108"/>
      <c r="DH36" s="108"/>
      <c r="DI36" s="108"/>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53"/>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6"/>
      <c r="BW37" s="6"/>
      <c r="BX37" s="6"/>
      <c r="BY37" s="6"/>
      <c r="BZ37" s="6"/>
      <c r="CA37" s="6"/>
      <c r="CB37" s="6"/>
      <c r="CC37" s="6"/>
      <c r="CD37" s="6"/>
      <c r="CE37" s="6"/>
      <c r="CF37" s="6"/>
      <c r="CG37" s="6"/>
      <c r="CH37" s="6"/>
      <c r="CI37" s="6"/>
      <c r="CJ37" s="6"/>
      <c r="CK37" s="107"/>
      <c r="CL37" s="107"/>
      <c r="CM37" s="107"/>
      <c r="CN37" s="107"/>
      <c r="CO37" s="107"/>
      <c r="CP37" s="107"/>
      <c r="CQ37" s="107"/>
      <c r="CR37" s="107"/>
      <c r="CS37" s="107"/>
      <c r="CT37" s="108"/>
      <c r="CU37" s="108"/>
      <c r="CV37" s="108"/>
      <c r="CW37" s="108"/>
      <c r="CX37" s="108"/>
      <c r="CY37" s="108"/>
      <c r="CZ37" s="108"/>
      <c r="DA37" s="108"/>
      <c r="DB37" s="108"/>
      <c r="DC37" s="108"/>
      <c r="DD37" s="108"/>
      <c r="DE37" s="108"/>
      <c r="DF37" s="108"/>
      <c r="DG37" s="108"/>
      <c r="DH37" s="108"/>
      <c r="DI37" s="108"/>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6"/>
      <c r="BW38" s="6"/>
      <c r="BX38" s="6"/>
      <c r="BY38" s="6"/>
      <c r="BZ38" s="6"/>
      <c r="CA38" s="6"/>
      <c r="CB38" s="6"/>
      <c r="CC38" s="6"/>
      <c r="CD38" s="6"/>
      <c r="CE38" s="6"/>
      <c r="CF38" s="6"/>
      <c r="CG38" s="6"/>
      <c r="CH38" s="6"/>
      <c r="CI38" s="6"/>
      <c r="CJ38" s="6"/>
      <c r="CK38" s="107"/>
      <c r="CL38" s="107"/>
      <c r="CM38" s="107"/>
      <c r="CN38" s="107"/>
      <c r="CO38" s="107"/>
      <c r="CP38" s="107"/>
      <c r="CQ38" s="107"/>
      <c r="CR38" s="107"/>
      <c r="CS38" s="107"/>
      <c r="CT38" s="108"/>
      <c r="CU38" s="108"/>
      <c r="CV38" s="108"/>
      <c r="CW38" s="108"/>
      <c r="CX38" s="108"/>
      <c r="CY38" s="108"/>
      <c r="CZ38" s="108"/>
      <c r="DA38" s="108"/>
      <c r="DB38" s="108"/>
      <c r="DC38" s="108"/>
      <c r="DD38" s="108"/>
      <c r="DE38" s="108"/>
      <c r="DF38" s="108"/>
      <c r="DG38" s="108"/>
      <c r="DH38" s="108"/>
      <c r="DI38" s="108"/>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6"/>
      <c r="BW39" s="6"/>
      <c r="BX39" s="6"/>
      <c r="BY39" s="6"/>
      <c r="BZ39" s="6"/>
      <c r="CA39" s="6"/>
      <c r="CB39" s="6"/>
      <c r="CC39" s="6"/>
      <c r="CD39" s="6"/>
      <c r="CE39" s="6"/>
      <c r="CF39" s="6"/>
      <c r="CG39" s="6"/>
      <c r="CH39" s="6"/>
      <c r="CI39" s="6"/>
      <c r="CJ39" s="6"/>
      <c r="CK39" s="107"/>
      <c r="CL39" s="107"/>
      <c r="CM39" s="107"/>
      <c r="CN39" s="107"/>
      <c r="CO39" s="107"/>
      <c r="CP39" s="107"/>
      <c r="CQ39" s="107"/>
      <c r="CR39" s="107"/>
      <c r="CS39" s="107"/>
      <c r="CT39" s="108"/>
      <c r="CU39" s="108"/>
      <c r="CV39" s="108"/>
      <c r="CW39" s="108"/>
      <c r="CX39" s="108"/>
      <c r="CY39" s="108"/>
      <c r="CZ39" s="108"/>
      <c r="DA39" s="108"/>
      <c r="DB39" s="108"/>
      <c r="DC39" s="108"/>
      <c r="DD39" s="108"/>
      <c r="DE39" s="108"/>
      <c r="DF39" s="108"/>
      <c r="DG39" s="108"/>
      <c r="DH39" s="108"/>
      <c r="DI39" s="108"/>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6"/>
      <c r="BW40" s="6"/>
      <c r="BX40" s="6"/>
      <c r="BY40" s="6"/>
      <c r="BZ40" s="6"/>
      <c r="CA40" s="6"/>
      <c r="CB40" s="6"/>
      <c r="CC40" s="6"/>
      <c r="CD40" s="6"/>
      <c r="CE40" s="6"/>
      <c r="CF40" s="6"/>
      <c r="CG40" s="6"/>
      <c r="CH40" s="6"/>
      <c r="CI40" s="6"/>
      <c r="CJ40" s="6"/>
      <c r="CK40" s="107"/>
      <c r="CL40" s="107"/>
      <c r="CM40" s="107"/>
      <c r="CN40" s="107"/>
      <c r="CO40" s="107"/>
      <c r="CP40" s="107"/>
      <c r="CQ40" s="107"/>
      <c r="CR40" s="107"/>
      <c r="CS40" s="107"/>
      <c r="CT40" s="108"/>
      <c r="CU40" s="108"/>
      <c r="CV40" s="108"/>
      <c r="CW40" s="108"/>
      <c r="CX40" s="108"/>
      <c r="CY40" s="108"/>
      <c r="CZ40" s="108"/>
      <c r="DA40" s="108"/>
      <c r="DB40" s="108"/>
      <c r="DC40" s="108"/>
      <c r="DD40" s="108"/>
      <c r="DE40" s="108"/>
      <c r="DF40" s="108"/>
      <c r="DG40" s="108"/>
      <c r="DH40" s="108"/>
      <c r="DI40" s="108"/>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52"/>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0"/>
      <c r="BB61" s="10"/>
      <c r="BC61" s="10"/>
      <c r="BD61" s="10"/>
      <c r="BE61" s="10"/>
      <c r="BF61" s="10"/>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1"/>
      <c r="F62" s="9"/>
      <c r="G62" s="9"/>
      <c r="H62" s="9"/>
      <c r="I62" s="9"/>
      <c r="J62" s="174"/>
      <c r="K62" s="9"/>
      <c r="L62" s="9"/>
      <c r="M62" s="9"/>
      <c r="N62" s="9"/>
      <c r="O62" s="9"/>
      <c r="P62" s="9"/>
      <c r="Q62" s="9"/>
      <c r="R62" s="9"/>
      <c r="S62" s="9"/>
      <c r="T62" s="9"/>
      <c r="U62" s="9"/>
      <c r="V62" s="9"/>
      <c r="W62" s="9"/>
      <c r="X62" s="9"/>
      <c r="Y62" s="174"/>
      <c r="Z62" s="174"/>
      <c r="AA62" s="174"/>
      <c r="AB62" s="174"/>
      <c r="AC62" s="174"/>
      <c r="AD62" s="174"/>
      <c r="AE62" s="174"/>
      <c r="AF62" s="174"/>
      <c r="AG62" s="174"/>
      <c r="AH62" s="174"/>
      <c r="AI62" s="174"/>
      <c r="AJ62" s="174"/>
      <c r="AK62" s="174"/>
      <c r="AL62" s="174"/>
      <c r="AM62" s="6"/>
      <c r="AN62" s="6"/>
      <c r="AO62" s="6"/>
      <c r="AP62" s="6"/>
      <c r="AQ62" s="6"/>
      <c r="AR62" s="6"/>
      <c r="AS62" s="6"/>
      <c r="AT62" s="6"/>
      <c r="AU62" s="6"/>
      <c r="AV62" s="10"/>
      <c r="AW62" s="10"/>
      <c r="AX62" s="10"/>
      <c r="AY62" s="10"/>
      <c r="AZ62" s="10"/>
      <c r="BA62" s="10"/>
      <c r="BB62" s="10"/>
      <c r="BC62" s="10"/>
      <c r="BD62" s="10"/>
      <c r="BE62" s="10"/>
      <c r="BF62" s="10"/>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9"/>
      <c r="F63" s="9"/>
      <c r="G63" s="9"/>
      <c r="H63" s="9"/>
      <c r="I63" s="9"/>
      <c r="J63" s="9"/>
      <c r="K63" s="9"/>
      <c r="L63" s="9"/>
      <c r="M63" s="9"/>
      <c r="N63" s="9"/>
      <c r="O63" s="9"/>
      <c r="P63" s="9"/>
      <c r="Q63" s="9"/>
      <c r="R63" s="9"/>
      <c r="S63" s="9"/>
      <c r="T63" s="9"/>
      <c r="U63" s="9"/>
      <c r="V63" s="9"/>
      <c r="W63" s="9"/>
      <c r="X63" s="9"/>
      <c r="Y63" s="174"/>
      <c r="Z63" s="174"/>
      <c r="AA63" s="174"/>
      <c r="AB63" s="174"/>
      <c r="AC63" s="174"/>
      <c r="AD63" s="174"/>
      <c r="AE63" s="174"/>
      <c r="AF63" s="174"/>
      <c r="AG63" s="174"/>
      <c r="AH63" s="174"/>
      <c r="AI63" s="174"/>
      <c r="AJ63" s="174"/>
      <c r="AK63" s="174"/>
      <c r="AL63" s="174"/>
      <c r="AM63" s="6"/>
      <c r="AN63" s="6"/>
      <c r="AO63" s="6"/>
      <c r="AP63" s="6"/>
      <c r="AQ63" s="6"/>
      <c r="AR63" s="6"/>
      <c r="AS63" s="6"/>
      <c r="AT63" s="6"/>
      <c r="AU63" s="10"/>
      <c r="AV63" s="10"/>
      <c r="AW63" s="10"/>
      <c r="AX63" s="10"/>
      <c r="AY63" s="10"/>
      <c r="AZ63" s="10"/>
      <c r="BA63" s="10"/>
      <c r="BB63" s="10"/>
      <c r="BC63" s="10"/>
      <c r="BD63" s="10"/>
      <c r="BE63" s="10"/>
      <c r="BF63" s="10"/>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1"/>
      <c r="F64" s="9"/>
      <c r="G64" s="9"/>
      <c r="H64" s="9"/>
      <c r="I64" s="9"/>
      <c r="J64" s="9"/>
      <c r="K64" s="9"/>
      <c r="L64" s="9"/>
      <c r="M64" s="9"/>
      <c r="N64" s="9"/>
      <c r="O64" s="9"/>
      <c r="P64" s="9"/>
      <c r="Q64" s="9"/>
      <c r="R64" s="9"/>
      <c r="S64" s="9"/>
      <c r="T64" s="9"/>
      <c r="U64" s="9"/>
      <c r="V64" s="9"/>
      <c r="W64" s="9"/>
      <c r="X64" s="9"/>
      <c r="Y64" s="174"/>
      <c r="Z64" s="174"/>
      <c r="AA64" s="174"/>
      <c r="AB64" s="174"/>
      <c r="AC64" s="174"/>
      <c r="AD64" s="174"/>
      <c r="AE64" s="174"/>
      <c r="AF64" s="174"/>
      <c r="AG64" s="174"/>
      <c r="AH64" s="174"/>
      <c r="AI64" s="174"/>
      <c r="AJ64" s="174"/>
      <c r="AK64" s="174"/>
      <c r="AL64" s="174"/>
      <c r="AM64" s="9"/>
      <c r="AN64" s="9"/>
      <c r="AO64" s="9"/>
      <c r="AP64" s="9"/>
      <c r="AQ64" s="9"/>
      <c r="AR64" s="9"/>
      <c r="AS64" s="9"/>
      <c r="AT64" s="9"/>
      <c r="AU64" s="9"/>
      <c r="AV64" s="9"/>
      <c r="AW64" s="9"/>
      <c r="AX64" s="9"/>
      <c r="AY64" s="9"/>
      <c r="AZ64" s="9"/>
      <c r="BA64" s="9"/>
      <c r="BB64" s="9"/>
      <c r="BC64" s="9"/>
      <c r="BD64" s="9"/>
      <c r="BE64" s="9"/>
      <c r="BF64" s="9"/>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9"/>
      <c r="F65" s="9"/>
      <c r="G65" s="9"/>
      <c r="H65" s="9"/>
      <c r="I65" s="9"/>
      <c r="J65" s="9"/>
      <c r="K65" s="9"/>
      <c r="L65" s="9"/>
      <c r="M65" s="9"/>
      <c r="N65" s="9"/>
      <c r="O65" s="9"/>
      <c r="P65" s="9"/>
      <c r="Q65" s="9"/>
      <c r="R65" s="9"/>
      <c r="S65" s="9"/>
      <c r="T65" s="9"/>
      <c r="U65" s="9"/>
      <c r="V65" s="9"/>
      <c r="W65" s="9"/>
      <c r="X65" s="9"/>
      <c r="Y65" s="174"/>
      <c r="Z65" s="174"/>
      <c r="AA65" s="174"/>
      <c r="AB65" s="174"/>
      <c r="AC65" s="174"/>
      <c r="AD65" s="174"/>
      <c r="AE65" s="174"/>
      <c r="AF65" s="174"/>
      <c r="AG65" s="174"/>
      <c r="AH65" s="174"/>
      <c r="AI65" s="174"/>
      <c r="AJ65" s="174"/>
      <c r="AK65" s="174"/>
      <c r="AL65" s="174"/>
      <c r="AM65" s="9"/>
      <c r="AN65" s="9"/>
      <c r="AO65" s="9"/>
      <c r="AP65" s="9"/>
      <c r="AQ65" s="9"/>
      <c r="AR65" s="9"/>
      <c r="AS65" s="9"/>
      <c r="AT65" s="9"/>
      <c r="AU65" s="9"/>
      <c r="AV65" s="9"/>
      <c r="AW65" s="9"/>
      <c r="AX65" s="9"/>
      <c r="AY65" s="9"/>
      <c r="AZ65" s="9"/>
      <c r="BA65" s="9"/>
      <c r="BB65" s="9"/>
      <c r="BC65" s="9"/>
      <c r="BD65" s="9"/>
      <c r="BE65" s="9"/>
      <c r="BF65" s="9"/>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91"/>
      <c r="Z69" s="91"/>
      <c r="AA69" s="91"/>
      <c r="AB69" s="91"/>
      <c r="AC69" s="91"/>
      <c r="AD69" s="91"/>
      <c r="AE69" s="91"/>
      <c r="AF69" s="91"/>
      <c r="AG69" s="91"/>
      <c r="AH69" s="91"/>
      <c r="AI69" s="91"/>
      <c r="AJ69" s="91"/>
      <c r="AK69" s="91"/>
      <c r="AL69" s="91"/>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91"/>
      <c r="Z70" s="91"/>
      <c r="AA70" s="91"/>
      <c r="AB70" s="91"/>
      <c r="AC70" s="91"/>
      <c r="AD70" s="91"/>
      <c r="AE70" s="91"/>
      <c r="AF70" s="91"/>
      <c r="AG70" s="91"/>
      <c r="AH70" s="91"/>
      <c r="AI70" s="91"/>
      <c r="AJ70" s="91"/>
      <c r="AK70" s="91"/>
      <c r="AL70" s="91"/>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91"/>
      <c r="Z71" s="91"/>
      <c r="AA71" s="91"/>
      <c r="AB71" s="91"/>
      <c r="AC71" s="91"/>
      <c r="AD71" s="91"/>
      <c r="AE71" s="91"/>
      <c r="AF71" s="91"/>
      <c r="AG71" s="91"/>
      <c r="AH71" s="91"/>
      <c r="AI71" s="91"/>
      <c r="AJ71" s="91"/>
      <c r="AK71" s="91"/>
      <c r="AL71" s="91"/>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spans="11:51" ht="9.9499999999999993" hidden="1" customHeight="1">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row>
    <row r="82" spans="11:51" ht="9.9499999999999993" hidden="1" customHeight="1">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row>
    <row r="83" spans="11:51" ht="9.9499999999999993" hidden="1" customHeight="1">
      <c r="K83" s="87"/>
      <c r="L83" s="88"/>
      <c r="M83" s="88"/>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row>
    <row r="84" spans="11:51" ht="9.9499999999999993" hidden="1" customHeight="1">
      <c r="K84" s="88"/>
      <c r="L84" s="88"/>
      <c r="M84" s="88"/>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row>
    <row r="85" spans="11:51" ht="9.9499999999999993" hidden="1" customHeight="1">
      <c r="K85" s="88"/>
      <c r="L85" s="88"/>
      <c r="M85" s="88"/>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row>
    <row r="86" spans="11:51" ht="9.9499999999999993" hidden="1" customHeight="1">
      <c r="K86" s="88"/>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row>
    <row r="87" spans="11:51" ht="9.9499999999999993" hidden="1" customHeight="1">
      <c r="K87" s="88"/>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row>
    <row r="88" spans="11:51" ht="9.9499999999999993" hidden="1" customHeight="1">
      <c r="K88" s="88"/>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row>
    <row r="89" spans="11:51" ht="9.9499999999999993" hidden="1" customHeight="1">
      <c r="K89" s="88"/>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row>
    <row r="90" spans="11:51" ht="9.9499999999999993" hidden="1" customHeight="1">
      <c r="K90" s="88"/>
      <c r="L90" s="6"/>
      <c r="M90" s="6"/>
      <c r="N90" s="6"/>
      <c r="O90" s="6"/>
      <c r="P90" s="6"/>
      <c r="Q90" s="6"/>
      <c r="R90" s="6"/>
      <c r="S90" s="6"/>
      <c r="T90" s="6"/>
      <c r="U90" s="6"/>
      <c r="V90" s="6"/>
      <c r="W90" s="6"/>
      <c r="X90" s="6"/>
      <c r="Y90" s="6"/>
      <c r="Z90" s="6"/>
      <c r="AA90" s="107"/>
      <c r="AB90" s="107"/>
      <c r="AC90" s="107"/>
      <c r="AD90" s="107"/>
      <c r="AE90" s="107"/>
      <c r="AF90" s="107"/>
      <c r="AG90" s="107"/>
      <c r="AH90" s="107"/>
      <c r="AI90" s="107"/>
      <c r="AJ90" s="108"/>
      <c r="AK90" s="108"/>
      <c r="AL90" s="108"/>
      <c r="AM90" s="108"/>
      <c r="AN90" s="108"/>
      <c r="AO90" s="108"/>
      <c r="AP90" s="108"/>
      <c r="AQ90" s="108"/>
      <c r="AR90" s="108"/>
      <c r="AS90" s="108"/>
      <c r="AT90" s="108"/>
      <c r="AU90" s="108"/>
      <c r="AV90" s="108"/>
      <c r="AW90" s="108"/>
      <c r="AX90" s="108"/>
      <c r="AY90" s="108"/>
    </row>
    <row r="91" spans="11:51" ht="9.9499999999999993" hidden="1" customHeight="1">
      <c r="K91" s="88"/>
      <c r="L91" s="6"/>
      <c r="M91" s="6"/>
      <c r="N91" s="6"/>
      <c r="O91" s="6"/>
      <c r="P91" s="6"/>
      <c r="Q91" s="6"/>
      <c r="R91" s="6"/>
      <c r="S91" s="6"/>
      <c r="T91" s="6"/>
      <c r="U91" s="6"/>
      <c r="V91" s="6"/>
      <c r="W91" s="6"/>
      <c r="X91" s="6"/>
      <c r="Y91" s="6"/>
      <c r="Z91" s="6"/>
      <c r="AA91" s="107"/>
      <c r="AB91" s="107"/>
      <c r="AC91" s="107"/>
      <c r="AD91" s="107"/>
      <c r="AE91" s="107"/>
      <c r="AF91" s="107"/>
      <c r="AG91" s="107"/>
      <c r="AH91" s="107"/>
      <c r="AI91" s="107"/>
      <c r="AJ91" s="108"/>
      <c r="AK91" s="108"/>
      <c r="AL91" s="108"/>
      <c r="AM91" s="108"/>
      <c r="AN91" s="108"/>
      <c r="AO91" s="108"/>
      <c r="AP91" s="108"/>
      <c r="AQ91" s="108"/>
      <c r="AR91" s="108"/>
      <c r="AS91" s="108"/>
      <c r="AT91" s="108"/>
      <c r="AU91" s="108"/>
      <c r="AV91" s="108"/>
      <c r="AW91" s="108"/>
      <c r="AX91" s="108"/>
      <c r="AY91" s="108"/>
    </row>
    <row r="92" spans="11:51" ht="9.9499999999999993" hidden="1" customHeight="1">
      <c r="K92" s="88"/>
      <c r="L92" s="6"/>
      <c r="M92" s="6"/>
      <c r="N92" s="6"/>
      <c r="O92" s="6"/>
      <c r="P92" s="6"/>
      <c r="Q92" s="6"/>
      <c r="R92" s="6"/>
      <c r="S92" s="6"/>
      <c r="T92" s="6"/>
      <c r="U92" s="6"/>
      <c r="V92" s="6"/>
      <c r="W92" s="6"/>
      <c r="X92" s="6"/>
      <c r="Y92" s="6"/>
      <c r="Z92" s="6"/>
      <c r="AA92" s="107"/>
      <c r="AB92" s="107"/>
      <c r="AC92" s="107"/>
      <c r="AD92" s="107"/>
      <c r="AE92" s="107"/>
      <c r="AF92" s="107"/>
      <c r="AG92" s="107"/>
      <c r="AH92" s="107"/>
      <c r="AI92" s="107"/>
      <c r="AJ92" s="108"/>
      <c r="AK92" s="108"/>
      <c r="AL92" s="108"/>
      <c r="AM92" s="108"/>
      <c r="AN92" s="108"/>
      <c r="AO92" s="108"/>
      <c r="AP92" s="108"/>
      <c r="AQ92" s="108"/>
      <c r="AR92" s="108"/>
      <c r="AS92" s="108"/>
      <c r="AT92" s="108"/>
      <c r="AU92" s="108"/>
      <c r="AV92" s="108"/>
      <c r="AW92" s="108"/>
      <c r="AX92" s="108"/>
      <c r="AY92" s="108"/>
    </row>
    <row r="93" spans="11:51" ht="9.9499999999999993" hidden="1" customHeight="1">
      <c r="K93" s="88"/>
      <c r="L93" s="6"/>
      <c r="M93" s="6"/>
      <c r="N93" s="6"/>
      <c r="O93" s="6"/>
      <c r="P93" s="6"/>
      <c r="Q93" s="6"/>
      <c r="R93" s="6"/>
      <c r="S93" s="6"/>
      <c r="T93" s="6"/>
      <c r="U93" s="6"/>
      <c r="V93" s="6"/>
      <c r="W93" s="6"/>
      <c r="X93" s="6"/>
      <c r="Y93" s="6"/>
      <c r="Z93" s="6"/>
      <c r="AA93" s="107"/>
      <c r="AB93" s="107"/>
      <c r="AC93" s="107"/>
      <c r="AD93" s="107"/>
      <c r="AE93" s="107"/>
      <c r="AF93" s="107"/>
      <c r="AG93" s="107"/>
      <c r="AH93" s="107"/>
      <c r="AI93" s="107"/>
      <c r="AJ93" s="108"/>
      <c r="AK93" s="108"/>
      <c r="AL93" s="108"/>
      <c r="AM93" s="108"/>
      <c r="AN93" s="108"/>
      <c r="AO93" s="108"/>
      <c r="AP93" s="108"/>
      <c r="AQ93" s="108"/>
      <c r="AR93" s="108"/>
      <c r="AS93" s="108"/>
      <c r="AT93" s="108"/>
      <c r="AU93" s="108"/>
      <c r="AV93" s="108"/>
      <c r="AW93" s="108"/>
      <c r="AX93" s="108"/>
      <c r="AY93" s="108"/>
    </row>
    <row r="94" spans="11:51" ht="9.9499999999999993" hidden="1" customHeight="1">
      <c r="K94" s="88"/>
      <c r="L94" s="6"/>
      <c r="M94" s="6"/>
      <c r="N94" s="6"/>
      <c r="O94" s="6"/>
      <c r="P94" s="6"/>
      <c r="Q94" s="6"/>
      <c r="R94" s="6"/>
      <c r="S94" s="6"/>
      <c r="T94" s="6"/>
      <c r="U94" s="6"/>
      <c r="V94" s="6"/>
      <c r="W94" s="6"/>
      <c r="X94" s="6"/>
      <c r="Y94" s="6"/>
      <c r="Z94" s="6"/>
      <c r="AA94" s="107"/>
      <c r="AB94" s="107"/>
      <c r="AC94" s="107"/>
      <c r="AD94" s="107"/>
      <c r="AE94" s="107"/>
      <c r="AF94" s="107"/>
      <c r="AG94" s="107"/>
      <c r="AH94" s="107"/>
      <c r="AI94" s="107"/>
      <c r="AJ94" s="108"/>
      <c r="AK94" s="108"/>
      <c r="AL94" s="108"/>
      <c r="AM94" s="108"/>
      <c r="AN94" s="108"/>
      <c r="AO94" s="108"/>
      <c r="AP94" s="108"/>
      <c r="AQ94" s="108"/>
      <c r="AR94" s="108"/>
      <c r="AS94" s="108"/>
      <c r="AT94" s="108"/>
      <c r="AU94" s="108"/>
      <c r="AV94" s="108"/>
      <c r="AW94" s="108"/>
      <c r="AX94" s="108"/>
      <c r="AY94" s="108"/>
    </row>
    <row r="95" spans="11:51" ht="9.9499999999999993" hidden="1" customHeight="1">
      <c r="K95" s="88"/>
      <c r="L95" s="6"/>
      <c r="M95" s="6"/>
      <c r="N95" s="6"/>
      <c r="O95" s="6"/>
      <c r="P95" s="6"/>
      <c r="Q95" s="6"/>
      <c r="R95" s="6"/>
      <c r="S95" s="6"/>
      <c r="T95" s="6"/>
      <c r="U95" s="6"/>
      <c r="V95" s="6"/>
      <c r="W95" s="6"/>
      <c r="X95" s="6"/>
      <c r="Y95" s="6"/>
      <c r="Z95" s="6"/>
      <c r="AA95" s="107"/>
      <c r="AB95" s="107"/>
      <c r="AC95" s="107"/>
      <c r="AD95" s="107"/>
      <c r="AE95" s="107"/>
      <c r="AF95" s="107"/>
      <c r="AG95" s="107"/>
      <c r="AH95" s="107"/>
      <c r="AI95" s="107"/>
      <c r="AJ95" s="108"/>
      <c r="AK95" s="108"/>
      <c r="AL95" s="108"/>
      <c r="AM95" s="108"/>
      <c r="AN95" s="108"/>
      <c r="AO95" s="108"/>
      <c r="AP95" s="108"/>
      <c r="AQ95" s="108"/>
      <c r="AR95" s="108"/>
      <c r="AS95" s="108"/>
      <c r="AT95" s="108"/>
      <c r="AU95" s="108"/>
      <c r="AV95" s="108"/>
      <c r="AW95" s="108"/>
      <c r="AX95" s="108"/>
      <c r="AY95" s="108"/>
    </row>
    <row r="96" spans="11:51" ht="9.9499999999999993" hidden="1" customHeight="1">
      <c r="K96" s="88"/>
      <c r="L96" s="6"/>
      <c r="M96" s="6"/>
      <c r="N96" s="6"/>
      <c r="O96" s="6"/>
      <c r="P96" s="6"/>
      <c r="Q96" s="6"/>
      <c r="R96" s="6"/>
      <c r="S96" s="6"/>
      <c r="T96" s="6"/>
      <c r="U96" s="6"/>
      <c r="V96" s="6"/>
      <c r="W96" s="6"/>
      <c r="X96" s="6"/>
      <c r="Y96" s="6"/>
      <c r="Z96" s="6"/>
      <c r="AA96" s="107"/>
      <c r="AB96" s="107"/>
      <c r="AC96" s="107"/>
      <c r="AD96" s="107"/>
      <c r="AE96" s="107"/>
      <c r="AF96" s="107"/>
      <c r="AG96" s="107"/>
      <c r="AH96" s="107"/>
      <c r="AI96" s="107"/>
      <c r="AJ96" s="108"/>
      <c r="AK96" s="108"/>
      <c r="AL96" s="108"/>
      <c r="AM96" s="108"/>
      <c r="AN96" s="108"/>
      <c r="AO96" s="108"/>
      <c r="AP96" s="108"/>
      <c r="AQ96" s="108"/>
      <c r="AR96" s="108"/>
      <c r="AS96" s="108"/>
      <c r="AT96" s="108"/>
      <c r="AU96" s="108"/>
      <c r="AV96" s="108"/>
      <c r="AW96" s="108"/>
      <c r="AX96" s="108"/>
      <c r="AY96" s="108"/>
    </row>
    <row r="97" spans="11:51" ht="9.9499999999999993" hidden="1" customHeight="1">
      <c r="K97" s="88"/>
      <c r="L97" s="6"/>
      <c r="M97" s="6"/>
      <c r="N97" s="6"/>
      <c r="O97" s="6"/>
      <c r="P97" s="6"/>
      <c r="Q97" s="6"/>
      <c r="R97" s="6"/>
      <c r="S97" s="6"/>
      <c r="T97" s="6"/>
      <c r="U97" s="6"/>
      <c r="V97" s="6"/>
      <c r="W97" s="6"/>
      <c r="X97" s="6"/>
      <c r="Y97" s="6"/>
      <c r="Z97" s="6"/>
      <c r="AA97" s="107"/>
      <c r="AB97" s="107"/>
      <c r="AC97" s="107"/>
      <c r="AD97" s="107"/>
      <c r="AE97" s="107"/>
      <c r="AF97" s="107"/>
      <c r="AG97" s="107"/>
      <c r="AH97" s="107"/>
      <c r="AI97" s="107"/>
      <c r="AJ97" s="108"/>
      <c r="AK97" s="108"/>
      <c r="AL97" s="108"/>
      <c r="AM97" s="108"/>
      <c r="AN97" s="108"/>
      <c r="AO97" s="108"/>
      <c r="AP97" s="108"/>
      <c r="AQ97" s="108"/>
      <c r="AR97" s="108"/>
      <c r="AS97" s="108"/>
      <c r="AT97" s="108"/>
      <c r="AU97" s="108"/>
      <c r="AV97" s="108"/>
      <c r="AW97" s="108"/>
      <c r="AX97" s="108"/>
      <c r="AY97" s="108"/>
    </row>
    <row r="98" spans="11:51" ht="9.9499999999999993" hidden="1" customHeight="1">
      <c r="K98" s="88"/>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row>
    <row r="99" spans="11:51" ht="9.9499999999999993" hidden="1" customHeight="1">
      <c r="K99" s="174"/>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row>
    <row r="100" spans="11:51" ht="9.9499999999999993" hidden="1" customHeight="1">
      <c r="K100" s="174"/>
      <c r="L100" s="6"/>
      <c r="M100" s="6"/>
      <c r="N100" s="6"/>
      <c r="O100" s="6"/>
      <c r="P100" s="6"/>
      <c r="Q100" s="6"/>
      <c r="R100" s="6"/>
      <c r="S100" s="6"/>
      <c r="T100" s="6"/>
      <c r="U100" s="6"/>
      <c r="V100" s="6"/>
      <c r="W100" s="6"/>
      <c r="X100" s="6"/>
      <c r="Y100" s="6"/>
      <c r="Z100" s="6"/>
      <c r="AA100" s="107"/>
      <c r="AB100" s="107"/>
      <c r="AC100" s="107"/>
      <c r="AD100" s="107"/>
      <c r="AE100" s="107"/>
      <c r="AF100" s="107"/>
      <c r="AG100" s="107"/>
      <c r="AH100" s="107"/>
      <c r="AI100" s="107"/>
      <c r="AJ100" s="108"/>
      <c r="AK100" s="108"/>
      <c r="AL100" s="108"/>
      <c r="AM100" s="108"/>
      <c r="AN100" s="108"/>
      <c r="AO100" s="108"/>
      <c r="AP100" s="108"/>
      <c r="AQ100" s="108"/>
      <c r="AR100" s="108"/>
      <c r="AS100" s="108"/>
      <c r="AT100" s="108"/>
      <c r="AU100" s="108"/>
      <c r="AV100" s="108"/>
      <c r="AW100" s="108"/>
      <c r="AX100" s="108"/>
      <c r="AY100" s="108"/>
    </row>
    <row r="101" spans="11:51" ht="9.9499999999999993" hidden="1" customHeight="1">
      <c r="K101" s="174"/>
      <c r="L101" s="6"/>
      <c r="M101" s="6"/>
      <c r="N101" s="6"/>
      <c r="O101" s="6"/>
      <c r="P101" s="6"/>
      <c r="Q101" s="6"/>
      <c r="R101" s="6"/>
      <c r="S101" s="6"/>
      <c r="T101" s="6"/>
      <c r="U101" s="6"/>
      <c r="V101" s="6"/>
      <c r="W101" s="6"/>
      <c r="X101" s="6"/>
      <c r="Y101" s="6"/>
      <c r="Z101" s="6"/>
      <c r="AA101" s="107"/>
      <c r="AB101" s="107"/>
      <c r="AC101" s="107"/>
      <c r="AD101" s="107"/>
      <c r="AE101" s="107"/>
      <c r="AF101" s="107"/>
      <c r="AG101" s="107"/>
      <c r="AH101" s="107"/>
      <c r="AI101" s="107"/>
      <c r="AJ101" s="108"/>
      <c r="AK101" s="108"/>
      <c r="AL101" s="108"/>
      <c r="AM101" s="108"/>
      <c r="AN101" s="108"/>
      <c r="AO101" s="108"/>
      <c r="AP101" s="108"/>
      <c r="AQ101" s="108"/>
      <c r="AR101" s="108"/>
      <c r="AS101" s="108"/>
      <c r="AT101" s="108"/>
      <c r="AU101" s="108"/>
      <c r="AV101" s="108"/>
      <c r="AW101" s="108"/>
      <c r="AX101" s="108"/>
      <c r="AY101" s="108"/>
    </row>
    <row r="102" spans="11:51" ht="9.9499999999999993" hidden="1" customHeight="1">
      <c r="K102" s="174"/>
      <c r="L102" s="6"/>
      <c r="M102" s="6"/>
      <c r="N102" s="6"/>
      <c r="O102" s="6"/>
      <c r="P102" s="6"/>
      <c r="Q102" s="6"/>
      <c r="R102" s="6"/>
      <c r="S102" s="6"/>
      <c r="T102" s="6"/>
      <c r="U102" s="6"/>
      <c r="V102" s="6"/>
      <c r="W102" s="6"/>
      <c r="X102" s="6"/>
      <c r="Y102" s="6"/>
      <c r="Z102" s="6"/>
      <c r="AA102" s="107"/>
      <c r="AB102" s="107"/>
      <c r="AC102" s="107"/>
      <c r="AD102" s="107"/>
      <c r="AE102" s="107"/>
      <c r="AF102" s="107"/>
      <c r="AG102" s="107"/>
      <c r="AH102" s="107"/>
      <c r="AI102" s="107"/>
      <c r="AJ102" s="108"/>
      <c r="AK102" s="108"/>
      <c r="AL102" s="108"/>
      <c r="AM102" s="108"/>
      <c r="AN102" s="108"/>
      <c r="AO102" s="108"/>
      <c r="AP102" s="108"/>
      <c r="AQ102" s="108"/>
      <c r="AR102" s="108"/>
      <c r="AS102" s="108"/>
      <c r="AT102" s="108"/>
      <c r="AU102" s="108"/>
      <c r="AV102" s="108"/>
      <c r="AW102" s="108"/>
      <c r="AX102" s="108"/>
      <c r="AY102" s="108"/>
    </row>
    <row r="103" spans="11:51" ht="9.9499999999999993" hidden="1" customHeight="1">
      <c r="K103" s="174"/>
      <c r="L103" s="6"/>
      <c r="M103" s="6"/>
      <c r="N103" s="6"/>
      <c r="O103" s="6"/>
      <c r="P103" s="6"/>
      <c r="Q103" s="6"/>
      <c r="R103" s="6"/>
      <c r="S103" s="6"/>
      <c r="T103" s="6"/>
      <c r="U103" s="6"/>
      <c r="V103" s="6"/>
      <c r="W103" s="6"/>
      <c r="X103" s="6"/>
      <c r="Y103" s="6"/>
      <c r="Z103" s="6"/>
      <c r="AA103" s="107"/>
      <c r="AB103" s="107"/>
      <c r="AC103" s="107"/>
      <c r="AD103" s="107"/>
      <c r="AE103" s="107"/>
      <c r="AF103" s="107"/>
      <c r="AG103" s="107"/>
      <c r="AH103" s="107"/>
      <c r="AI103" s="107"/>
      <c r="AJ103" s="108"/>
      <c r="AK103" s="108"/>
      <c r="AL103" s="108"/>
      <c r="AM103" s="108"/>
      <c r="AN103" s="108"/>
      <c r="AO103" s="108"/>
      <c r="AP103" s="108"/>
      <c r="AQ103" s="108"/>
      <c r="AR103" s="108"/>
      <c r="AS103" s="108"/>
      <c r="AT103" s="108"/>
      <c r="AU103" s="108"/>
      <c r="AV103" s="108"/>
      <c r="AW103" s="108"/>
      <c r="AX103" s="108"/>
      <c r="AY103" s="108"/>
    </row>
    <row r="104" spans="11:51" ht="9.9499999999999993" hidden="1" customHeight="1">
      <c r="K104" s="174"/>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row>
    <row r="105" spans="11:51" ht="9.9499999999999993" hidden="1" customHeight="1">
      <c r="K105" s="174"/>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row>
    <row r="106" spans="11:51" ht="9.9499999999999993" hidden="1" customHeight="1">
      <c r="K106" s="174"/>
      <c r="L106" s="6"/>
      <c r="M106" s="6"/>
      <c r="N106" s="6"/>
      <c r="O106" s="6"/>
      <c r="P106" s="6"/>
      <c r="Q106" s="6"/>
      <c r="R106" s="6"/>
      <c r="S106" s="6"/>
      <c r="T106" s="6"/>
      <c r="U106" s="6"/>
      <c r="V106" s="6"/>
      <c r="W106" s="6"/>
      <c r="X106" s="6"/>
      <c r="Y106" s="6"/>
      <c r="Z106" s="6"/>
      <c r="AA106" s="107"/>
      <c r="AB106" s="107"/>
      <c r="AC106" s="107"/>
      <c r="AD106" s="107"/>
      <c r="AE106" s="107"/>
      <c r="AF106" s="107"/>
      <c r="AG106" s="107"/>
      <c r="AH106" s="107"/>
      <c r="AI106" s="107"/>
      <c r="AJ106" s="108"/>
      <c r="AK106" s="108"/>
      <c r="AL106" s="108"/>
      <c r="AM106" s="108"/>
      <c r="AN106" s="108"/>
      <c r="AO106" s="108"/>
      <c r="AP106" s="108"/>
      <c r="AQ106" s="108"/>
      <c r="AR106" s="108"/>
      <c r="AS106" s="108"/>
      <c r="AT106" s="108"/>
      <c r="AU106" s="108"/>
      <c r="AV106" s="108"/>
      <c r="AW106" s="108"/>
      <c r="AX106" s="108"/>
      <c r="AY106" s="108"/>
    </row>
    <row r="107" spans="11:51" ht="9.9499999999999993" hidden="1" customHeight="1">
      <c r="K107" s="174"/>
      <c r="L107" s="6"/>
      <c r="M107" s="6"/>
      <c r="N107" s="6"/>
      <c r="O107" s="6"/>
      <c r="P107" s="6"/>
      <c r="Q107" s="6"/>
      <c r="R107" s="6"/>
      <c r="S107" s="6"/>
      <c r="T107" s="6"/>
      <c r="U107" s="6"/>
      <c r="V107" s="6"/>
      <c r="W107" s="6"/>
      <c r="X107" s="6"/>
      <c r="Y107" s="6"/>
      <c r="Z107" s="6"/>
      <c r="AA107" s="107"/>
      <c r="AB107" s="107"/>
      <c r="AC107" s="107"/>
      <c r="AD107" s="107"/>
      <c r="AE107" s="107"/>
      <c r="AF107" s="107"/>
      <c r="AG107" s="107"/>
      <c r="AH107" s="107"/>
      <c r="AI107" s="107"/>
      <c r="AJ107" s="108"/>
      <c r="AK107" s="108"/>
      <c r="AL107" s="108"/>
      <c r="AM107" s="108"/>
      <c r="AN107" s="108"/>
      <c r="AO107" s="108"/>
      <c r="AP107" s="108"/>
      <c r="AQ107" s="108"/>
      <c r="AR107" s="108"/>
      <c r="AS107" s="108"/>
      <c r="AT107" s="108"/>
      <c r="AU107" s="108"/>
      <c r="AV107" s="108"/>
      <c r="AW107" s="108"/>
      <c r="AX107" s="108"/>
      <c r="AY107" s="108"/>
    </row>
    <row r="108" spans="11:51" ht="9.9499999999999993" hidden="1" customHeight="1">
      <c r="K108" s="174"/>
      <c r="L108" s="6"/>
      <c r="M108" s="6"/>
      <c r="N108" s="6"/>
      <c r="O108" s="6"/>
      <c r="P108" s="6"/>
      <c r="Q108" s="6"/>
      <c r="R108" s="6"/>
      <c r="S108" s="6"/>
      <c r="T108" s="6"/>
      <c r="U108" s="6"/>
      <c r="V108" s="6"/>
      <c r="W108" s="6"/>
      <c r="X108" s="6"/>
      <c r="Y108" s="6"/>
      <c r="Z108" s="6"/>
      <c r="AA108" s="107"/>
      <c r="AB108" s="107"/>
      <c r="AC108" s="107"/>
      <c r="AD108" s="107"/>
      <c r="AE108" s="107"/>
      <c r="AF108" s="107"/>
      <c r="AG108" s="107"/>
      <c r="AH108" s="107"/>
      <c r="AI108" s="107"/>
      <c r="AJ108" s="108"/>
      <c r="AK108" s="108"/>
      <c r="AL108" s="108"/>
      <c r="AM108" s="108"/>
      <c r="AN108" s="108"/>
      <c r="AO108" s="108"/>
      <c r="AP108" s="108"/>
      <c r="AQ108" s="108"/>
      <c r="AR108" s="108"/>
      <c r="AS108" s="108"/>
      <c r="AT108" s="108"/>
      <c r="AU108" s="108"/>
      <c r="AV108" s="108"/>
      <c r="AW108" s="108"/>
      <c r="AX108" s="108"/>
      <c r="AY108" s="108"/>
    </row>
    <row r="109" spans="11:51" ht="9.9499999999999993" hidden="1" customHeight="1">
      <c r="K109" s="174"/>
      <c r="L109" s="6"/>
      <c r="M109" s="6"/>
      <c r="N109" s="6"/>
      <c r="O109" s="6"/>
      <c r="P109" s="6"/>
      <c r="Q109" s="6"/>
      <c r="R109" s="6"/>
      <c r="S109" s="6"/>
      <c r="T109" s="6"/>
      <c r="U109" s="6"/>
      <c r="V109" s="6"/>
      <c r="W109" s="6"/>
      <c r="X109" s="6"/>
      <c r="Y109" s="6"/>
      <c r="Z109" s="6"/>
      <c r="AA109" s="107"/>
      <c r="AB109" s="107"/>
      <c r="AC109" s="107"/>
      <c r="AD109" s="107"/>
      <c r="AE109" s="107"/>
      <c r="AF109" s="107"/>
      <c r="AG109" s="107"/>
      <c r="AH109" s="107"/>
      <c r="AI109" s="107"/>
      <c r="AJ109" s="108"/>
      <c r="AK109" s="108"/>
      <c r="AL109" s="108"/>
      <c r="AM109" s="108"/>
      <c r="AN109" s="108"/>
      <c r="AO109" s="108"/>
      <c r="AP109" s="108"/>
      <c r="AQ109" s="108"/>
      <c r="AR109" s="108"/>
      <c r="AS109" s="108"/>
      <c r="AT109" s="108"/>
      <c r="AU109" s="108"/>
      <c r="AV109" s="108"/>
      <c r="AW109" s="108"/>
      <c r="AX109" s="108"/>
      <c r="AY109" s="108"/>
    </row>
    <row r="110" spans="11:51" ht="9.9499999999999993" hidden="1" customHeight="1">
      <c r="K110" s="174"/>
      <c r="L110" s="6"/>
      <c r="M110" s="6"/>
      <c r="N110" s="6"/>
      <c r="O110" s="6"/>
      <c r="P110" s="6"/>
      <c r="Q110" s="6"/>
      <c r="R110" s="6"/>
      <c r="S110" s="6"/>
      <c r="T110" s="6"/>
      <c r="U110" s="6"/>
      <c r="V110" s="6"/>
      <c r="W110" s="6"/>
      <c r="X110" s="6"/>
      <c r="Y110" s="6"/>
      <c r="Z110" s="6"/>
      <c r="AA110" s="107"/>
      <c r="AB110" s="107"/>
      <c r="AC110" s="107"/>
      <c r="AD110" s="107"/>
      <c r="AE110" s="107"/>
      <c r="AF110" s="107"/>
      <c r="AG110" s="107"/>
      <c r="AH110" s="107"/>
      <c r="AI110" s="107"/>
      <c r="AJ110" s="108"/>
      <c r="AK110" s="108"/>
      <c r="AL110" s="108"/>
      <c r="AM110" s="108"/>
      <c r="AN110" s="108"/>
      <c r="AO110" s="108"/>
      <c r="AP110" s="108"/>
      <c r="AQ110" s="108"/>
      <c r="AR110" s="108"/>
      <c r="AS110" s="108"/>
      <c r="AT110" s="108"/>
      <c r="AU110" s="108"/>
      <c r="AV110" s="108"/>
      <c r="AW110" s="108"/>
      <c r="AX110" s="108"/>
      <c r="AY110" s="108"/>
    </row>
    <row r="111" spans="11:51" ht="9.9499999999999993" hidden="1" customHeight="1">
      <c r="K111" s="174"/>
      <c r="L111" s="6"/>
      <c r="M111" s="6"/>
      <c r="N111" s="6"/>
      <c r="O111" s="6"/>
      <c r="P111" s="6"/>
      <c r="Q111" s="6"/>
      <c r="R111" s="6"/>
      <c r="S111" s="6"/>
      <c r="T111" s="6"/>
      <c r="U111" s="6"/>
      <c r="V111" s="6"/>
      <c r="W111" s="6"/>
      <c r="X111" s="6"/>
      <c r="Y111" s="6"/>
      <c r="Z111" s="6"/>
      <c r="AA111" s="107"/>
      <c r="AB111" s="107"/>
      <c r="AC111" s="107"/>
      <c r="AD111" s="107"/>
      <c r="AE111" s="107"/>
      <c r="AF111" s="107"/>
      <c r="AG111" s="107"/>
      <c r="AH111" s="107"/>
      <c r="AI111" s="107"/>
      <c r="AJ111" s="108"/>
      <c r="AK111" s="108"/>
      <c r="AL111" s="108"/>
      <c r="AM111" s="108"/>
      <c r="AN111" s="108"/>
      <c r="AO111" s="108"/>
      <c r="AP111" s="108"/>
      <c r="AQ111" s="108"/>
      <c r="AR111" s="108"/>
      <c r="AS111" s="108"/>
      <c r="AT111" s="108"/>
      <c r="AU111" s="108"/>
      <c r="AV111" s="108"/>
      <c r="AW111" s="108"/>
      <c r="AX111" s="108"/>
      <c r="AY111" s="108"/>
    </row>
    <row r="112" spans="11:51" ht="9.9499999999999993" hidden="1" customHeight="1">
      <c r="K112" s="174"/>
      <c r="L112" s="6"/>
      <c r="M112" s="6"/>
      <c r="N112" s="6"/>
      <c r="O112" s="6"/>
      <c r="P112" s="6"/>
      <c r="Q112" s="6"/>
      <c r="R112" s="6"/>
      <c r="S112" s="6"/>
      <c r="T112" s="6"/>
      <c r="U112" s="6"/>
      <c r="V112" s="6"/>
      <c r="W112" s="6"/>
      <c r="X112" s="6"/>
      <c r="Y112" s="6"/>
      <c r="Z112" s="6"/>
      <c r="AA112" s="107"/>
      <c r="AB112" s="107"/>
      <c r="AC112" s="107"/>
      <c r="AD112" s="107"/>
      <c r="AE112" s="107"/>
      <c r="AF112" s="107"/>
      <c r="AG112" s="107"/>
      <c r="AH112" s="107"/>
      <c r="AI112" s="107"/>
      <c r="AJ112" s="108"/>
      <c r="AK112" s="108"/>
      <c r="AL112" s="108"/>
      <c r="AM112" s="108"/>
      <c r="AN112" s="108"/>
      <c r="AO112" s="108"/>
      <c r="AP112" s="108"/>
      <c r="AQ112" s="108"/>
      <c r="AR112" s="108"/>
      <c r="AS112" s="108"/>
      <c r="AT112" s="108"/>
      <c r="AU112" s="108"/>
      <c r="AV112" s="108"/>
      <c r="AW112" s="108"/>
      <c r="AX112" s="108"/>
      <c r="AY112" s="108"/>
    </row>
    <row r="113" spans="12:51" ht="9.9499999999999993" hidden="1" customHeight="1">
      <c r="L113" s="6"/>
      <c r="M113" s="6"/>
      <c r="N113" s="6"/>
      <c r="O113" s="6"/>
      <c r="P113" s="6"/>
      <c r="Q113" s="6"/>
      <c r="R113" s="6"/>
      <c r="S113" s="6"/>
      <c r="T113" s="6"/>
      <c r="U113" s="6"/>
      <c r="V113" s="6"/>
      <c r="W113" s="6"/>
      <c r="X113" s="6"/>
      <c r="Y113" s="6"/>
      <c r="Z113" s="6"/>
      <c r="AA113" s="107"/>
      <c r="AB113" s="107"/>
      <c r="AC113" s="107"/>
      <c r="AD113" s="107"/>
      <c r="AE113" s="107"/>
      <c r="AF113" s="107"/>
      <c r="AG113" s="107"/>
      <c r="AH113" s="107"/>
      <c r="AI113" s="107"/>
      <c r="AJ113" s="108"/>
      <c r="AK113" s="108"/>
      <c r="AL113" s="108"/>
      <c r="AM113" s="108"/>
      <c r="AN113" s="108"/>
      <c r="AO113" s="108"/>
      <c r="AP113" s="108"/>
      <c r="AQ113" s="108"/>
      <c r="AR113" s="108"/>
      <c r="AS113" s="108"/>
      <c r="AT113" s="108"/>
      <c r="AU113" s="108"/>
      <c r="AV113" s="108"/>
      <c r="AW113" s="108"/>
      <c r="AX113" s="108"/>
      <c r="AY113" s="108"/>
    </row>
    <row r="114" spans="12:51" ht="9.9499999999999993" hidden="1" customHeight="1">
      <c r="L114" s="6"/>
      <c r="M114" s="6"/>
      <c r="N114" s="6"/>
      <c r="O114" s="6"/>
      <c r="P114" s="6"/>
      <c r="Q114" s="6"/>
      <c r="R114" s="6"/>
      <c r="S114" s="6"/>
      <c r="T114" s="6"/>
      <c r="U114" s="6"/>
      <c r="V114" s="6"/>
      <c r="W114" s="6"/>
      <c r="X114" s="6"/>
      <c r="Y114" s="6"/>
      <c r="Z114" s="6"/>
      <c r="AA114" s="107"/>
      <c r="AB114" s="107"/>
      <c r="AC114" s="107"/>
      <c r="AD114" s="107"/>
      <c r="AE114" s="107"/>
      <c r="AF114" s="107"/>
      <c r="AG114" s="107"/>
      <c r="AH114" s="107"/>
      <c r="AI114" s="107"/>
      <c r="AJ114" s="108"/>
      <c r="AK114" s="108"/>
      <c r="AL114" s="108"/>
      <c r="AM114" s="108"/>
      <c r="AN114" s="108"/>
      <c r="AO114" s="108"/>
      <c r="AP114" s="108"/>
      <c r="AQ114" s="108"/>
      <c r="AR114" s="108"/>
      <c r="AS114" s="108"/>
      <c r="AT114" s="108"/>
      <c r="AU114" s="108"/>
      <c r="AV114" s="108"/>
      <c r="AW114" s="108"/>
      <c r="AX114" s="108"/>
      <c r="AY114" s="108"/>
    </row>
    <row r="115" spans="12:51" ht="9.9499999999999993" hidden="1" customHeight="1">
      <c r="L115" s="6"/>
      <c r="M115" s="6"/>
      <c r="N115" s="6"/>
      <c r="O115" s="6"/>
      <c r="P115" s="6"/>
      <c r="Q115" s="6"/>
      <c r="R115" s="6"/>
      <c r="S115" s="6"/>
      <c r="T115" s="6"/>
      <c r="U115" s="6"/>
      <c r="V115" s="6"/>
      <c r="W115" s="6"/>
      <c r="X115" s="6"/>
      <c r="Y115" s="6"/>
      <c r="Z115" s="6"/>
      <c r="AA115" s="107"/>
      <c r="AB115" s="107"/>
      <c r="AC115" s="107"/>
      <c r="AD115" s="107"/>
      <c r="AE115" s="107"/>
      <c r="AF115" s="107"/>
      <c r="AG115" s="107"/>
      <c r="AH115" s="107"/>
      <c r="AI115" s="107"/>
      <c r="AJ115" s="108"/>
      <c r="AK115" s="108"/>
      <c r="AL115" s="108"/>
      <c r="AM115" s="108"/>
      <c r="AN115" s="108"/>
      <c r="AO115" s="108"/>
      <c r="AP115" s="108"/>
      <c r="AQ115" s="108"/>
      <c r="AR115" s="108"/>
      <c r="AS115" s="108"/>
      <c r="AT115" s="108"/>
      <c r="AU115" s="108"/>
      <c r="AV115" s="108"/>
      <c r="AW115" s="108"/>
      <c r="AX115" s="108"/>
      <c r="AY115" s="108"/>
    </row>
    <row r="116" spans="12:51" ht="9.9499999999999993" hidden="1" customHeight="1">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row>
    <row r="117" spans="12:51" ht="9.9499999999999993" hidden="1" customHeight="1">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row>
    <row r="118" spans="12:51" ht="9.9499999999999993" hidden="1" customHeight="1">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row>
    <row r="119" spans="12:51" ht="9.9499999999999993" hidden="1" customHeight="1">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row>
    <row r="120" spans="12:51" ht="9.9499999999999993" hidden="1" customHeight="1">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row>
    <row r="121" spans="12:51" ht="9.9499999999999993" hidden="1" customHeight="1">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row>
    <row r="122" spans="12:51" ht="9.9499999999999993" hidden="1" customHeight="1">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row>
    <row r="123" spans="12:51" ht="9.9499999999999993" hidden="1" customHeight="1">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row>
    <row r="124" spans="12:51" ht="9.9499999999999993" hidden="1" customHeight="1">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row>
    <row r="125" spans="12:51" ht="9.9499999999999993" hidden="1" customHeight="1">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row>
    <row r="126" spans="12:51" ht="9.9499999999999993" hidden="1" customHeight="1">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row>
    <row r="127" spans="12:51" ht="9.9499999999999993" hidden="1" customHeight="1">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row>
    <row r="128" spans="12:51" ht="9.9499999999999993" hidden="1" customHeight="1">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row>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3.6"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sheetData>
  <sheetProtection selectLockedCells="1" selectUnlockedCells="1"/>
  <pageMargins left="0.25" right="0.25" top="0.5" bottom="0.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8" tint="-0.249977111117893"/>
  </sheetPr>
  <dimension ref="A1:HL157"/>
  <sheetViews>
    <sheetView showGridLines="0" showRowColHeaders="0" zoomScaleNormal="100" zoomScalePageLayoutView="85" workbookViewId="0">
      <selection activeCell="CX18" sqref="CX18:CZ18"/>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5703125" customWidth="1"/>
    <col min="125" max="220" width="1.7109375" hidden="1" customWidth="1"/>
    <col min="221" max="16384" width="9.140625" hidden="1"/>
  </cols>
  <sheetData>
    <row r="1" spans="2:123" ht="9.9499999999999993" customHeight="1">
      <c r="B1" s="571" t="s">
        <v>115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115</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01"/>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01"/>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4"/>
      <c r="BQ7" s="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4"/>
      <c r="BQ8" s="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6"/>
      <c r="BQ9" s="16"/>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MAX(ROUND(AW24/CLV_Limit,2),ROUND(AW54/CLV_Limit,2),ROUND(I65/CLV_Limit,2))</f>
        <v>1.24</v>
      </c>
      <c r="AX10" s="706"/>
      <c r="AY10" s="706"/>
      <c r="AZ10" s="706"/>
      <c r="BA10" s="706"/>
      <c r="BB10" s="706"/>
      <c r="BC10" s="706"/>
      <c r="BD10" s="706"/>
      <c r="BE10" s="706"/>
      <c r="BF10" s="706"/>
      <c r="BG10" s="706"/>
      <c r="BH10" s="707"/>
      <c r="BI10" s="177"/>
      <c r="BJ10" s="174"/>
      <c r="BK10" s="174"/>
      <c r="BL10" s="1"/>
      <c r="BM10" s="174"/>
      <c r="BN10" s="174"/>
      <c r="BO10" s="174"/>
      <c r="BP10" s="22"/>
      <c r="BQ10" s="22"/>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thickBo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4"/>
      <c r="BQ11" s="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6"/>
      <c r="BP12" s="18"/>
      <c r="BQ12" s="18"/>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763"/>
      <c r="CY12" s="764"/>
      <c r="CZ12" s="765"/>
      <c r="DA12" s="769"/>
      <c r="DB12" s="764"/>
      <c r="DC12" s="765"/>
      <c r="DD12" s="769"/>
      <c r="DE12" s="764"/>
      <c r="DF12" s="765"/>
      <c r="DG12" s="769"/>
      <c r="DH12" s="764"/>
      <c r="DI12" s="771"/>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7"/>
      <c r="BM13" s="6"/>
      <c r="BN13" s="6"/>
      <c r="BO13" s="6"/>
      <c r="BP13" s="18"/>
      <c r="BQ13" s="18"/>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766"/>
      <c r="CY13" s="767"/>
      <c r="CZ13" s="768"/>
      <c r="DA13" s="770"/>
      <c r="DB13" s="767"/>
      <c r="DC13" s="768"/>
      <c r="DD13" s="770"/>
      <c r="DE13" s="767"/>
      <c r="DF13" s="768"/>
      <c r="DG13" s="770"/>
      <c r="DH13" s="767"/>
      <c r="DI13" s="772"/>
      <c r="DJ13" s="174"/>
      <c r="DK13" s="174"/>
      <c r="DL13" s="174"/>
      <c r="DM13" s="174"/>
      <c r="DN13" s="174"/>
      <c r="DO13" s="174"/>
      <c r="DP13" s="174"/>
      <c r="DQ13" s="6"/>
      <c r="DR13" s="6"/>
      <c r="DS13" s="20"/>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6"/>
      <c r="BN14" s="6"/>
      <c r="BO14" s="6"/>
      <c r="BP14" s="18"/>
      <c r="BQ14" s="18"/>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766"/>
      <c r="CY14" s="767"/>
      <c r="CZ14" s="768"/>
      <c r="DA14" s="770"/>
      <c r="DB14" s="767"/>
      <c r="DC14" s="768"/>
      <c r="DD14" s="770"/>
      <c r="DE14" s="767"/>
      <c r="DF14" s="768"/>
      <c r="DG14" s="770"/>
      <c r="DH14" s="767"/>
      <c r="DI14" s="772"/>
      <c r="DJ14" s="174"/>
      <c r="DK14" s="174"/>
      <c r="DL14" s="174"/>
      <c r="DM14" s="174"/>
      <c r="DN14" s="174"/>
      <c r="DO14" s="174"/>
      <c r="DP14" s="174"/>
      <c r="DQ14" s="6"/>
      <c r="DR14" s="6"/>
      <c r="DS14" s="20"/>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7"/>
      <c r="BM15" s="6"/>
      <c r="BN15" s="6"/>
      <c r="BO15" s="6"/>
      <c r="BP15" s="18"/>
      <c r="BQ15" s="18"/>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766"/>
      <c r="CY15" s="767"/>
      <c r="CZ15" s="768"/>
      <c r="DA15" s="770"/>
      <c r="DB15" s="767"/>
      <c r="DC15" s="768"/>
      <c r="DD15" s="770"/>
      <c r="DE15" s="767"/>
      <c r="DF15" s="768"/>
      <c r="DG15" s="770"/>
      <c r="DH15" s="767"/>
      <c r="DI15" s="772"/>
      <c r="DJ15" s="174"/>
      <c r="DK15" s="174"/>
      <c r="DL15" s="174"/>
      <c r="DM15" s="174"/>
      <c r="DN15" s="174"/>
      <c r="DO15" s="174"/>
      <c r="DP15" s="174"/>
      <c r="DQ15" s="6"/>
      <c r="DR15" s="6"/>
      <c r="DS15" s="20"/>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J16" s="174"/>
      <c r="BK16" s="174"/>
      <c r="BL16" s="17"/>
      <c r="BM16" s="6"/>
      <c r="BN16" s="6"/>
      <c r="BO16" s="6"/>
      <c r="BP16" s="18"/>
      <c r="BQ16" s="18"/>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773" t="s">
        <v>99</v>
      </c>
      <c r="CY16" s="774"/>
      <c r="CZ16" s="775"/>
      <c r="DA16" s="776" t="s">
        <v>99</v>
      </c>
      <c r="DB16" s="774"/>
      <c r="DC16" s="775"/>
      <c r="DD16" s="776" t="s">
        <v>99</v>
      </c>
      <c r="DE16" s="774"/>
      <c r="DF16" s="775"/>
      <c r="DG16" s="776" t="s">
        <v>99</v>
      </c>
      <c r="DH16" s="774"/>
      <c r="DI16" s="777"/>
      <c r="DJ16" s="174"/>
      <c r="DK16" s="174"/>
      <c r="DL16" s="174"/>
      <c r="DM16" s="174"/>
      <c r="DN16" s="174"/>
      <c r="DO16" s="174"/>
      <c r="DP16" s="174"/>
      <c r="DQ16" s="6"/>
      <c r="DR16" s="6"/>
      <c r="DS16" s="20"/>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74"/>
      <c r="BI17" s="177"/>
      <c r="BJ17" s="174"/>
      <c r="BK17" s="174"/>
      <c r="BL17" s="17"/>
      <c r="BM17" s="6"/>
      <c r="BN17" s="6"/>
      <c r="BO17" s="6"/>
      <c r="BP17" s="18"/>
      <c r="BQ17" s="18"/>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778">
        <f>SBR_Master</f>
        <v>0</v>
      </c>
      <c r="CY17" s="779"/>
      <c r="CZ17" s="780"/>
      <c r="DA17" s="781">
        <f>SBT_Master</f>
        <v>1447</v>
      </c>
      <c r="DB17" s="779"/>
      <c r="DC17" s="780"/>
      <c r="DD17" s="781">
        <f>SBL_Master</f>
        <v>607</v>
      </c>
      <c r="DE17" s="779"/>
      <c r="DF17" s="780"/>
      <c r="DG17" s="781">
        <f>SBU_Master</f>
        <v>0</v>
      </c>
      <c r="DH17" s="779"/>
      <c r="DI17" s="782"/>
      <c r="DJ17" s="174"/>
      <c r="DK17" s="174"/>
      <c r="DL17" s="174"/>
      <c r="DM17" s="174"/>
      <c r="DN17" s="174"/>
      <c r="DO17" s="174"/>
      <c r="DP17" s="174"/>
      <c r="DQ17" s="6"/>
      <c r="DR17" s="6"/>
      <c r="DS17" s="20"/>
    </row>
    <row r="18" spans="2:123" ht="9.9499999999999993" customHeight="1" thickBo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74"/>
      <c r="BI18" s="177"/>
      <c r="BJ18" s="174"/>
      <c r="BK18" s="174"/>
      <c r="BL18" s="17"/>
      <c r="BM18" s="6"/>
      <c r="BN18" s="6"/>
      <c r="BO18" s="6"/>
      <c r="BP18" s="18"/>
      <c r="BQ18" s="18"/>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928">
        <v>1</v>
      </c>
      <c r="CY18" s="929"/>
      <c r="CZ18" s="929"/>
      <c r="DA18" s="929">
        <v>2</v>
      </c>
      <c r="DB18" s="929"/>
      <c r="DC18" s="929"/>
      <c r="DD18" s="1010"/>
      <c r="DE18" s="1010"/>
      <c r="DF18" s="1010"/>
      <c r="DG18" s="1010"/>
      <c r="DH18" s="1010"/>
      <c r="DI18" s="1011"/>
      <c r="DJ18" s="174"/>
      <c r="DK18" s="174"/>
      <c r="DL18" s="174"/>
      <c r="DM18" s="174"/>
      <c r="DN18" s="174"/>
      <c r="DO18" s="174"/>
      <c r="DP18" s="174"/>
      <c r="DQ18" s="6"/>
      <c r="DR18" s="6"/>
      <c r="DS18" s="20"/>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74"/>
      <c r="AX19" s="174"/>
      <c r="AY19" s="174"/>
      <c r="AZ19" s="174"/>
      <c r="BA19" s="174"/>
      <c r="BB19" s="174"/>
      <c r="BC19" s="174"/>
      <c r="BD19" s="174"/>
      <c r="BE19" s="174"/>
      <c r="BF19" s="174"/>
      <c r="BG19" s="14"/>
      <c r="BH19" s="174"/>
      <c r="BI19" s="177"/>
      <c r="BJ19" s="174"/>
      <c r="BK19" s="174"/>
      <c r="BL19" s="17"/>
      <c r="BM19" s="6"/>
      <c r="BN19" s="6"/>
      <c r="BO19" s="6"/>
      <c r="BP19" s="18"/>
      <c r="BQ19" s="18"/>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56"/>
      <c r="CY19" s="67"/>
      <c r="CZ19" s="175"/>
      <c r="DA19" s="175"/>
      <c r="DB19" s="175"/>
      <c r="DC19" s="175"/>
      <c r="DD19" s="175"/>
      <c r="DE19" s="175"/>
      <c r="DF19" s="175"/>
      <c r="DG19" s="175"/>
      <c r="DH19" s="175"/>
      <c r="DI19" s="176"/>
      <c r="DJ19" s="174"/>
      <c r="DK19" s="174"/>
      <c r="DL19" s="174"/>
      <c r="DM19" s="174"/>
      <c r="DN19" s="174"/>
      <c r="DO19" s="174"/>
      <c r="DP19" s="174"/>
      <c r="DQ19" s="6"/>
      <c r="DR19" s="6"/>
      <c r="DS19" s="20"/>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74"/>
      <c r="AX20" s="174"/>
      <c r="AY20" s="174"/>
      <c r="AZ20" s="174"/>
      <c r="BA20" s="174"/>
      <c r="BB20" s="174"/>
      <c r="BC20" s="174"/>
      <c r="BD20" s="174"/>
      <c r="BE20" s="174"/>
      <c r="BF20" s="174"/>
      <c r="BG20" s="14"/>
      <c r="BH20" s="174"/>
      <c r="BI20" s="177"/>
      <c r="BJ20" s="174"/>
      <c r="BK20" s="174"/>
      <c r="BL20" s="17"/>
      <c r="BM20" s="6"/>
      <c r="BN20" s="6"/>
      <c r="BO20" s="6"/>
      <c r="BP20" s="18"/>
      <c r="BQ20" s="18"/>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58"/>
      <c r="CY20" s="65"/>
      <c r="CZ20" s="109"/>
      <c r="DA20" s="109"/>
      <c r="DB20" s="109"/>
      <c r="DC20" s="109"/>
      <c r="DD20" s="109"/>
      <c r="DE20" s="109"/>
      <c r="DF20" s="109"/>
      <c r="DG20" s="109"/>
      <c r="DH20" s="109"/>
      <c r="DI20" s="60"/>
      <c r="DJ20" s="174"/>
      <c r="DK20" s="174"/>
      <c r="DL20" s="174"/>
      <c r="DM20" s="174"/>
      <c r="DN20" s="174"/>
      <c r="DO20" s="174"/>
      <c r="DP20" s="174"/>
      <c r="DQ20" s="6"/>
      <c r="DR20" s="6"/>
      <c r="DS20" s="20"/>
    </row>
    <row r="21" spans="2:123" ht="9.9499999999999993" customHeight="1" thickBo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74"/>
      <c r="AX21" s="174"/>
      <c r="AY21" s="174"/>
      <c r="AZ21" s="174"/>
      <c r="BA21" s="174"/>
      <c r="BB21" s="174"/>
      <c r="BC21" s="174"/>
      <c r="BD21" s="174"/>
      <c r="BE21" s="174"/>
      <c r="BF21" s="174"/>
      <c r="BG21" s="14"/>
      <c r="BH21" s="174"/>
      <c r="BI21" s="177"/>
      <c r="BJ21" s="174"/>
      <c r="BK21" s="174"/>
      <c r="BL21" s="17"/>
      <c r="BM21" s="6"/>
      <c r="BN21" s="6"/>
      <c r="BO21" s="6"/>
      <c r="BP21" s="18"/>
      <c r="BQ21" s="18"/>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58"/>
      <c r="CY21" s="65"/>
      <c r="CZ21" s="109"/>
      <c r="DA21" s="109"/>
      <c r="DB21" s="109"/>
      <c r="DC21" s="109"/>
      <c r="DD21" s="109"/>
      <c r="DE21" s="109"/>
      <c r="DF21" s="109"/>
      <c r="DG21" s="109"/>
      <c r="DH21" s="66"/>
      <c r="DI21" s="70"/>
      <c r="DJ21" s="174"/>
      <c r="DK21" s="174"/>
      <c r="DL21" s="174"/>
      <c r="DM21" s="174"/>
      <c r="DN21" s="174"/>
      <c r="DO21" s="174"/>
      <c r="DP21" s="174"/>
      <c r="DQ21" s="6"/>
      <c r="DR21" s="6"/>
      <c r="DS21" s="20"/>
    </row>
    <row r="22" spans="2:123" ht="9.9499999999999993" customHeigh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74"/>
      <c r="AX22" s="174"/>
      <c r="AY22" s="174"/>
      <c r="AZ22" s="174"/>
      <c r="BA22" s="174"/>
      <c r="BB22" s="174"/>
      <c r="BC22" s="174"/>
      <c r="BD22" s="174"/>
      <c r="BE22" s="174"/>
      <c r="BF22" s="174"/>
      <c r="BG22" s="14"/>
      <c r="BH22" s="174"/>
      <c r="BI22" s="177"/>
      <c r="BJ22" s="174"/>
      <c r="BK22" s="174"/>
      <c r="BL22" s="17"/>
      <c r="BM22" s="6"/>
      <c r="BN22" s="6"/>
      <c r="BO22" s="6"/>
      <c r="BP22" s="18"/>
      <c r="BQ22" s="18"/>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58"/>
      <c r="CY22" s="65"/>
      <c r="CZ22" s="763"/>
      <c r="DA22" s="764"/>
      <c r="DB22" s="764"/>
      <c r="DC22" s="764"/>
      <c r="DD22" s="764"/>
      <c r="DE22" s="764"/>
      <c r="DF22" s="764"/>
      <c r="DG22" s="771"/>
      <c r="DH22" s="109"/>
      <c r="DI22" s="70"/>
      <c r="DJ22" s="174"/>
      <c r="DK22" s="174"/>
      <c r="DL22" s="174"/>
      <c r="DM22" s="174"/>
      <c r="DN22" s="174"/>
      <c r="DO22" s="174"/>
      <c r="DP22" s="174"/>
      <c r="DQ22" s="6"/>
      <c r="DR22" s="6"/>
      <c r="DS22" s="20"/>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7"/>
      <c r="BM23" s="6"/>
      <c r="BN23" s="6"/>
      <c r="BO23" s="6"/>
      <c r="BP23" s="18"/>
      <c r="BQ23" s="18"/>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58"/>
      <c r="CY23" s="65"/>
      <c r="CZ23" s="766"/>
      <c r="DA23" s="767"/>
      <c r="DB23" s="767"/>
      <c r="DC23" s="767"/>
      <c r="DD23" s="767"/>
      <c r="DE23" s="767"/>
      <c r="DF23" s="767"/>
      <c r="DG23" s="772"/>
      <c r="DH23" s="109"/>
      <c r="DI23" s="70"/>
      <c r="DJ23" s="174"/>
      <c r="DK23" s="174"/>
      <c r="DL23" s="174"/>
      <c r="DM23" s="174"/>
      <c r="DN23" s="174"/>
      <c r="DO23" s="174"/>
      <c r="DP23" s="174"/>
      <c r="DQ23" s="6"/>
      <c r="DR23" s="6"/>
      <c r="DS23" s="20"/>
    </row>
    <row r="24" spans="2:123" ht="9.9499999999999993" customHeight="1" thickBo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728">
        <f>CZ25</f>
        <v>1888.8157894736842</v>
      </c>
      <c r="AX24" s="861"/>
      <c r="AY24" s="861"/>
      <c r="AZ24" s="861"/>
      <c r="BA24" s="861"/>
      <c r="BB24" s="861"/>
      <c r="BC24" s="861"/>
      <c r="BD24" s="861"/>
      <c r="BE24" s="861"/>
      <c r="BF24" s="862"/>
      <c r="BG24" s="14"/>
      <c r="BH24" s="174"/>
      <c r="BI24" s="177"/>
      <c r="BJ24" s="174"/>
      <c r="BK24" s="174"/>
      <c r="BL24" s="17"/>
      <c r="BM24" s="6"/>
      <c r="BN24" s="6"/>
      <c r="BO24" s="6"/>
      <c r="BP24" s="18"/>
      <c r="BQ24" s="18"/>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58"/>
      <c r="CY24" s="65"/>
      <c r="CZ24" s="766"/>
      <c r="DA24" s="767"/>
      <c r="DB24" s="767"/>
      <c r="DC24" s="767"/>
      <c r="DD24" s="767"/>
      <c r="DE24" s="767"/>
      <c r="DF24" s="767"/>
      <c r="DG24" s="772"/>
      <c r="DH24" s="109"/>
      <c r="DI24" s="70"/>
      <c r="DJ24" s="174"/>
      <c r="DK24" s="174"/>
      <c r="DL24" s="174"/>
      <c r="DM24" s="174"/>
      <c r="DN24" s="174"/>
      <c r="DO24" s="174"/>
      <c r="DP24" s="174"/>
      <c r="DQ24" s="6"/>
      <c r="DR24" s="6"/>
      <c r="DS24" s="20"/>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863"/>
      <c r="AX25" s="864"/>
      <c r="AY25" s="864"/>
      <c r="AZ25" s="864"/>
      <c r="BA25" s="864"/>
      <c r="BB25" s="864"/>
      <c r="BC25" s="864"/>
      <c r="BD25" s="864"/>
      <c r="BE25" s="864"/>
      <c r="BF25" s="865"/>
      <c r="BG25" s="14"/>
      <c r="BH25" s="174"/>
      <c r="BI25" s="177"/>
      <c r="BJ25" s="174"/>
      <c r="BK25" s="174"/>
      <c r="BL25" s="17"/>
      <c r="BM25" s="6"/>
      <c r="BN25" s="6"/>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788"/>
      <c r="CR25" s="789"/>
      <c r="CS25" s="789"/>
      <c r="CT25" s="789"/>
      <c r="CU25" s="948" t="s">
        <v>99</v>
      </c>
      <c r="CV25" s="994">
        <f>BT50+DG17</f>
        <v>899</v>
      </c>
      <c r="CW25" s="950">
        <v>1</v>
      </c>
      <c r="CX25" s="58"/>
      <c r="CY25" s="65"/>
      <c r="CZ25" s="833">
        <f>MAX(CV25/LTAF/CW25, ROUND(MAX(0,CV28/RTAF/CW28-DD32/LTAF/DD31),0))+ MAX(DD32/LTAF/DD31 +MAX((DA17+DG17)/DA18,ROUND(MAX(0,BV45/RTAF/BV46-CV25/LTAF/CW25),0)),DG32/DG31)</f>
        <v>1888.8157894736842</v>
      </c>
      <c r="DA25" s="834"/>
      <c r="DB25" s="834"/>
      <c r="DC25" s="834"/>
      <c r="DD25" s="834"/>
      <c r="DE25" s="834"/>
      <c r="DF25" s="834"/>
      <c r="DG25" s="835"/>
      <c r="DH25" s="109"/>
      <c r="DI25" s="70"/>
      <c r="DJ25" s="174"/>
      <c r="DK25" s="174"/>
      <c r="DL25" s="174"/>
      <c r="DM25" s="174"/>
      <c r="DN25" s="174"/>
      <c r="DO25" s="174"/>
      <c r="DP25" s="174"/>
      <c r="DQ25" s="6"/>
      <c r="DR25" s="6"/>
      <c r="DS25" s="20"/>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866"/>
      <c r="AX26" s="867"/>
      <c r="AY26" s="867"/>
      <c r="AZ26" s="867"/>
      <c r="BA26" s="867"/>
      <c r="BB26" s="867"/>
      <c r="BC26" s="867"/>
      <c r="BD26" s="867"/>
      <c r="BE26" s="867"/>
      <c r="BF26" s="868"/>
      <c r="BG26" s="14"/>
      <c r="BH26" s="174"/>
      <c r="BI26" s="177"/>
      <c r="BJ26" s="174"/>
      <c r="BK26" s="174"/>
      <c r="BL26" s="17"/>
      <c r="BM26" s="6"/>
      <c r="BN26" s="6"/>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790"/>
      <c r="CR26" s="791"/>
      <c r="CS26" s="791"/>
      <c r="CT26" s="791"/>
      <c r="CU26" s="932"/>
      <c r="CV26" s="989"/>
      <c r="CW26" s="938"/>
      <c r="CX26" s="58"/>
      <c r="CY26" s="65"/>
      <c r="CZ26" s="833"/>
      <c r="DA26" s="834"/>
      <c r="DB26" s="834"/>
      <c r="DC26" s="834"/>
      <c r="DD26" s="834"/>
      <c r="DE26" s="834"/>
      <c r="DF26" s="834"/>
      <c r="DG26" s="835"/>
      <c r="DH26" s="109"/>
      <c r="DI26" s="70"/>
      <c r="DJ26" s="174"/>
      <c r="DK26" s="174"/>
      <c r="DL26" s="174"/>
      <c r="DM26" s="174"/>
      <c r="DN26" s="174"/>
      <c r="DO26" s="174"/>
      <c r="DP26" s="174"/>
      <c r="DQ26" s="6"/>
      <c r="DR26" s="6"/>
      <c r="DS26" s="20"/>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713">
        <f>ROUND(AW24/CLV_Limit,2)</f>
        <v>1.18</v>
      </c>
      <c r="AX27" s="714"/>
      <c r="AY27" s="714"/>
      <c r="AZ27" s="714"/>
      <c r="BA27" s="715"/>
      <c r="BB27" s="722" t="s">
        <v>100</v>
      </c>
      <c r="BC27" s="722"/>
      <c r="BD27" s="722"/>
      <c r="BE27" s="722"/>
      <c r="BF27" s="723"/>
      <c r="BG27" s="14"/>
      <c r="BH27" s="174"/>
      <c r="BI27" s="177"/>
      <c r="BJ27" s="174"/>
      <c r="BK27" s="174"/>
      <c r="BL27" s="17"/>
      <c r="BM27" s="6"/>
      <c r="BN27" s="6"/>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792"/>
      <c r="CR27" s="793"/>
      <c r="CS27" s="793"/>
      <c r="CT27" s="793"/>
      <c r="CU27" s="933"/>
      <c r="CV27" s="995"/>
      <c r="CW27" s="939"/>
      <c r="CX27" s="58"/>
      <c r="CY27" s="109"/>
      <c r="CZ27" s="836"/>
      <c r="DA27" s="837"/>
      <c r="DB27" s="837"/>
      <c r="DC27" s="837"/>
      <c r="DD27" s="837"/>
      <c r="DE27" s="837"/>
      <c r="DF27" s="837"/>
      <c r="DG27" s="838"/>
      <c r="DH27" s="109"/>
      <c r="DI27" s="60"/>
      <c r="DJ27" s="174"/>
      <c r="DK27" s="174"/>
      <c r="DL27" s="174"/>
      <c r="DM27" s="174"/>
      <c r="DN27" s="174"/>
      <c r="DO27" s="174"/>
      <c r="DP27" s="174"/>
      <c r="DQ27" s="6"/>
      <c r="DR27" s="6"/>
      <c r="DS27" s="20"/>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716"/>
      <c r="AX28" s="717"/>
      <c r="AY28" s="717"/>
      <c r="AZ28" s="717"/>
      <c r="BA28" s="718"/>
      <c r="BB28" s="724"/>
      <c r="BC28" s="724"/>
      <c r="BD28" s="724"/>
      <c r="BE28" s="724"/>
      <c r="BF28" s="725"/>
      <c r="BG28" s="14"/>
      <c r="BH28" s="174"/>
      <c r="BI28" s="177"/>
      <c r="BJ28" s="174"/>
      <c r="BK28" s="174"/>
      <c r="BL28" s="17"/>
      <c r="BM28" s="6"/>
      <c r="BN28" s="6"/>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815"/>
      <c r="CR28" s="816"/>
      <c r="CS28" s="816"/>
      <c r="CT28" s="816"/>
      <c r="CU28" s="931" t="s">
        <v>99</v>
      </c>
      <c r="CV28" s="988">
        <f>DK53+BT47</f>
        <v>588</v>
      </c>
      <c r="CW28" s="937">
        <v>1</v>
      </c>
      <c r="CX28" s="58"/>
      <c r="CY28" s="109"/>
      <c r="CZ28" s="109"/>
      <c r="DA28" s="109"/>
      <c r="DB28" s="109"/>
      <c r="DC28" s="109"/>
      <c r="DD28" s="109"/>
      <c r="DE28" s="109"/>
      <c r="DF28" s="109"/>
      <c r="DG28" s="109"/>
      <c r="DH28" s="109"/>
      <c r="DI28" s="60"/>
      <c r="DJ28" s="174"/>
      <c r="DK28" s="174"/>
      <c r="DL28" s="174"/>
      <c r="DM28" s="174"/>
      <c r="DN28" s="174"/>
      <c r="DO28" s="174"/>
      <c r="DP28" s="174"/>
      <c r="DQ28" s="6"/>
      <c r="DR28" s="6"/>
      <c r="DS28" s="20"/>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719"/>
      <c r="AX29" s="720"/>
      <c r="AY29" s="720"/>
      <c r="AZ29" s="720"/>
      <c r="BA29" s="721"/>
      <c r="BB29" s="726"/>
      <c r="BC29" s="726"/>
      <c r="BD29" s="726"/>
      <c r="BE29" s="726"/>
      <c r="BF29" s="727"/>
      <c r="BG29" s="14"/>
      <c r="BH29" s="174"/>
      <c r="BI29" s="177"/>
      <c r="BJ29" s="174"/>
      <c r="BK29" s="174"/>
      <c r="BL29" s="17"/>
      <c r="BM29" s="6"/>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790"/>
      <c r="CR29" s="791"/>
      <c r="CS29" s="791"/>
      <c r="CT29" s="791"/>
      <c r="CU29" s="932"/>
      <c r="CV29" s="989"/>
      <c r="CW29" s="938"/>
      <c r="CX29" s="58"/>
      <c r="CY29" s="109"/>
      <c r="CZ29" s="109"/>
      <c r="DA29" s="109"/>
      <c r="DB29" s="109"/>
      <c r="DC29" s="109"/>
      <c r="DD29" s="109"/>
      <c r="DE29" s="109"/>
      <c r="DF29" s="109"/>
      <c r="DG29" s="109"/>
      <c r="DH29" s="109"/>
      <c r="DI29" s="60"/>
      <c r="DJ29" s="174"/>
      <c r="DK29" s="174"/>
      <c r="DL29" s="174"/>
      <c r="DM29" s="174"/>
      <c r="DN29" s="174"/>
      <c r="DO29" s="174"/>
      <c r="DP29" s="174"/>
      <c r="DQ29" s="6"/>
      <c r="DR29" s="6"/>
      <c r="DS29" s="20"/>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7"/>
      <c r="BM30" s="6"/>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824"/>
      <c r="CR30" s="825"/>
      <c r="CS30" s="825"/>
      <c r="CT30" s="825"/>
      <c r="CU30" s="963"/>
      <c r="CV30" s="990"/>
      <c r="CW30" s="965"/>
      <c r="CX30" s="61"/>
      <c r="CY30" s="110"/>
      <c r="CZ30" s="110"/>
      <c r="DA30" s="110"/>
      <c r="DB30" s="110"/>
      <c r="DC30" s="110"/>
      <c r="DD30" s="110"/>
      <c r="DE30" s="110"/>
      <c r="DF30" s="110"/>
      <c r="DG30" s="110"/>
      <c r="DH30" s="110"/>
      <c r="DI30" s="63"/>
      <c r="DJ30" s="174"/>
      <c r="DK30" s="174"/>
      <c r="DL30" s="174"/>
      <c r="DM30" s="174"/>
      <c r="DN30" s="174"/>
      <c r="DO30" s="174"/>
      <c r="DP30" s="174"/>
      <c r="DQ30" s="6"/>
      <c r="DR30" s="6"/>
      <c r="DS30" s="20"/>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039">
        <v>1</v>
      </c>
      <c r="DE31" s="1040"/>
      <c r="DF31" s="1040"/>
      <c r="DG31" s="1040">
        <v>2</v>
      </c>
      <c r="DH31" s="1040"/>
      <c r="DI31" s="1041"/>
      <c r="DJ31" s="31"/>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973">
        <f>DK56+DA60+CX60</f>
        <v>0</v>
      </c>
      <c r="DE32" s="974"/>
      <c r="DF32" s="975"/>
      <c r="DG32" s="976">
        <f>DK47+DD60</f>
        <v>1885</v>
      </c>
      <c r="DH32" s="974"/>
      <c r="DI32" s="977"/>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918" t="s">
        <v>99</v>
      </c>
      <c r="DE33" s="919"/>
      <c r="DF33" s="920"/>
      <c r="DG33" s="921" t="s">
        <v>99</v>
      </c>
      <c r="DH33" s="919"/>
      <c r="DI33" s="922"/>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766"/>
      <c r="DE34" s="767"/>
      <c r="DF34" s="768"/>
      <c r="DG34" s="770"/>
      <c r="DH34" s="767"/>
      <c r="DI34" s="772"/>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766"/>
      <c r="DE35" s="767"/>
      <c r="DF35" s="768"/>
      <c r="DG35" s="770"/>
      <c r="DH35" s="767"/>
      <c r="DI35" s="772"/>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766"/>
      <c r="DE36" s="767"/>
      <c r="DF36" s="768"/>
      <c r="DG36" s="770"/>
      <c r="DH36" s="767"/>
      <c r="DI36" s="772"/>
      <c r="DJ36" s="174"/>
      <c r="DK36" s="174"/>
      <c r="DL36" s="174"/>
      <c r="DM36" s="174"/>
      <c r="DN36" s="174"/>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849"/>
      <c r="DE37" s="705"/>
      <c r="DF37" s="850"/>
      <c r="DG37" s="851"/>
      <c r="DH37" s="705"/>
      <c r="DI37" s="852"/>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763"/>
      <c r="BW40" s="764"/>
      <c r="BX40" s="765"/>
      <c r="BY40" s="769"/>
      <c r="BZ40" s="764"/>
      <c r="CA40" s="771"/>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763"/>
      <c r="CY40" s="764"/>
      <c r="CZ40" s="765"/>
      <c r="DA40" s="769"/>
      <c r="DB40" s="764"/>
      <c r="DC40" s="771"/>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766"/>
      <c r="BW41" s="767"/>
      <c r="BX41" s="768"/>
      <c r="BY41" s="770"/>
      <c r="BZ41" s="767"/>
      <c r="CA41" s="772"/>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766"/>
      <c r="CY41" s="767"/>
      <c r="CZ41" s="768"/>
      <c r="DA41" s="770"/>
      <c r="DB41" s="767"/>
      <c r="DC41" s="772"/>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766"/>
      <c r="BW42" s="767"/>
      <c r="BX42" s="768"/>
      <c r="BY42" s="770"/>
      <c r="BZ42" s="767"/>
      <c r="CA42" s="772"/>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766"/>
      <c r="CY42" s="767"/>
      <c r="CZ42" s="768"/>
      <c r="DA42" s="770"/>
      <c r="DB42" s="767"/>
      <c r="DC42" s="772"/>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766"/>
      <c r="BW43" s="767"/>
      <c r="BX43" s="768"/>
      <c r="BY43" s="770"/>
      <c r="BZ43" s="767"/>
      <c r="CA43" s="772"/>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766"/>
      <c r="CY43" s="767"/>
      <c r="CZ43" s="768"/>
      <c r="DA43" s="770"/>
      <c r="DB43" s="767"/>
      <c r="DC43" s="772"/>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918" t="s">
        <v>99</v>
      </c>
      <c r="BW44" s="919"/>
      <c r="BX44" s="920"/>
      <c r="BY44" s="921" t="s">
        <v>99</v>
      </c>
      <c r="BZ44" s="919"/>
      <c r="CA44" s="922"/>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918" t="s">
        <v>99</v>
      </c>
      <c r="CY44" s="919"/>
      <c r="CZ44" s="920"/>
      <c r="DA44" s="921" t="s">
        <v>99</v>
      </c>
      <c r="DB44" s="919"/>
      <c r="DC44" s="922"/>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4"/>
      <c r="BU45" s="174"/>
      <c r="BV45" s="923">
        <f>CX17+DA60</f>
        <v>0</v>
      </c>
      <c r="BW45" s="924"/>
      <c r="BX45" s="925"/>
      <c r="BY45" s="926">
        <f>DK56+DD17+CX60</f>
        <v>607</v>
      </c>
      <c r="BZ45" s="924"/>
      <c r="CA45" s="927"/>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923">
        <f>BT47+DG17</f>
        <v>0</v>
      </c>
      <c r="CY45" s="924"/>
      <c r="CZ45" s="925"/>
      <c r="DA45" s="926">
        <f>CV28+DA17</f>
        <v>2035</v>
      </c>
      <c r="DB45" s="924"/>
      <c r="DC45" s="927"/>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4"/>
      <c r="BU46" s="174"/>
      <c r="BV46" s="1034">
        <v>1</v>
      </c>
      <c r="BW46" s="1035"/>
      <c r="BX46" s="1036"/>
      <c r="BY46" s="1037">
        <v>1</v>
      </c>
      <c r="BZ46" s="1035"/>
      <c r="CA46" s="1038"/>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034">
        <v>1</v>
      </c>
      <c r="CY46" s="1035"/>
      <c r="CZ46" s="1036"/>
      <c r="DA46" s="1037">
        <v>2</v>
      </c>
      <c r="DB46" s="1035"/>
      <c r="DC46" s="1038"/>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788"/>
      <c r="BP47" s="789"/>
      <c r="BQ47" s="789"/>
      <c r="BR47" s="789"/>
      <c r="BS47" s="794" t="s">
        <v>99</v>
      </c>
      <c r="BT47" s="797">
        <f>EBU_Master</f>
        <v>0</v>
      </c>
      <c r="BU47" s="1016"/>
      <c r="BV47" s="56"/>
      <c r="BW47" s="175"/>
      <c r="BX47" s="175"/>
      <c r="BY47" s="175"/>
      <c r="BZ47" s="175"/>
      <c r="CA47" s="175"/>
      <c r="CB47" s="175"/>
      <c r="CC47" s="175"/>
      <c r="CD47" s="175"/>
      <c r="CE47" s="175"/>
      <c r="CF47" s="175"/>
      <c r="CG47" s="175"/>
      <c r="CH47" s="910">
        <v>1</v>
      </c>
      <c r="CI47" s="913">
        <f>DK47+DG17</f>
        <v>625</v>
      </c>
      <c r="CJ47" s="914" t="s">
        <v>99</v>
      </c>
      <c r="CK47" s="789"/>
      <c r="CL47" s="789"/>
      <c r="CM47" s="789"/>
      <c r="CN47" s="812"/>
      <c r="CO47" s="174"/>
      <c r="CP47" s="174"/>
      <c r="CQ47" s="174"/>
      <c r="CR47" s="174"/>
      <c r="CS47" s="174"/>
      <c r="CT47" s="174"/>
      <c r="CU47" s="174"/>
      <c r="CV47" s="174"/>
      <c r="CW47" s="174"/>
      <c r="CX47" s="56"/>
      <c r="CY47" s="175"/>
      <c r="CZ47" s="175"/>
      <c r="DA47" s="175"/>
      <c r="DB47" s="67"/>
      <c r="DC47" s="175"/>
      <c r="DD47" s="175"/>
      <c r="DE47" s="175"/>
      <c r="DF47" s="175"/>
      <c r="DG47" s="175"/>
      <c r="DH47" s="175"/>
      <c r="DI47" s="175"/>
      <c r="DJ47" s="910">
        <v>1</v>
      </c>
      <c r="DK47" s="806">
        <f>WBR_Master</f>
        <v>625</v>
      </c>
      <c r="DL47" s="809" t="s">
        <v>99</v>
      </c>
      <c r="DM47" s="789"/>
      <c r="DN47" s="789"/>
      <c r="DO47" s="789"/>
      <c r="DP47" s="812"/>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790"/>
      <c r="BP48" s="791"/>
      <c r="BQ48" s="791"/>
      <c r="BR48" s="791"/>
      <c r="BS48" s="795"/>
      <c r="BT48" s="798"/>
      <c r="BU48" s="1013"/>
      <c r="BV48" s="58"/>
      <c r="BW48" s="109"/>
      <c r="BX48" s="109"/>
      <c r="BY48" s="109"/>
      <c r="BZ48" s="109"/>
      <c r="CA48" s="109"/>
      <c r="CB48" s="109"/>
      <c r="CC48" s="109"/>
      <c r="CD48" s="109"/>
      <c r="CE48" s="109"/>
      <c r="CF48" s="109"/>
      <c r="CG48" s="109"/>
      <c r="CH48" s="911"/>
      <c r="CI48" s="1005"/>
      <c r="CJ48" s="1007"/>
      <c r="CK48" s="791"/>
      <c r="CL48" s="791"/>
      <c r="CM48" s="791"/>
      <c r="CN48" s="813"/>
      <c r="CO48" s="174"/>
      <c r="CP48" s="174"/>
      <c r="CQ48" s="174"/>
      <c r="CR48" s="174"/>
      <c r="CS48" s="174"/>
      <c r="CT48" s="174"/>
      <c r="CU48" s="174"/>
      <c r="CV48" s="174"/>
      <c r="CW48" s="174"/>
      <c r="CX48" s="58"/>
      <c r="CY48" s="109"/>
      <c r="CZ48" s="109"/>
      <c r="DA48" s="109"/>
      <c r="DB48" s="65"/>
      <c r="DC48" s="109"/>
      <c r="DD48" s="109"/>
      <c r="DE48" s="109"/>
      <c r="DF48" s="109"/>
      <c r="DG48" s="109"/>
      <c r="DH48" s="109"/>
      <c r="DI48" s="109"/>
      <c r="DJ48" s="911"/>
      <c r="DK48" s="807"/>
      <c r="DL48" s="810"/>
      <c r="DM48" s="791"/>
      <c r="DN48" s="791"/>
      <c r="DO48" s="791"/>
      <c r="DP48" s="813"/>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792"/>
      <c r="BP49" s="793"/>
      <c r="BQ49" s="793"/>
      <c r="BR49" s="793"/>
      <c r="BS49" s="796"/>
      <c r="BT49" s="799"/>
      <c r="BU49" s="1014"/>
      <c r="BV49" s="58"/>
      <c r="BW49" s="109"/>
      <c r="BX49" s="109"/>
      <c r="BY49" s="109"/>
      <c r="BZ49" s="109"/>
      <c r="CA49" s="109"/>
      <c r="CB49" s="109"/>
      <c r="CC49" s="109"/>
      <c r="CD49" s="109"/>
      <c r="CE49" s="109"/>
      <c r="CF49" s="109"/>
      <c r="CG49" s="109"/>
      <c r="CH49" s="912"/>
      <c r="CI49" s="1017"/>
      <c r="CJ49" s="1015"/>
      <c r="CK49" s="793"/>
      <c r="CL49" s="793"/>
      <c r="CM49" s="793"/>
      <c r="CN49" s="814"/>
      <c r="CO49" s="174"/>
      <c r="CP49" s="174"/>
      <c r="CQ49" s="174"/>
      <c r="CR49" s="174"/>
      <c r="CS49" s="174"/>
      <c r="CT49" s="174"/>
      <c r="CU49" s="174"/>
      <c r="CV49" s="174"/>
      <c r="CW49" s="174"/>
      <c r="CX49" s="58"/>
      <c r="CY49" s="109"/>
      <c r="CZ49" s="109"/>
      <c r="DA49" s="109"/>
      <c r="DB49" s="65"/>
      <c r="DC49" s="109"/>
      <c r="DD49" s="109"/>
      <c r="DE49" s="109"/>
      <c r="DF49" s="109"/>
      <c r="DG49" s="109"/>
      <c r="DH49" s="109"/>
      <c r="DI49" s="109"/>
      <c r="DJ49" s="912"/>
      <c r="DK49" s="808"/>
      <c r="DL49" s="811"/>
      <c r="DM49" s="793"/>
      <c r="DN49" s="793"/>
      <c r="DO49" s="793"/>
      <c r="DP49" s="81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815"/>
      <c r="BP50" s="816"/>
      <c r="BQ50" s="816"/>
      <c r="BR50" s="816"/>
      <c r="BS50" s="817" t="s">
        <v>99</v>
      </c>
      <c r="BT50" s="818">
        <f>EBL_Master</f>
        <v>899</v>
      </c>
      <c r="BU50" s="937">
        <v>1</v>
      </c>
      <c r="BV50" s="58"/>
      <c r="BW50" s="109"/>
      <c r="BX50" s="763"/>
      <c r="BY50" s="764"/>
      <c r="BZ50" s="764"/>
      <c r="CA50" s="764"/>
      <c r="CB50" s="764"/>
      <c r="CC50" s="764"/>
      <c r="CD50" s="764"/>
      <c r="CE50" s="771"/>
      <c r="CF50" s="109"/>
      <c r="CG50" s="109"/>
      <c r="CH50" s="951">
        <v>2</v>
      </c>
      <c r="CI50" s="952">
        <f>DK50+BT47</f>
        <v>0</v>
      </c>
      <c r="CJ50" s="953" t="s">
        <v>99</v>
      </c>
      <c r="CK50" s="816"/>
      <c r="CL50" s="816"/>
      <c r="CM50" s="816"/>
      <c r="CN50" s="822"/>
      <c r="CO50" s="174"/>
      <c r="CP50" s="174"/>
      <c r="CQ50" s="174"/>
      <c r="CR50" s="174"/>
      <c r="CS50" s="174"/>
      <c r="CT50" s="174"/>
      <c r="CU50" s="174"/>
      <c r="CV50" s="174"/>
      <c r="CW50" s="174"/>
      <c r="CX50" s="58"/>
      <c r="CY50" s="109"/>
      <c r="CZ50" s="763"/>
      <c r="DA50" s="764"/>
      <c r="DB50" s="764"/>
      <c r="DC50" s="764"/>
      <c r="DD50" s="764"/>
      <c r="DE50" s="764"/>
      <c r="DF50" s="764"/>
      <c r="DG50" s="771"/>
      <c r="DH50" s="109"/>
      <c r="DI50" s="109"/>
      <c r="DJ50" s="951">
        <v>2</v>
      </c>
      <c r="DK50" s="820">
        <f>WBT_Master</f>
        <v>0</v>
      </c>
      <c r="DL50" s="821" t="s">
        <v>99</v>
      </c>
      <c r="DM50" s="816"/>
      <c r="DN50" s="816"/>
      <c r="DO50" s="816"/>
      <c r="DP50" s="822"/>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790"/>
      <c r="BP51" s="791"/>
      <c r="BQ51" s="791"/>
      <c r="BR51" s="791"/>
      <c r="BS51" s="795"/>
      <c r="BT51" s="798"/>
      <c r="BU51" s="938"/>
      <c r="BV51" s="64"/>
      <c r="BW51" s="65"/>
      <c r="BX51" s="766"/>
      <c r="BY51" s="767"/>
      <c r="BZ51" s="767"/>
      <c r="CA51" s="767"/>
      <c r="CB51" s="767"/>
      <c r="CC51" s="767"/>
      <c r="CD51" s="767"/>
      <c r="CE51" s="772"/>
      <c r="CF51" s="109"/>
      <c r="CG51" s="109"/>
      <c r="CH51" s="911"/>
      <c r="CI51" s="1005"/>
      <c r="CJ51" s="1007"/>
      <c r="CK51" s="791"/>
      <c r="CL51" s="791"/>
      <c r="CM51" s="791"/>
      <c r="CN51" s="813"/>
      <c r="CO51" s="174"/>
      <c r="CP51" s="174"/>
      <c r="CQ51" s="174"/>
      <c r="CR51" s="174"/>
      <c r="CS51" s="174"/>
      <c r="CT51" s="174"/>
      <c r="CU51" s="174"/>
      <c r="CV51" s="174"/>
      <c r="CW51" s="174"/>
      <c r="CX51" s="58"/>
      <c r="CY51" s="109"/>
      <c r="CZ51" s="766"/>
      <c r="DA51" s="767"/>
      <c r="DB51" s="767"/>
      <c r="DC51" s="767"/>
      <c r="DD51" s="767"/>
      <c r="DE51" s="767"/>
      <c r="DF51" s="767"/>
      <c r="DG51" s="772"/>
      <c r="DH51" s="65"/>
      <c r="DI51" s="65"/>
      <c r="DJ51" s="911"/>
      <c r="DK51" s="807"/>
      <c r="DL51" s="810"/>
      <c r="DM51" s="791"/>
      <c r="DN51" s="791"/>
      <c r="DO51" s="791"/>
      <c r="DP51" s="813"/>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792"/>
      <c r="BP52" s="793"/>
      <c r="BQ52" s="793"/>
      <c r="BR52" s="793"/>
      <c r="BS52" s="796"/>
      <c r="BT52" s="799"/>
      <c r="BU52" s="939"/>
      <c r="BV52" s="58"/>
      <c r="BW52" s="109"/>
      <c r="BX52" s="766"/>
      <c r="BY52" s="767"/>
      <c r="BZ52" s="767"/>
      <c r="CA52" s="767"/>
      <c r="CB52" s="767"/>
      <c r="CC52" s="767"/>
      <c r="CD52" s="767"/>
      <c r="CE52" s="772"/>
      <c r="CF52" s="109"/>
      <c r="CG52" s="109"/>
      <c r="CH52" s="957"/>
      <c r="CI52" s="1006"/>
      <c r="CJ52" s="1008"/>
      <c r="CK52" s="825"/>
      <c r="CL52" s="825"/>
      <c r="CM52" s="825"/>
      <c r="CN52" s="832"/>
      <c r="CO52" s="174"/>
      <c r="CP52" s="174"/>
      <c r="CQ52" s="174"/>
      <c r="CR52" s="174"/>
      <c r="CS52" s="174"/>
      <c r="CT52" s="174"/>
      <c r="CU52" s="174"/>
      <c r="CV52" s="174"/>
      <c r="CW52" s="174"/>
      <c r="CX52" s="58"/>
      <c r="CY52" s="109"/>
      <c r="CZ52" s="766"/>
      <c r="DA52" s="767"/>
      <c r="DB52" s="767"/>
      <c r="DC52" s="767"/>
      <c r="DD52" s="767"/>
      <c r="DE52" s="767"/>
      <c r="DF52" s="767"/>
      <c r="DG52" s="772"/>
      <c r="DH52" s="109"/>
      <c r="DI52" s="109"/>
      <c r="DJ52" s="912"/>
      <c r="DK52" s="808"/>
      <c r="DL52" s="811"/>
      <c r="DM52" s="793"/>
      <c r="DN52" s="793"/>
      <c r="DO52" s="793"/>
      <c r="DP52" s="81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815"/>
      <c r="BP53" s="816"/>
      <c r="BQ53" s="816"/>
      <c r="BR53" s="816"/>
      <c r="BS53" s="817" t="s">
        <v>99</v>
      </c>
      <c r="BT53" s="818">
        <f>EBT_Master</f>
        <v>0</v>
      </c>
      <c r="BU53" s="937">
        <v>2</v>
      </c>
      <c r="BV53" s="58"/>
      <c r="BW53" s="109"/>
      <c r="BX53" s="833">
        <f>MAX(BY45/LTAF/BY46, ROUND(MAX(0,BV45/RTAF/BV46-(BT50+BT47)/LTAF/BU50),0))+ MAX((BT50+BT47)/LTAF/BU50 +MAX(CI50/CH50, ROUND(MAX(0,CI47/RTAF/CH47-BY45/LTAF/BY46),0)),(BT53+BT56)/BU53 )</f>
        <v>1681.2631578947369</v>
      </c>
      <c r="BY53" s="834"/>
      <c r="BZ53" s="834"/>
      <c r="CA53" s="834"/>
      <c r="CB53" s="834"/>
      <c r="CC53" s="834"/>
      <c r="CD53" s="834"/>
      <c r="CE53" s="835"/>
      <c r="CF53" s="109"/>
      <c r="CG53" s="60"/>
      <c r="CH53" s="174"/>
      <c r="CI53" s="174"/>
      <c r="CJ53" s="174"/>
      <c r="CK53" s="174"/>
      <c r="CL53" s="174"/>
      <c r="CM53" s="174"/>
      <c r="CN53" s="174"/>
      <c r="CO53" s="174"/>
      <c r="CP53" s="174"/>
      <c r="CQ53" s="788"/>
      <c r="CR53" s="789"/>
      <c r="CS53" s="789"/>
      <c r="CT53" s="789"/>
      <c r="CU53" s="948" t="s">
        <v>99</v>
      </c>
      <c r="CV53" s="994">
        <f>BT53+DK56</f>
        <v>0</v>
      </c>
      <c r="CW53" s="950">
        <v>2</v>
      </c>
      <c r="CX53" s="58"/>
      <c r="CY53" s="109"/>
      <c r="CZ53" s="833">
        <f>MAX((DD60+CX60+DA60)/DD59, DG60/RTAF/DG59, DA45/DA46,CX45/RTAF/CX46) +MAX(CV53/CW53, CV56/RTAF/CW56, (DK50+DK53)/DJ50,DK47/RTAF/DJ47)</f>
        <v>1982.3529411764707</v>
      </c>
      <c r="DA53" s="834"/>
      <c r="DB53" s="834"/>
      <c r="DC53" s="834"/>
      <c r="DD53" s="834"/>
      <c r="DE53" s="834"/>
      <c r="DF53" s="834"/>
      <c r="DG53" s="835"/>
      <c r="DH53" s="109"/>
      <c r="DI53" s="109"/>
      <c r="DJ53" s="1002"/>
      <c r="DK53" s="820">
        <f>WBL_Master</f>
        <v>588</v>
      </c>
      <c r="DL53" s="821" t="s">
        <v>99</v>
      </c>
      <c r="DM53" s="816"/>
      <c r="DN53" s="816"/>
      <c r="DO53" s="816"/>
      <c r="DP53" s="822"/>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728">
        <f>CZ53</f>
        <v>1982.3529411764707</v>
      </c>
      <c r="AX54" s="861"/>
      <c r="AY54" s="861"/>
      <c r="AZ54" s="861"/>
      <c r="BA54" s="861"/>
      <c r="BB54" s="861"/>
      <c r="BC54" s="861"/>
      <c r="BD54" s="861"/>
      <c r="BE54" s="861"/>
      <c r="BF54" s="862"/>
      <c r="BG54" s="174"/>
      <c r="BH54" s="174"/>
      <c r="BI54" s="177"/>
      <c r="BJ54" s="174"/>
      <c r="BK54" s="174"/>
      <c r="BL54" s="1"/>
      <c r="BM54" s="174"/>
      <c r="BN54" s="174"/>
      <c r="BO54" s="790"/>
      <c r="BP54" s="791"/>
      <c r="BQ54" s="791"/>
      <c r="BR54" s="791"/>
      <c r="BS54" s="795"/>
      <c r="BT54" s="798"/>
      <c r="BU54" s="938"/>
      <c r="BV54" s="58"/>
      <c r="BW54" s="109"/>
      <c r="BX54" s="833"/>
      <c r="BY54" s="834"/>
      <c r="BZ54" s="834"/>
      <c r="CA54" s="834"/>
      <c r="CB54" s="834"/>
      <c r="CC54" s="834"/>
      <c r="CD54" s="834"/>
      <c r="CE54" s="835"/>
      <c r="CF54" s="109"/>
      <c r="CG54" s="60"/>
      <c r="CH54" s="174"/>
      <c r="CI54" s="174"/>
      <c r="CJ54" s="174"/>
      <c r="CK54" s="174"/>
      <c r="CL54" s="174"/>
      <c r="CM54" s="174"/>
      <c r="CN54" s="174"/>
      <c r="CO54" s="174"/>
      <c r="CP54" s="174"/>
      <c r="CQ54" s="790"/>
      <c r="CR54" s="791"/>
      <c r="CS54" s="791"/>
      <c r="CT54" s="791"/>
      <c r="CU54" s="932"/>
      <c r="CV54" s="989"/>
      <c r="CW54" s="938"/>
      <c r="CX54" s="58"/>
      <c r="CY54" s="109"/>
      <c r="CZ54" s="833"/>
      <c r="DA54" s="834"/>
      <c r="DB54" s="834"/>
      <c r="DC54" s="834"/>
      <c r="DD54" s="834"/>
      <c r="DE54" s="834"/>
      <c r="DF54" s="834"/>
      <c r="DG54" s="835"/>
      <c r="DH54" s="109"/>
      <c r="DI54" s="109"/>
      <c r="DJ54" s="1003"/>
      <c r="DK54" s="807"/>
      <c r="DL54" s="810"/>
      <c r="DM54" s="791"/>
      <c r="DN54" s="791"/>
      <c r="DO54" s="791"/>
      <c r="DP54" s="813"/>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863"/>
      <c r="AX55" s="864"/>
      <c r="AY55" s="864"/>
      <c r="AZ55" s="864"/>
      <c r="BA55" s="864"/>
      <c r="BB55" s="864"/>
      <c r="BC55" s="864"/>
      <c r="BD55" s="864"/>
      <c r="BE55" s="864"/>
      <c r="BF55" s="865"/>
      <c r="BG55" s="174"/>
      <c r="BH55" s="174"/>
      <c r="BI55" s="177"/>
      <c r="BJ55" s="174"/>
      <c r="BK55" s="174"/>
      <c r="BL55" s="1"/>
      <c r="BM55" s="174"/>
      <c r="BN55" s="174"/>
      <c r="BO55" s="792"/>
      <c r="BP55" s="793"/>
      <c r="BQ55" s="793"/>
      <c r="BR55" s="793"/>
      <c r="BS55" s="796"/>
      <c r="BT55" s="799"/>
      <c r="BU55" s="939"/>
      <c r="BV55" s="58"/>
      <c r="BW55" s="109"/>
      <c r="BX55" s="836"/>
      <c r="BY55" s="837"/>
      <c r="BZ55" s="837"/>
      <c r="CA55" s="837"/>
      <c r="CB55" s="837"/>
      <c r="CC55" s="837"/>
      <c r="CD55" s="837"/>
      <c r="CE55" s="838"/>
      <c r="CF55" s="109"/>
      <c r="CG55" s="60"/>
      <c r="CH55" s="174"/>
      <c r="CI55" s="174"/>
      <c r="CJ55" s="174"/>
      <c r="CK55" s="174"/>
      <c r="CL55" s="174"/>
      <c r="CM55" s="174"/>
      <c r="CN55" s="174"/>
      <c r="CO55" s="174"/>
      <c r="CP55" s="174"/>
      <c r="CQ55" s="792"/>
      <c r="CR55" s="793"/>
      <c r="CS55" s="793"/>
      <c r="CT55" s="793"/>
      <c r="CU55" s="933"/>
      <c r="CV55" s="995"/>
      <c r="CW55" s="939"/>
      <c r="CX55" s="58"/>
      <c r="CY55" s="109"/>
      <c r="CZ55" s="836"/>
      <c r="DA55" s="837"/>
      <c r="DB55" s="837"/>
      <c r="DC55" s="837"/>
      <c r="DD55" s="837"/>
      <c r="DE55" s="837"/>
      <c r="DF55" s="837"/>
      <c r="DG55" s="838"/>
      <c r="DH55" s="109"/>
      <c r="DI55" s="109"/>
      <c r="DJ55" s="1009"/>
      <c r="DK55" s="808"/>
      <c r="DL55" s="811"/>
      <c r="DM55" s="793"/>
      <c r="DN55" s="793"/>
      <c r="DO55" s="793"/>
      <c r="DP55" s="81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866"/>
      <c r="AX56" s="867"/>
      <c r="AY56" s="867"/>
      <c r="AZ56" s="867"/>
      <c r="BA56" s="867"/>
      <c r="BB56" s="867"/>
      <c r="BC56" s="867"/>
      <c r="BD56" s="867"/>
      <c r="BE56" s="867"/>
      <c r="BF56" s="868"/>
      <c r="BG56" s="174"/>
      <c r="BH56" s="174"/>
      <c r="BI56" s="177"/>
      <c r="BJ56" s="174"/>
      <c r="BK56" s="174"/>
      <c r="BL56" s="1"/>
      <c r="BM56" s="174"/>
      <c r="BN56" s="174"/>
      <c r="BO56" s="815"/>
      <c r="BP56" s="816"/>
      <c r="BQ56" s="816"/>
      <c r="BR56" s="816"/>
      <c r="BS56" s="817" t="s">
        <v>99</v>
      </c>
      <c r="BT56" s="818">
        <f>EBR_Master</f>
        <v>208</v>
      </c>
      <c r="BU56" s="1012"/>
      <c r="BV56" s="58"/>
      <c r="BW56" s="109"/>
      <c r="BX56" s="109"/>
      <c r="BY56" s="109"/>
      <c r="BZ56" s="109"/>
      <c r="CA56" s="109"/>
      <c r="CB56" s="109"/>
      <c r="CC56" s="66"/>
      <c r="CD56" s="109"/>
      <c r="CE56" s="109"/>
      <c r="CF56" s="109"/>
      <c r="CG56" s="60"/>
      <c r="CH56" s="174"/>
      <c r="CI56" s="174"/>
      <c r="CJ56" s="174"/>
      <c r="CK56" s="174"/>
      <c r="CL56" s="174"/>
      <c r="CM56" s="174"/>
      <c r="CN56" s="174"/>
      <c r="CO56" s="174"/>
      <c r="CP56" s="174"/>
      <c r="CQ56" s="815"/>
      <c r="CR56" s="816"/>
      <c r="CS56" s="816"/>
      <c r="CT56" s="816"/>
      <c r="CU56" s="931" t="s">
        <v>99</v>
      </c>
      <c r="CV56" s="988">
        <f>BT56+CX60</f>
        <v>208</v>
      </c>
      <c r="CW56" s="937">
        <v>1</v>
      </c>
      <c r="CX56" s="58"/>
      <c r="CY56" s="109"/>
      <c r="CZ56" s="109"/>
      <c r="DA56" s="109"/>
      <c r="DB56" s="109"/>
      <c r="DC56" s="109"/>
      <c r="DD56" s="109"/>
      <c r="DE56" s="109"/>
      <c r="DF56" s="109"/>
      <c r="DG56" s="109"/>
      <c r="DH56" s="109"/>
      <c r="DI56" s="109"/>
      <c r="DJ56" s="1002"/>
      <c r="DK56" s="820">
        <f>WBU_Master</f>
        <v>0</v>
      </c>
      <c r="DL56" s="821" t="s">
        <v>99</v>
      </c>
      <c r="DM56" s="816"/>
      <c r="DN56" s="816"/>
      <c r="DO56" s="816"/>
      <c r="DP56" s="822"/>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713">
        <f>ROUND(AW54/CLV_Limit,2)</f>
        <v>1.24</v>
      </c>
      <c r="AX57" s="714"/>
      <c r="AY57" s="714"/>
      <c r="AZ57" s="714"/>
      <c r="BA57" s="715"/>
      <c r="BB57" s="722" t="s">
        <v>100</v>
      </c>
      <c r="BC57" s="722"/>
      <c r="BD57" s="722"/>
      <c r="BE57" s="722"/>
      <c r="BF57" s="723"/>
      <c r="BG57" s="174"/>
      <c r="BH57" s="174"/>
      <c r="BI57" s="177"/>
      <c r="BJ57" s="174"/>
      <c r="BK57" s="174"/>
      <c r="BL57" s="1"/>
      <c r="BM57" s="174"/>
      <c r="BN57" s="174"/>
      <c r="BO57" s="790"/>
      <c r="BP57" s="791"/>
      <c r="BQ57" s="791"/>
      <c r="BR57" s="791"/>
      <c r="BS57" s="795"/>
      <c r="BT57" s="798"/>
      <c r="BU57" s="1013"/>
      <c r="BV57" s="58"/>
      <c r="BW57" s="109"/>
      <c r="BX57" s="109"/>
      <c r="BY57" s="109"/>
      <c r="BZ57" s="109"/>
      <c r="CA57" s="109"/>
      <c r="CB57" s="109"/>
      <c r="CC57" s="66"/>
      <c r="CD57" s="109"/>
      <c r="CE57" s="109"/>
      <c r="CF57" s="109"/>
      <c r="CG57" s="60"/>
      <c r="CH57" s="174"/>
      <c r="CI57" s="174"/>
      <c r="CJ57" s="174"/>
      <c r="CK57" s="174"/>
      <c r="CL57" s="174"/>
      <c r="CM57" s="174"/>
      <c r="CN57" s="174"/>
      <c r="CO57" s="174"/>
      <c r="CP57" s="174"/>
      <c r="CQ57" s="790"/>
      <c r="CR57" s="791"/>
      <c r="CS57" s="791"/>
      <c r="CT57" s="791"/>
      <c r="CU57" s="932"/>
      <c r="CV57" s="989"/>
      <c r="CW57" s="938"/>
      <c r="CX57" s="58"/>
      <c r="CY57" s="109"/>
      <c r="CZ57" s="109"/>
      <c r="DA57" s="109"/>
      <c r="DB57" s="65"/>
      <c r="DC57" s="109"/>
      <c r="DD57" s="109"/>
      <c r="DE57" s="109"/>
      <c r="DF57" s="109"/>
      <c r="DG57" s="109"/>
      <c r="DH57" s="109"/>
      <c r="DI57" s="109"/>
      <c r="DJ57" s="1003"/>
      <c r="DK57" s="807"/>
      <c r="DL57" s="810"/>
      <c r="DM57" s="791"/>
      <c r="DN57" s="791"/>
      <c r="DO57" s="791"/>
      <c r="DP57" s="813"/>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716"/>
      <c r="AX58" s="717"/>
      <c r="AY58" s="717"/>
      <c r="AZ58" s="717"/>
      <c r="BA58" s="718"/>
      <c r="BB58" s="724"/>
      <c r="BC58" s="724"/>
      <c r="BD58" s="724"/>
      <c r="BE58" s="724"/>
      <c r="BF58" s="725"/>
      <c r="BG58" s="174"/>
      <c r="BH58" s="174"/>
      <c r="BI58" s="177"/>
      <c r="BJ58" s="174"/>
      <c r="BK58" s="174"/>
      <c r="BL58" s="1"/>
      <c r="BM58" s="174"/>
      <c r="BN58" s="174"/>
      <c r="BO58" s="824"/>
      <c r="BP58" s="825"/>
      <c r="BQ58" s="825"/>
      <c r="BR58" s="825"/>
      <c r="BS58" s="826"/>
      <c r="BT58" s="827"/>
      <c r="BU58" s="1044"/>
      <c r="BV58" s="61"/>
      <c r="BW58" s="110"/>
      <c r="BX58" s="110"/>
      <c r="BY58" s="110"/>
      <c r="BZ58" s="110"/>
      <c r="CA58" s="110"/>
      <c r="CB58" s="110"/>
      <c r="CC58" s="110"/>
      <c r="CD58" s="110"/>
      <c r="CE58" s="110"/>
      <c r="CF58" s="110"/>
      <c r="CG58" s="63"/>
      <c r="CH58" s="174"/>
      <c r="CI58" s="174"/>
      <c r="CJ58" s="174"/>
      <c r="CK58" s="174"/>
      <c r="CL58" s="174"/>
      <c r="CM58" s="174"/>
      <c r="CN58" s="174"/>
      <c r="CO58" s="174"/>
      <c r="CP58" s="174"/>
      <c r="CQ58" s="824"/>
      <c r="CR58" s="825"/>
      <c r="CS58" s="825"/>
      <c r="CT58" s="825"/>
      <c r="CU58" s="963"/>
      <c r="CV58" s="990"/>
      <c r="CW58" s="965"/>
      <c r="CX58" s="58"/>
      <c r="CY58" s="109"/>
      <c r="CZ58" s="109"/>
      <c r="DA58" s="109"/>
      <c r="DB58" s="65"/>
      <c r="DC58" s="109"/>
      <c r="DD58" s="109"/>
      <c r="DE58" s="109"/>
      <c r="DF58" s="109"/>
      <c r="DG58" s="109"/>
      <c r="DH58" s="109"/>
      <c r="DI58" s="109"/>
      <c r="DJ58" s="1004"/>
      <c r="DK58" s="830"/>
      <c r="DL58" s="831"/>
      <c r="DM58" s="825"/>
      <c r="DN58" s="825"/>
      <c r="DO58" s="825"/>
      <c r="DP58" s="832"/>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719"/>
      <c r="AX59" s="720"/>
      <c r="AY59" s="720"/>
      <c r="AZ59" s="720"/>
      <c r="BA59" s="721"/>
      <c r="BB59" s="726"/>
      <c r="BC59" s="726"/>
      <c r="BD59" s="726"/>
      <c r="BE59" s="726"/>
      <c r="BF59" s="727"/>
      <c r="BG59" s="174"/>
      <c r="BH59" s="174"/>
      <c r="BI59" s="177"/>
      <c r="BJ59" s="174"/>
      <c r="BK59" s="174"/>
      <c r="BL59" s="1"/>
      <c r="BM59" s="174"/>
      <c r="BN59" s="174"/>
      <c r="BO59" s="174"/>
      <c r="BP59" s="174"/>
      <c r="BQ59" s="174"/>
      <c r="BR59" s="174"/>
      <c r="BS59" s="174"/>
      <c r="BT59" s="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991"/>
      <c r="CY59" s="997"/>
      <c r="CZ59" s="1033"/>
      <c r="DA59" s="996"/>
      <c r="DB59" s="997"/>
      <c r="DC59" s="1033"/>
      <c r="DD59" s="971">
        <v>2</v>
      </c>
      <c r="DE59" s="969"/>
      <c r="DF59" s="970"/>
      <c r="DG59" s="971">
        <v>1</v>
      </c>
      <c r="DH59" s="969"/>
      <c r="DI59" s="972"/>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844">
        <f>NBU_Master</f>
        <v>0</v>
      </c>
      <c r="CY60" s="845"/>
      <c r="CZ60" s="846"/>
      <c r="DA60" s="847">
        <f>NBL_Master</f>
        <v>0</v>
      </c>
      <c r="DB60" s="845"/>
      <c r="DC60" s="846"/>
      <c r="DD60" s="847">
        <f>NBT_Master</f>
        <v>1260</v>
      </c>
      <c r="DE60" s="845"/>
      <c r="DF60" s="846"/>
      <c r="DG60" s="847">
        <f>NBR_Master</f>
        <v>1060</v>
      </c>
      <c r="DH60" s="845"/>
      <c r="DI60" s="848"/>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773" t="s">
        <v>99</v>
      </c>
      <c r="CY61" s="774"/>
      <c r="CZ61" s="775"/>
      <c r="DA61" s="776" t="s">
        <v>99</v>
      </c>
      <c r="DB61" s="774"/>
      <c r="DC61" s="775"/>
      <c r="DD61" s="776" t="s">
        <v>99</v>
      </c>
      <c r="DE61" s="774"/>
      <c r="DF61" s="775"/>
      <c r="DG61" s="776" t="s">
        <v>99</v>
      </c>
      <c r="DH61" s="774"/>
      <c r="DI61" s="777"/>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766"/>
      <c r="CY62" s="767"/>
      <c r="CZ62" s="768"/>
      <c r="DA62" s="770"/>
      <c r="DB62" s="767"/>
      <c r="DC62" s="768"/>
      <c r="DD62" s="770"/>
      <c r="DE62" s="767"/>
      <c r="DF62" s="768"/>
      <c r="DG62" s="770"/>
      <c r="DH62" s="767"/>
      <c r="DI62" s="772"/>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6"/>
      <c r="BQ63" s="16"/>
      <c r="BR63" s="16"/>
      <c r="BS63" s="16"/>
      <c r="BT63" s="16"/>
      <c r="BU63" s="16"/>
      <c r="BV63" s="16"/>
      <c r="BW63" s="16"/>
      <c r="BX63" s="16"/>
      <c r="BY63" s="16"/>
      <c r="BZ63" s="16"/>
      <c r="CA63" s="16"/>
      <c r="CB63" s="16"/>
      <c r="CC63" s="16"/>
      <c r="CD63" s="16"/>
      <c r="CE63" s="16"/>
      <c r="CF63" s="174"/>
      <c r="CG63" s="174"/>
      <c r="CH63" s="174"/>
      <c r="CI63" s="174"/>
      <c r="CJ63" s="174"/>
      <c r="CK63" s="174"/>
      <c r="CL63" s="174"/>
      <c r="CM63" s="174"/>
      <c r="CN63" s="174"/>
      <c r="CO63" s="174"/>
      <c r="CP63" s="174"/>
      <c r="CQ63" s="174"/>
      <c r="CR63" s="174"/>
      <c r="CS63" s="174"/>
      <c r="CT63" s="174"/>
      <c r="CU63" s="174"/>
      <c r="CV63" s="174"/>
      <c r="CW63" s="174"/>
      <c r="CX63" s="766"/>
      <c r="CY63" s="767"/>
      <c r="CZ63" s="768"/>
      <c r="DA63" s="770"/>
      <c r="DB63" s="767"/>
      <c r="DC63" s="768"/>
      <c r="DD63" s="770"/>
      <c r="DE63" s="767"/>
      <c r="DF63" s="768"/>
      <c r="DG63" s="770"/>
      <c r="DH63" s="767"/>
      <c r="DI63" s="772"/>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4"/>
      <c r="BQ64" s="4"/>
      <c r="BR64" s="4"/>
      <c r="BS64" s="4"/>
      <c r="BT64" s="4"/>
      <c r="BU64" s="4"/>
      <c r="BV64" s="4"/>
      <c r="BW64" s="4"/>
      <c r="BX64" s="4"/>
      <c r="BY64" s="4"/>
      <c r="BZ64" s="4"/>
      <c r="CA64" s="4"/>
      <c r="CB64" s="4"/>
      <c r="CC64" s="4"/>
      <c r="CD64" s="4"/>
      <c r="CE64" s="4"/>
      <c r="CF64" s="174"/>
      <c r="CG64" s="174"/>
      <c r="CH64" s="174"/>
      <c r="CI64" s="174"/>
      <c r="CJ64" s="174"/>
      <c r="CK64" s="174"/>
      <c r="CL64" s="174"/>
      <c r="CM64" s="174"/>
      <c r="CN64" s="174"/>
      <c r="CO64" s="174"/>
      <c r="CP64" s="174"/>
      <c r="CQ64" s="174"/>
      <c r="CR64" s="174"/>
      <c r="CS64" s="174"/>
      <c r="CT64" s="174"/>
      <c r="CU64" s="174"/>
      <c r="CV64" s="174"/>
      <c r="CW64" s="174"/>
      <c r="CX64" s="766"/>
      <c r="CY64" s="767"/>
      <c r="CZ64" s="768"/>
      <c r="DA64" s="770"/>
      <c r="DB64" s="767"/>
      <c r="DC64" s="768"/>
      <c r="DD64" s="770"/>
      <c r="DE64" s="767"/>
      <c r="DF64" s="768"/>
      <c r="DG64" s="770"/>
      <c r="DH64" s="767"/>
      <c r="DI64" s="772"/>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728">
        <f>BX53</f>
        <v>1681.2631578947369</v>
      </c>
      <c r="J65" s="861"/>
      <c r="K65" s="861"/>
      <c r="L65" s="861"/>
      <c r="M65" s="861"/>
      <c r="N65" s="861"/>
      <c r="O65" s="861"/>
      <c r="P65" s="861"/>
      <c r="Q65" s="861"/>
      <c r="R65" s="862"/>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6"/>
      <c r="BQ65" s="16"/>
      <c r="BR65" s="16"/>
      <c r="BS65" s="16"/>
      <c r="BT65" s="16"/>
      <c r="BU65" s="16"/>
      <c r="BV65" s="16"/>
      <c r="BW65" s="16"/>
      <c r="BX65" s="16"/>
      <c r="BY65" s="16"/>
      <c r="BZ65" s="16"/>
      <c r="CA65" s="16"/>
      <c r="CB65" s="16"/>
      <c r="CC65" s="16"/>
      <c r="CD65" s="16"/>
      <c r="CE65" s="16"/>
      <c r="CF65" s="174"/>
      <c r="CG65" s="174"/>
      <c r="CH65" s="174"/>
      <c r="CI65" s="174"/>
      <c r="CJ65" s="174"/>
      <c r="CK65" s="174"/>
      <c r="CL65" s="174"/>
      <c r="CM65" s="174"/>
      <c r="CN65" s="174"/>
      <c r="CO65" s="174"/>
      <c r="CP65" s="174"/>
      <c r="CQ65" s="174"/>
      <c r="CR65" s="174"/>
      <c r="CS65" s="174"/>
      <c r="CT65" s="174"/>
      <c r="CU65" s="174"/>
      <c r="CV65" s="174"/>
      <c r="CW65" s="174"/>
      <c r="CX65" s="849"/>
      <c r="CY65" s="705"/>
      <c r="CZ65" s="850"/>
      <c r="DA65" s="851"/>
      <c r="DB65" s="705"/>
      <c r="DC65" s="850"/>
      <c r="DD65" s="851"/>
      <c r="DE65" s="705"/>
      <c r="DF65" s="850"/>
      <c r="DG65" s="851"/>
      <c r="DH65" s="705"/>
      <c r="DI65" s="852"/>
      <c r="DJ65" s="174"/>
      <c r="DK65" s="174"/>
      <c r="DL65" s="174"/>
      <c r="DM65" s="174"/>
      <c r="DN65" s="174"/>
      <c r="DO65" s="174"/>
      <c r="DP65" s="174"/>
      <c r="DQ65" s="174"/>
      <c r="DR65" s="174"/>
      <c r="DS65" s="177"/>
    </row>
    <row r="66" spans="2:123" ht="9.9499999999999993" customHeight="1">
      <c r="B66" s="1"/>
      <c r="C66" s="174"/>
      <c r="D66" s="174"/>
      <c r="E66" s="174"/>
      <c r="F66" s="174"/>
      <c r="G66" s="174"/>
      <c r="H66" s="174"/>
      <c r="I66" s="863"/>
      <c r="J66" s="864"/>
      <c r="K66" s="864"/>
      <c r="L66" s="864"/>
      <c r="M66" s="864"/>
      <c r="N66" s="864"/>
      <c r="O66" s="864"/>
      <c r="P66" s="864"/>
      <c r="Q66" s="864"/>
      <c r="R66" s="865"/>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thickBot="1">
      <c r="B67" s="1"/>
      <c r="C67" s="174"/>
      <c r="D67" s="174"/>
      <c r="E67" s="174"/>
      <c r="F67" s="174"/>
      <c r="G67" s="174"/>
      <c r="H67" s="174"/>
      <c r="I67" s="866"/>
      <c r="J67" s="867"/>
      <c r="K67" s="867"/>
      <c r="L67" s="867"/>
      <c r="M67" s="867"/>
      <c r="N67" s="867"/>
      <c r="O67" s="867"/>
      <c r="P67" s="867"/>
      <c r="Q67" s="867"/>
      <c r="R67" s="868"/>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713">
        <f>ROUND(I65/CLV_Limit,2)</f>
        <v>1.05</v>
      </c>
      <c r="J68" s="714"/>
      <c r="K68" s="714"/>
      <c r="L68" s="714"/>
      <c r="M68" s="715"/>
      <c r="N68" s="722" t="s">
        <v>100</v>
      </c>
      <c r="O68" s="722"/>
      <c r="P68" s="722"/>
      <c r="Q68" s="722"/>
      <c r="R68" s="723"/>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716"/>
      <c r="J69" s="717"/>
      <c r="K69" s="717"/>
      <c r="L69" s="717"/>
      <c r="M69" s="718"/>
      <c r="N69" s="724"/>
      <c r="O69" s="724"/>
      <c r="P69" s="724"/>
      <c r="Q69" s="724"/>
      <c r="R69" s="725"/>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thickBot="1">
      <c r="B70" s="1"/>
      <c r="C70" s="174"/>
      <c r="D70" s="174"/>
      <c r="E70" s="174"/>
      <c r="F70" s="174"/>
      <c r="G70" s="174"/>
      <c r="H70" s="174"/>
      <c r="I70" s="719"/>
      <c r="J70" s="720"/>
      <c r="K70" s="720"/>
      <c r="L70" s="720"/>
      <c r="M70" s="721"/>
      <c r="N70" s="726"/>
      <c r="O70" s="726"/>
      <c r="P70" s="726"/>
      <c r="Q70" s="726"/>
      <c r="R70" s="727"/>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47">
    <mergeCell ref="CX16:CZ16"/>
    <mergeCell ref="DA16:DC16"/>
    <mergeCell ref="DD16:DF16"/>
    <mergeCell ref="DG16:DI16"/>
    <mergeCell ref="CX17:CZ17"/>
    <mergeCell ref="DA17:DC17"/>
    <mergeCell ref="DD17:DF17"/>
    <mergeCell ref="DG17:DI17"/>
    <mergeCell ref="BL1:DS2"/>
    <mergeCell ref="BL3:DS4"/>
    <mergeCell ref="CX12:CZ15"/>
    <mergeCell ref="DA12:DC15"/>
    <mergeCell ref="DD12:DF15"/>
    <mergeCell ref="DG12:DI15"/>
    <mergeCell ref="CQ28:CT30"/>
    <mergeCell ref="CU28:CU30"/>
    <mergeCell ref="CV28:CV30"/>
    <mergeCell ref="CW28:CW30"/>
    <mergeCell ref="DD31:DF31"/>
    <mergeCell ref="DG31:DI31"/>
    <mergeCell ref="CX18:CZ18"/>
    <mergeCell ref="DA18:DC18"/>
    <mergeCell ref="DD18:DF18"/>
    <mergeCell ref="DG18:DI18"/>
    <mergeCell ref="CZ22:DG24"/>
    <mergeCell ref="CQ25:CT27"/>
    <mergeCell ref="CU25:CU27"/>
    <mergeCell ref="CV25:CV27"/>
    <mergeCell ref="CW25:CW27"/>
    <mergeCell ref="CZ25:DG27"/>
    <mergeCell ref="BY40:CA43"/>
    <mergeCell ref="CX40:CZ43"/>
    <mergeCell ref="DA40:DC43"/>
    <mergeCell ref="BV44:BX44"/>
    <mergeCell ref="BY44:CA44"/>
    <mergeCell ref="CX44:CZ44"/>
    <mergeCell ref="DA44:DC44"/>
    <mergeCell ref="DD32:DF32"/>
    <mergeCell ref="DG32:DI32"/>
    <mergeCell ref="DD33:DF33"/>
    <mergeCell ref="DG33:DI33"/>
    <mergeCell ref="DD34:DF37"/>
    <mergeCell ref="DG34:DI37"/>
    <mergeCell ref="DK47:DK49"/>
    <mergeCell ref="DL47:DL49"/>
    <mergeCell ref="DM47:DP49"/>
    <mergeCell ref="BO47:BR49"/>
    <mergeCell ref="BS47:BS49"/>
    <mergeCell ref="BT47:BT49"/>
    <mergeCell ref="BU47:BU49"/>
    <mergeCell ref="CH47:CH49"/>
    <mergeCell ref="CI47:CI49"/>
    <mergeCell ref="DK53:DK55"/>
    <mergeCell ref="DL53:DL55"/>
    <mergeCell ref="DM53:DP55"/>
    <mergeCell ref="DL50:DL52"/>
    <mergeCell ref="DM50:DP52"/>
    <mergeCell ref="BO53:BR55"/>
    <mergeCell ref="BS53:BS55"/>
    <mergeCell ref="BT53:BT55"/>
    <mergeCell ref="BU53:BU55"/>
    <mergeCell ref="BX53:CE55"/>
    <mergeCell ref="CQ53:CT55"/>
    <mergeCell ref="CU53:CU55"/>
    <mergeCell ref="CV53:CV55"/>
    <mergeCell ref="CI50:CI52"/>
    <mergeCell ref="CJ50:CJ52"/>
    <mergeCell ref="CK50:CN52"/>
    <mergeCell ref="CZ50:DG52"/>
    <mergeCell ref="DJ50:DJ52"/>
    <mergeCell ref="DK50:DK52"/>
    <mergeCell ref="BO50:BR52"/>
    <mergeCell ref="BS50:BS52"/>
    <mergeCell ref="BT50:BT52"/>
    <mergeCell ref="BU50:BU52"/>
    <mergeCell ref="BX50:CE52"/>
    <mergeCell ref="CX62:CZ65"/>
    <mergeCell ref="DA62:DC65"/>
    <mergeCell ref="DD62:DF65"/>
    <mergeCell ref="DG62:DI65"/>
    <mergeCell ref="CX59:CZ59"/>
    <mergeCell ref="DA59:DC59"/>
    <mergeCell ref="DD59:DF59"/>
    <mergeCell ref="DG59:DI59"/>
    <mergeCell ref="CX60:CZ60"/>
    <mergeCell ref="DA60:DC60"/>
    <mergeCell ref="DD60:DF60"/>
    <mergeCell ref="DG60:DI60"/>
    <mergeCell ref="DD61:DF61"/>
    <mergeCell ref="DG61:DI61"/>
    <mergeCell ref="I68:M70"/>
    <mergeCell ref="N68:R70"/>
    <mergeCell ref="O74:AW74"/>
    <mergeCell ref="B1:BI2"/>
    <mergeCell ref="B3:BI4"/>
    <mergeCell ref="C6:J7"/>
    <mergeCell ref="K6:AJ7"/>
    <mergeCell ref="CX61:CZ61"/>
    <mergeCell ref="DA61:DC61"/>
    <mergeCell ref="CV56:CV58"/>
    <mergeCell ref="CW56:CW58"/>
    <mergeCell ref="CW53:CW55"/>
    <mergeCell ref="AW54:BF56"/>
    <mergeCell ref="I65:R67"/>
    <mergeCell ref="C8:J9"/>
    <mergeCell ref="K8:AJ9"/>
    <mergeCell ref="C10:J11"/>
    <mergeCell ref="K10:AJ11"/>
    <mergeCell ref="C12:J13"/>
    <mergeCell ref="K12:AJ13"/>
    <mergeCell ref="AW57:BA59"/>
    <mergeCell ref="BB57:BF59"/>
    <mergeCell ref="AK6:BH7"/>
    <mergeCell ref="AK8:AP9"/>
    <mergeCell ref="DK56:DK58"/>
    <mergeCell ref="DL56:DL58"/>
    <mergeCell ref="DM56:DP58"/>
    <mergeCell ref="BO56:BR58"/>
    <mergeCell ref="BS56:BS58"/>
    <mergeCell ref="BT56:BT58"/>
    <mergeCell ref="BU56:BU58"/>
    <mergeCell ref="CQ56:CT58"/>
    <mergeCell ref="CU56:CU58"/>
    <mergeCell ref="AQ8:AV9"/>
    <mergeCell ref="AW8:BB9"/>
    <mergeCell ref="BC8:BH9"/>
    <mergeCell ref="AK10:AV13"/>
    <mergeCell ref="AW10:BH13"/>
    <mergeCell ref="AW27:BA29"/>
    <mergeCell ref="BB27:BF29"/>
    <mergeCell ref="AW24:BF26"/>
    <mergeCell ref="DJ56:DJ58"/>
    <mergeCell ref="CZ53:DG55"/>
    <mergeCell ref="DJ53:DJ55"/>
    <mergeCell ref="CH50:CH52"/>
    <mergeCell ref="CJ47:CJ49"/>
    <mergeCell ref="CK47:CN49"/>
    <mergeCell ref="DJ47:DJ49"/>
    <mergeCell ref="BV45:BX45"/>
    <mergeCell ref="BY45:CA45"/>
    <mergeCell ref="CX45:CZ45"/>
    <mergeCell ref="DA45:DC45"/>
    <mergeCell ref="BV46:BX46"/>
    <mergeCell ref="BY46:CA46"/>
    <mergeCell ref="CX46:CZ46"/>
    <mergeCell ref="DA46:DC46"/>
    <mergeCell ref="BV40:BX43"/>
  </mergeCells>
  <conditionalFormatting sqref="AW10 AW27 AW57 I68">
    <cfRule type="cellIs" dxfId="171" priority="10" operator="between">
      <formula>0.75</formula>
      <formula>0.875</formula>
    </cfRule>
    <cfRule type="cellIs" dxfId="170" priority="11" operator="between">
      <formula>0.875</formula>
      <formula>1</formula>
    </cfRule>
    <cfRule type="cellIs" dxfId="169" priority="12" operator="greaterThan">
      <formula>1</formula>
    </cfRule>
  </conditionalFormatting>
  <conditionalFormatting sqref="AW24 CZ25 BX53 CZ53 AW54 I65">
    <cfRule type="cellIs" dxfId="168" priority="20" operator="between">
      <formula>0.75*CLV_Limit</formula>
      <formula>0.875*CLV_Limit-1</formula>
    </cfRule>
    <cfRule type="cellIs" dxfId="167" priority="21" operator="between">
      <formula>0.875*CLV_Limit</formula>
      <formula>CLV_Limit-1</formula>
    </cfRule>
    <cfRule type="cellIs" dxfId="166" priority="22" operator="greaterThanOrEqual">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249977111117893"/>
  </sheetPr>
  <dimension ref="A1:HL157"/>
  <sheetViews>
    <sheetView showGridLines="0" showRowColHeaders="0" zoomScale="90" zoomScaleNormal="90" zoomScalePageLayoutView="85" workbookViewId="0">
      <selection activeCell="CJ18" sqref="CJ18:CL18"/>
    </sheetView>
  </sheetViews>
  <sheetFormatPr defaultColWidth="0" defaultRowHeight="0" customHeight="1" zeroHeight="1"/>
  <cols>
    <col min="1" max="1" width="0.5703125" customWidth="1"/>
    <col min="2" max="61" width="1.7109375" customWidth="1"/>
    <col min="62"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116</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116</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2"/>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2"/>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4"/>
      <c r="BQ7" s="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6"/>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MAX(ROUND(I19/CLV_Limit,2),ROUND(AS25/CLV_Limit,2),ROUND(AS57/CLV_Limit,2))</f>
        <v>1.07</v>
      </c>
      <c r="AX10" s="706"/>
      <c r="AY10" s="706"/>
      <c r="AZ10" s="706"/>
      <c r="BA10" s="706"/>
      <c r="BB10" s="706"/>
      <c r="BC10" s="706"/>
      <c r="BD10" s="706"/>
      <c r="BE10" s="706"/>
      <c r="BF10" s="706"/>
      <c r="BG10" s="706"/>
      <c r="BH10" s="707"/>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thickBo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051"/>
      <c r="CK12" s="1052"/>
      <c r="CL12" s="1052"/>
      <c r="CM12" s="1052"/>
      <c r="CN12" s="1052"/>
      <c r="CO12" s="1052"/>
      <c r="CP12" s="1052"/>
      <c r="CQ12" s="1052"/>
      <c r="CR12" s="1052"/>
      <c r="CS12" s="1052"/>
      <c r="CT12" s="1052"/>
      <c r="CU12" s="1057"/>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7"/>
      <c r="BM13" s="6"/>
      <c r="BN13" s="6"/>
      <c r="BO13" s="6"/>
      <c r="BP13" s="174"/>
      <c r="BQ13" s="174"/>
      <c r="BR13" s="174"/>
      <c r="BS13" s="174"/>
      <c r="BT13" s="174"/>
      <c r="BU13" s="174"/>
      <c r="BV13" s="174"/>
      <c r="BW13" s="174"/>
      <c r="BX13" s="174"/>
      <c r="BY13" s="174"/>
      <c r="BZ13" s="174"/>
      <c r="CA13" s="174"/>
      <c r="CB13" s="174"/>
      <c r="CC13" s="174"/>
      <c r="CD13" s="174"/>
      <c r="CE13" s="174"/>
      <c r="CF13" s="174"/>
      <c r="CG13" s="174"/>
      <c r="CH13" s="174"/>
      <c r="CI13" s="174"/>
      <c r="CJ13" s="1053"/>
      <c r="CK13" s="1054"/>
      <c r="CL13" s="1054"/>
      <c r="CM13" s="1054"/>
      <c r="CN13" s="1054"/>
      <c r="CO13" s="1054"/>
      <c r="CP13" s="1054"/>
      <c r="CQ13" s="1054"/>
      <c r="CR13" s="1054"/>
      <c r="CS13" s="1054"/>
      <c r="CT13" s="1054"/>
      <c r="CU13" s="1058"/>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6"/>
      <c r="BN14" s="6"/>
      <c r="BO14" s="6"/>
      <c r="BP14" s="174"/>
      <c r="BQ14" s="174"/>
      <c r="BR14" s="174"/>
      <c r="BS14" s="174"/>
      <c r="BT14" s="174"/>
      <c r="BU14" s="174"/>
      <c r="BV14" s="174"/>
      <c r="BW14" s="174"/>
      <c r="BX14" s="174"/>
      <c r="BY14" s="174"/>
      <c r="BZ14" s="174"/>
      <c r="CA14" s="174"/>
      <c r="CB14" s="174"/>
      <c r="CC14" s="174"/>
      <c r="CD14" s="174"/>
      <c r="CE14" s="174"/>
      <c r="CF14" s="174"/>
      <c r="CG14" s="174"/>
      <c r="CH14" s="174"/>
      <c r="CI14" s="174"/>
      <c r="CJ14" s="1053"/>
      <c r="CK14" s="1054"/>
      <c r="CL14" s="1054"/>
      <c r="CM14" s="1054"/>
      <c r="CN14" s="1054"/>
      <c r="CO14" s="1054"/>
      <c r="CP14" s="1054"/>
      <c r="CQ14" s="1054"/>
      <c r="CR14" s="1054"/>
      <c r="CS14" s="1054"/>
      <c r="CT14" s="1054"/>
      <c r="CU14" s="1058"/>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7"/>
      <c r="BM15" s="6"/>
      <c r="BN15" s="6"/>
      <c r="BO15" s="6"/>
      <c r="BP15" s="174"/>
      <c r="BQ15" s="174"/>
      <c r="BR15" s="174"/>
      <c r="BS15" s="174"/>
      <c r="BT15" s="174"/>
      <c r="BU15" s="174"/>
      <c r="BV15" s="174"/>
      <c r="BW15" s="174"/>
      <c r="BX15" s="174"/>
      <c r="BY15" s="174"/>
      <c r="BZ15" s="174"/>
      <c r="CA15" s="174"/>
      <c r="CB15" s="174"/>
      <c r="CC15" s="174"/>
      <c r="CD15" s="174"/>
      <c r="CE15" s="174"/>
      <c r="CF15" s="174"/>
      <c r="CG15" s="174"/>
      <c r="CH15" s="174"/>
      <c r="CI15" s="174"/>
      <c r="CJ15" s="1055"/>
      <c r="CK15" s="1056"/>
      <c r="CL15" s="1056"/>
      <c r="CM15" s="1056"/>
      <c r="CN15" s="1056"/>
      <c r="CO15" s="1056"/>
      <c r="CP15" s="1056"/>
      <c r="CQ15" s="1056"/>
      <c r="CR15" s="1056"/>
      <c r="CS15" s="1056"/>
      <c r="CT15" s="1056"/>
      <c r="CU15" s="1059"/>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J16" s="174"/>
      <c r="BK16" s="174"/>
      <c r="BL16" s="17"/>
      <c r="BM16" s="6"/>
      <c r="BN16" s="6"/>
      <c r="BO16" s="6"/>
      <c r="BP16" s="18"/>
      <c r="BQ16" s="174"/>
      <c r="BR16" s="174"/>
      <c r="BS16" s="174"/>
      <c r="BT16" s="174"/>
      <c r="BU16" s="174"/>
      <c r="BV16" s="174"/>
      <c r="BW16" s="174"/>
      <c r="BX16" s="174"/>
      <c r="BY16" s="174"/>
      <c r="BZ16" s="174"/>
      <c r="CA16" s="174"/>
      <c r="CB16" s="174"/>
      <c r="CC16" s="174"/>
      <c r="CD16" s="174"/>
      <c r="CE16" s="174"/>
      <c r="CF16" s="174"/>
      <c r="CG16" s="174"/>
      <c r="CH16" s="174"/>
      <c r="CI16" s="174"/>
      <c r="CJ16" s="1045" t="s">
        <v>99</v>
      </c>
      <c r="CK16" s="1046"/>
      <c r="CL16" s="1046"/>
      <c r="CM16" s="1046" t="s">
        <v>99</v>
      </c>
      <c r="CN16" s="1046"/>
      <c r="CO16" s="1046"/>
      <c r="CP16" s="1046" t="s">
        <v>99</v>
      </c>
      <c r="CQ16" s="1046"/>
      <c r="CR16" s="1046"/>
      <c r="CS16" s="1046" t="s">
        <v>99</v>
      </c>
      <c r="CT16" s="1046"/>
      <c r="CU16" s="1047"/>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32"/>
      <c r="AX17" s="26"/>
      <c r="AY17" s="26"/>
      <c r="AZ17" s="26"/>
      <c r="BA17" s="26"/>
      <c r="BB17" s="26"/>
      <c r="BC17" s="26"/>
      <c r="BD17" s="26"/>
      <c r="BE17" s="26"/>
      <c r="BF17" s="26"/>
      <c r="BG17" s="174"/>
      <c r="BH17" s="174"/>
      <c r="BI17" s="177"/>
      <c r="BJ17" s="174"/>
      <c r="BK17" s="174"/>
      <c r="BL17" s="17"/>
      <c r="BM17" s="6"/>
      <c r="BN17" s="6"/>
      <c r="BO17" s="6"/>
      <c r="BP17" s="18"/>
      <c r="BQ17" s="174"/>
      <c r="BR17" s="174"/>
      <c r="BS17" s="174"/>
      <c r="BT17" s="174"/>
      <c r="BU17" s="174"/>
      <c r="BV17" s="174"/>
      <c r="BW17" s="174"/>
      <c r="BX17" s="174"/>
      <c r="BY17" s="174"/>
      <c r="BZ17" s="174"/>
      <c r="CA17" s="174"/>
      <c r="CB17" s="174"/>
      <c r="CC17" s="174"/>
      <c r="CD17" s="174"/>
      <c r="CE17" s="174"/>
      <c r="CF17" s="174"/>
      <c r="CG17" s="174"/>
      <c r="CH17" s="174"/>
      <c r="CI17" s="174"/>
      <c r="CJ17" s="1048">
        <f>SBR_Master</f>
        <v>0</v>
      </c>
      <c r="CK17" s="1049"/>
      <c r="CL17" s="1049"/>
      <c r="CM17" s="1049">
        <f>SBT_Master</f>
        <v>1447</v>
      </c>
      <c r="CN17" s="1049"/>
      <c r="CO17" s="1049"/>
      <c r="CP17" s="1049">
        <f>SBL_Master</f>
        <v>607</v>
      </c>
      <c r="CQ17" s="1049"/>
      <c r="CR17" s="1049"/>
      <c r="CS17" s="1049">
        <f>SBU_Master</f>
        <v>0</v>
      </c>
      <c r="CT17" s="1049"/>
      <c r="CU17" s="1050"/>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26"/>
      <c r="AX18" s="26"/>
      <c r="AY18" s="26"/>
      <c r="AZ18" s="26"/>
      <c r="BA18" s="26"/>
      <c r="BB18" s="26"/>
      <c r="BC18" s="26"/>
      <c r="BD18" s="26"/>
      <c r="BE18" s="26"/>
      <c r="BF18" s="26"/>
      <c r="BG18" s="174"/>
      <c r="BH18" s="174"/>
      <c r="BI18" s="177"/>
      <c r="BJ18" s="174"/>
      <c r="BK18" s="174"/>
      <c r="BL18" s="17"/>
      <c r="BM18" s="6"/>
      <c r="BN18" s="6"/>
      <c r="BO18" s="6"/>
      <c r="BP18" s="18"/>
      <c r="BQ18" s="174"/>
      <c r="BR18" s="174"/>
      <c r="BS18" s="174"/>
      <c r="BT18" s="174"/>
      <c r="BU18" s="174"/>
      <c r="BV18" s="174"/>
      <c r="BW18" s="174"/>
      <c r="BX18" s="174"/>
      <c r="BY18" s="174"/>
      <c r="BZ18" s="174"/>
      <c r="CA18" s="174"/>
      <c r="CB18" s="174"/>
      <c r="CC18" s="174"/>
      <c r="CD18" s="174"/>
      <c r="CE18" s="174"/>
      <c r="CF18" s="174"/>
      <c r="CG18" s="174"/>
      <c r="CH18" s="174"/>
      <c r="CI18" s="174"/>
      <c r="CJ18" s="1060">
        <v>1</v>
      </c>
      <c r="CK18" s="1061"/>
      <c r="CL18" s="1061"/>
      <c r="CM18" s="1061">
        <v>2</v>
      </c>
      <c r="CN18" s="1061"/>
      <c r="CO18" s="1061"/>
      <c r="CP18" s="1061">
        <v>1</v>
      </c>
      <c r="CQ18" s="1061"/>
      <c r="CR18" s="1061"/>
      <c r="CS18" s="1062"/>
      <c r="CT18" s="1062"/>
      <c r="CU18" s="1063"/>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728">
        <f>CL24</f>
        <v>1718.4473684210527</v>
      </c>
      <c r="J19" s="861"/>
      <c r="K19" s="861"/>
      <c r="L19" s="861"/>
      <c r="M19" s="861"/>
      <c r="N19" s="861"/>
      <c r="O19" s="861"/>
      <c r="P19" s="861"/>
      <c r="Q19" s="861"/>
      <c r="R19" s="862"/>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26"/>
      <c r="AX19" s="26"/>
      <c r="AY19" s="26"/>
      <c r="AZ19" s="26"/>
      <c r="BA19" s="26"/>
      <c r="BB19" s="26"/>
      <c r="BC19" s="26"/>
      <c r="BD19" s="26"/>
      <c r="BE19" s="26"/>
      <c r="BF19" s="26"/>
      <c r="BG19" s="174"/>
      <c r="BH19" s="174"/>
      <c r="BI19" s="177"/>
      <c r="BJ19" s="174"/>
      <c r="BK19" s="174"/>
      <c r="BL19" s="17"/>
      <c r="BM19" s="6"/>
      <c r="BN19" s="6"/>
      <c r="BO19" s="6"/>
      <c r="BP19" s="18"/>
      <c r="BQ19" s="174"/>
      <c r="BR19" s="174"/>
      <c r="BS19" s="174"/>
      <c r="BT19" s="174"/>
      <c r="BU19" s="174"/>
      <c r="BV19" s="174"/>
      <c r="BW19" s="174"/>
      <c r="BX19" s="174"/>
      <c r="BY19" s="174"/>
      <c r="BZ19" s="174"/>
      <c r="CA19" s="174"/>
      <c r="CB19" s="174"/>
      <c r="CC19" s="174"/>
      <c r="CD19" s="174"/>
      <c r="CE19" s="174"/>
      <c r="CF19" s="174"/>
      <c r="CG19" s="174"/>
      <c r="CH19" s="174"/>
      <c r="CI19" s="174"/>
      <c r="CJ19" s="58"/>
      <c r="CK19" s="109"/>
      <c r="CL19" s="109"/>
      <c r="CM19" s="109"/>
      <c r="CN19" s="109"/>
      <c r="CO19" s="109"/>
      <c r="CP19" s="109"/>
      <c r="CQ19" s="109"/>
      <c r="CR19" s="109"/>
      <c r="CS19" s="109"/>
      <c r="CT19" s="109"/>
      <c r="CU19" s="60"/>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thickBot="1">
      <c r="B20" s="1"/>
      <c r="C20" s="174"/>
      <c r="D20" s="174"/>
      <c r="E20" s="174"/>
      <c r="F20" s="174"/>
      <c r="G20" s="174"/>
      <c r="H20" s="174"/>
      <c r="I20" s="863"/>
      <c r="J20" s="864"/>
      <c r="K20" s="864"/>
      <c r="L20" s="864"/>
      <c r="M20" s="864"/>
      <c r="N20" s="864"/>
      <c r="O20" s="864"/>
      <c r="P20" s="864"/>
      <c r="Q20" s="864"/>
      <c r="R20" s="865"/>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27"/>
      <c r="AX20" s="27"/>
      <c r="AY20" s="27"/>
      <c r="AZ20" s="27"/>
      <c r="BA20" s="27"/>
      <c r="BB20" s="27"/>
      <c r="BC20" s="27"/>
      <c r="BD20" s="27"/>
      <c r="BE20" s="27"/>
      <c r="BF20" s="27"/>
      <c r="BG20" s="174"/>
      <c r="BH20" s="174"/>
      <c r="BI20" s="177"/>
      <c r="BJ20" s="174"/>
      <c r="BK20" s="174"/>
      <c r="BL20" s="17"/>
      <c r="BM20" s="6"/>
      <c r="BN20" s="6"/>
      <c r="BO20" s="6"/>
      <c r="BP20" s="18"/>
      <c r="BQ20" s="174"/>
      <c r="BR20" s="174"/>
      <c r="BS20" s="174"/>
      <c r="BT20" s="174"/>
      <c r="BU20" s="174"/>
      <c r="BV20" s="174"/>
      <c r="BW20" s="174"/>
      <c r="BX20" s="174"/>
      <c r="BY20" s="174"/>
      <c r="BZ20" s="174"/>
      <c r="CA20" s="174"/>
      <c r="CB20" s="174"/>
      <c r="CC20" s="174"/>
      <c r="CD20" s="174"/>
      <c r="CE20" s="174"/>
      <c r="CF20" s="174"/>
      <c r="CG20" s="174"/>
      <c r="CH20" s="174"/>
      <c r="CI20" s="174"/>
      <c r="CJ20" s="58"/>
      <c r="CK20" s="109"/>
      <c r="CL20" s="109"/>
      <c r="CM20" s="109"/>
      <c r="CN20" s="109"/>
      <c r="CO20" s="109"/>
      <c r="CP20" s="109"/>
      <c r="CQ20" s="109"/>
      <c r="CR20" s="109"/>
      <c r="CS20" s="109"/>
      <c r="CT20" s="109"/>
      <c r="CU20" s="60"/>
      <c r="CV20" s="1064">
        <f>CP59</f>
        <v>2</v>
      </c>
      <c r="CW20" s="1938"/>
      <c r="CX20" s="1939"/>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thickBot="1">
      <c r="B21" s="1"/>
      <c r="C21" s="174"/>
      <c r="D21" s="174"/>
      <c r="E21" s="174"/>
      <c r="F21" s="174"/>
      <c r="G21" s="174"/>
      <c r="H21" s="174"/>
      <c r="I21" s="866"/>
      <c r="J21" s="867"/>
      <c r="K21" s="867"/>
      <c r="L21" s="867"/>
      <c r="M21" s="867"/>
      <c r="N21" s="867"/>
      <c r="O21" s="867"/>
      <c r="P21" s="867"/>
      <c r="Q21" s="867"/>
      <c r="R21" s="868"/>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27"/>
      <c r="AX21" s="27"/>
      <c r="AY21" s="27"/>
      <c r="AZ21" s="27"/>
      <c r="BA21" s="27"/>
      <c r="BB21" s="27"/>
      <c r="BC21" s="27"/>
      <c r="BD21" s="27"/>
      <c r="BE21" s="27"/>
      <c r="BF21" s="27"/>
      <c r="BG21" s="174"/>
      <c r="BH21" s="174"/>
      <c r="BI21" s="177"/>
      <c r="BJ21" s="174"/>
      <c r="BK21" s="174"/>
      <c r="BL21" s="17"/>
      <c r="BM21" s="6"/>
      <c r="BN21" s="6"/>
      <c r="BO21" s="6"/>
      <c r="BP21" s="18"/>
      <c r="BQ21" s="174"/>
      <c r="BR21" s="174"/>
      <c r="BS21" s="174"/>
      <c r="BT21" s="174"/>
      <c r="BU21" s="174"/>
      <c r="BV21" s="174"/>
      <c r="BW21" s="174"/>
      <c r="BX21" s="174"/>
      <c r="BY21" s="174"/>
      <c r="BZ21" s="174"/>
      <c r="CA21" s="174"/>
      <c r="CB21" s="174"/>
      <c r="CC21" s="174"/>
      <c r="CD21" s="174"/>
      <c r="CE21" s="174"/>
      <c r="CF21" s="174"/>
      <c r="CG21" s="174"/>
      <c r="CH21" s="174"/>
      <c r="CI21" s="174"/>
      <c r="CJ21" s="58"/>
      <c r="CK21" s="109"/>
      <c r="CL21" s="763"/>
      <c r="CM21" s="764"/>
      <c r="CN21" s="764"/>
      <c r="CO21" s="764"/>
      <c r="CP21" s="764"/>
      <c r="CQ21" s="764"/>
      <c r="CR21" s="764"/>
      <c r="CS21" s="771"/>
      <c r="CT21" s="109"/>
      <c r="CU21" s="60"/>
      <c r="CV21" s="1065">
        <f>CP60+CH36</f>
        <v>2159</v>
      </c>
      <c r="CW21" s="1066"/>
      <c r="CX21" s="1067"/>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713">
        <f>ROUND(I19/CLV_Limit,2)</f>
        <v>1.07</v>
      </c>
      <c r="J22" s="714"/>
      <c r="K22" s="714"/>
      <c r="L22" s="714"/>
      <c r="M22" s="715"/>
      <c r="N22" s="722" t="s">
        <v>100</v>
      </c>
      <c r="O22" s="722"/>
      <c r="P22" s="722"/>
      <c r="Q22" s="722"/>
      <c r="R22" s="723"/>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27"/>
      <c r="AX22" s="27"/>
      <c r="AY22" s="27"/>
      <c r="AZ22" s="27"/>
      <c r="BA22" s="27"/>
      <c r="BB22" s="27"/>
      <c r="BC22" s="27"/>
      <c r="BD22" s="27"/>
      <c r="BE22" s="27"/>
      <c r="BF22" s="27"/>
      <c r="BG22" s="174"/>
      <c r="BH22" s="174"/>
      <c r="BI22" s="177"/>
      <c r="BJ22" s="174"/>
      <c r="BK22" s="174"/>
      <c r="BL22" s="17"/>
      <c r="BM22" s="6"/>
      <c r="BN22" s="6"/>
      <c r="BO22" s="6"/>
      <c r="BP22" s="18"/>
      <c r="BQ22" s="174"/>
      <c r="BR22" s="174"/>
      <c r="BS22" s="174"/>
      <c r="BT22" s="174"/>
      <c r="BU22" s="174"/>
      <c r="BV22" s="174"/>
      <c r="BW22" s="174"/>
      <c r="BX22" s="174"/>
      <c r="BY22" s="174"/>
      <c r="BZ22" s="174"/>
      <c r="CA22" s="174"/>
      <c r="CB22" s="174"/>
      <c r="CC22" s="174"/>
      <c r="CD22" s="174"/>
      <c r="CE22" s="174"/>
      <c r="CF22" s="174"/>
      <c r="CG22" s="174"/>
      <c r="CH22" s="174"/>
      <c r="CI22" s="174"/>
      <c r="CJ22" s="58"/>
      <c r="CK22" s="109"/>
      <c r="CL22" s="766"/>
      <c r="CM22" s="767"/>
      <c r="CN22" s="767"/>
      <c r="CO22" s="767"/>
      <c r="CP22" s="767"/>
      <c r="CQ22" s="767"/>
      <c r="CR22" s="767"/>
      <c r="CS22" s="772"/>
      <c r="CT22" s="109"/>
      <c r="CU22" s="60"/>
      <c r="CV22" s="920" t="s">
        <v>99</v>
      </c>
      <c r="CW22" s="1066"/>
      <c r="CX22" s="1067"/>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716"/>
      <c r="J23" s="717"/>
      <c r="K23" s="717"/>
      <c r="L23" s="717"/>
      <c r="M23" s="718"/>
      <c r="N23" s="724"/>
      <c r="O23" s="724"/>
      <c r="P23" s="724"/>
      <c r="Q23" s="724"/>
      <c r="R23" s="725"/>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7"/>
      <c r="BM23" s="6"/>
      <c r="BN23" s="6"/>
      <c r="BO23" s="6"/>
      <c r="BP23" s="18"/>
      <c r="BQ23" s="174"/>
      <c r="BR23" s="174"/>
      <c r="BS23" s="174"/>
      <c r="BT23" s="174"/>
      <c r="BU23" s="174"/>
      <c r="BV23" s="174"/>
      <c r="BW23" s="174"/>
      <c r="BX23" s="174"/>
      <c r="BY23" s="174"/>
      <c r="BZ23" s="174"/>
      <c r="CA23" s="174"/>
      <c r="CB23" s="174"/>
      <c r="CC23" s="174"/>
      <c r="CD23" s="174"/>
      <c r="CE23" s="174"/>
      <c r="CF23" s="174"/>
      <c r="CG23" s="174"/>
      <c r="CH23" s="174"/>
      <c r="CI23" s="174"/>
      <c r="CJ23" s="58"/>
      <c r="CK23" s="109"/>
      <c r="CL23" s="766"/>
      <c r="CM23" s="767"/>
      <c r="CN23" s="767"/>
      <c r="CO23" s="767"/>
      <c r="CP23" s="767"/>
      <c r="CQ23" s="767"/>
      <c r="CR23" s="767"/>
      <c r="CS23" s="772"/>
      <c r="CT23" s="109"/>
      <c r="CU23" s="60"/>
      <c r="CV23" s="768"/>
      <c r="CW23" s="1068"/>
      <c r="CX23" s="1069"/>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719"/>
      <c r="J24" s="720"/>
      <c r="K24" s="720"/>
      <c r="L24" s="720"/>
      <c r="M24" s="721"/>
      <c r="N24" s="726"/>
      <c r="O24" s="726"/>
      <c r="P24" s="726"/>
      <c r="Q24" s="726"/>
      <c r="R24" s="727"/>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74"/>
      <c r="AX24" s="174"/>
      <c r="AY24" s="174"/>
      <c r="AZ24" s="174"/>
      <c r="BA24" s="174"/>
      <c r="BB24" s="174"/>
      <c r="BC24" s="174"/>
      <c r="BD24" s="174"/>
      <c r="BE24" s="174"/>
      <c r="BF24" s="174"/>
      <c r="BG24" s="14"/>
      <c r="BH24" s="174"/>
      <c r="BI24" s="177"/>
      <c r="BJ24" s="174"/>
      <c r="BK24" s="174"/>
      <c r="BL24" s="17"/>
      <c r="BM24" s="6"/>
      <c r="BN24" s="6"/>
      <c r="BO24" s="6"/>
      <c r="BP24" s="18"/>
      <c r="BQ24" s="174"/>
      <c r="BR24" s="174"/>
      <c r="BS24" s="174"/>
      <c r="BT24" s="174"/>
      <c r="BU24" s="174"/>
      <c r="BV24" s="174"/>
      <c r="BW24" s="174"/>
      <c r="BX24" s="174"/>
      <c r="BY24" s="174"/>
      <c r="BZ24" s="174"/>
      <c r="CA24" s="174"/>
      <c r="CB24" s="174"/>
      <c r="CC24" s="174"/>
      <c r="CD24" s="174"/>
      <c r="CE24" s="174"/>
      <c r="CF24" s="174"/>
      <c r="CG24" s="174"/>
      <c r="CH24" s="174"/>
      <c r="CI24" s="174"/>
      <c r="CJ24" s="58"/>
      <c r="CK24" s="109"/>
      <c r="CL24" s="833">
        <f>CP17/LTAF/CP18 + CV21/CV20</f>
        <v>1718.4473684210527</v>
      </c>
      <c r="CM24" s="834"/>
      <c r="CN24" s="834"/>
      <c r="CO24" s="834"/>
      <c r="CP24" s="834"/>
      <c r="CQ24" s="834"/>
      <c r="CR24" s="834"/>
      <c r="CS24" s="835"/>
      <c r="CT24" s="109"/>
      <c r="CU24" s="60"/>
      <c r="CV24" s="768"/>
      <c r="CW24" s="1068"/>
      <c r="CX24" s="1069"/>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728">
        <f>CL39</f>
        <v>1343.1578947368421</v>
      </c>
      <c r="AT25" s="861"/>
      <c r="AU25" s="861"/>
      <c r="AV25" s="861"/>
      <c r="AW25" s="861"/>
      <c r="AX25" s="861"/>
      <c r="AY25" s="861"/>
      <c r="AZ25" s="861"/>
      <c r="BA25" s="861"/>
      <c r="BB25" s="862"/>
      <c r="BC25" s="174"/>
      <c r="BD25" s="174"/>
      <c r="BE25" s="174"/>
      <c r="BF25" s="174"/>
      <c r="BG25" s="17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58"/>
      <c r="CK25" s="109"/>
      <c r="CL25" s="833"/>
      <c r="CM25" s="834"/>
      <c r="CN25" s="834"/>
      <c r="CO25" s="834"/>
      <c r="CP25" s="834"/>
      <c r="CQ25" s="834"/>
      <c r="CR25" s="834"/>
      <c r="CS25" s="835"/>
      <c r="CT25" s="109"/>
      <c r="CU25" s="60"/>
      <c r="CV25" s="768"/>
      <c r="CW25" s="1068"/>
      <c r="CX25" s="1069"/>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863"/>
      <c r="AT26" s="864"/>
      <c r="AU26" s="864"/>
      <c r="AV26" s="864"/>
      <c r="AW26" s="864"/>
      <c r="AX26" s="864"/>
      <c r="AY26" s="864"/>
      <c r="AZ26" s="864"/>
      <c r="BA26" s="864"/>
      <c r="BB26" s="865"/>
      <c r="BC26" s="174"/>
      <c r="BD26" s="174"/>
      <c r="BE26" s="174"/>
      <c r="BF26" s="174"/>
      <c r="BG26" s="17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58"/>
      <c r="CK26" s="109"/>
      <c r="CL26" s="836"/>
      <c r="CM26" s="837"/>
      <c r="CN26" s="837"/>
      <c r="CO26" s="837"/>
      <c r="CP26" s="837"/>
      <c r="CQ26" s="837"/>
      <c r="CR26" s="837"/>
      <c r="CS26" s="838"/>
      <c r="CT26" s="109"/>
      <c r="CU26" s="60"/>
      <c r="CV26" s="850"/>
      <c r="CW26" s="1070"/>
      <c r="CX26" s="1071"/>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866"/>
      <c r="AT27" s="867"/>
      <c r="AU27" s="867"/>
      <c r="AV27" s="867"/>
      <c r="AW27" s="867"/>
      <c r="AX27" s="867"/>
      <c r="AY27" s="867"/>
      <c r="AZ27" s="867"/>
      <c r="BA27" s="867"/>
      <c r="BB27" s="868"/>
      <c r="BC27" s="174"/>
      <c r="BD27" s="174"/>
      <c r="BE27" s="174"/>
      <c r="BF27" s="174"/>
      <c r="BG27" s="17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58"/>
      <c r="CK27" s="109"/>
      <c r="CL27" s="109"/>
      <c r="CM27" s="109"/>
      <c r="CN27" s="109"/>
      <c r="CO27" s="109"/>
      <c r="CP27" s="109"/>
      <c r="CQ27" s="109"/>
      <c r="CR27" s="109"/>
      <c r="CS27" s="109"/>
      <c r="CT27" s="109"/>
      <c r="CU27" s="60"/>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713">
        <f>ROUND(AS25/CLV_Limit,2)</f>
        <v>0.84</v>
      </c>
      <c r="AT28" s="714"/>
      <c r="AU28" s="714"/>
      <c r="AV28" s="714"/>
      <c r="AW28" s="715"/>
      <c r="AX28" s="722" t="s">
        <v>100</v>
      </c>
      <c r="AY28" s="722"/>
      <c r="AZ28" s="722"/>
      <c r="BA28" s="722"/>
      <c r="BB28" s="723"/>
      <c r="BC28" s="174"/>
      <c r="BD28" s="174"/>
      <c r="BE28" s="174"/>
      <c r="BF28" s="174"/>
      <c r="BG28" s="17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61"/>
      <c r="CK28" s="110"/>
      <c r="CL28" s="110"/>
      <c r="CM28" s="110"/>
      <c r="CN28" s="110"/>
      <c r="CO28" s="110"/>
      <c r="CP28" s="110"/>
      <c r="CQ28" s="110"/>
      <c r="CR28" s="110"/>
      <c r="CS28" s="110"/>
      <c r="CT28" s="110"/>
      <c r="CU28" s="63"/>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716"/>
      <c r="AT29" s="717"/>
      <c r="AU29" s="717"/>
      <c r="AV29" s="717"/>
      <c r="AW29" s="718"/>
      <c r="AX29" s="724"/>
      <c r="AY29" s="724"/>
      <c r="AZ29" s="724"/>
      <c r="BA29" s="724"/>
      <c r="BB29" s="725"/>
      <c r="BC29" s="174"/>
      <c r="BD29" s="174"/>
      <c r="BE29" s="174"/>
      <c r="BF29" s="174"/>
      <c r="BG29" s="17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719"/>
      <c r="AT30" s="720"/>
      <c r="AU30" s="720"/>
      <c r="AV30" s="720"/>
      <c r="AW30" s="721"/>
      <c r="AX30" s="726"/>
      <c r="AY30" s="726"/>
      <c r="AZ30" s="726"/>
      <c r="BA30" s="726"/>
      <c r="BB30" s="727"/>
      <c r="BC30" s="174"/>
      <c r="BD30" s="174"/>
      <c r="BE30" s="174"/>
      <c r="BF30" s="174"/>
      <c r="BG30" s="17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174"/>
      <c r="CC33" s="1084"/>
      <c r="CD33" s="1075"/>
      <c r="CE33" s="1075"/>
      <c r="CF33" s="1085"/>
      <c r="CG33" s="1086" t="s">
        <v>99</v>
      </c>
      <c r="CH33" s="1087">
        <f>EBU_Master</f>
        <v>0</v>
      </c>
      <c r="CI33" s="1088"/>
      <c r="CJ33" s="56"/>
      <c r="CK33" s="175"/>
      <c r="CL33" s="175"/>
      <c r="CM33" s="175"/>
      <c r="CN33" s="175"/>
      <c r="CO33" s="175"/>
      <c r="CP33" s="175"/>
      <c r="CQ33" s="175"/>
      <c r="CR33" s="175"/>
      <c r="CS33" s="175"/>
      <c r="CT33" s="175"/>
      <c r="CU33" s="176"/>
      <c r="CV33" s="1090">
        <v>1</v>
      </c>
      <c r="CW33" s="1091">
        <f>WBR_Master</f>
        <v>625</v>
      </c>
      <c r="CX33" s="1072" t="s">
        <v>99</v>
      </c>
      <c r="CY33" s="1074"/>
      <c r="CZ33" s="1075"/>
      <c r="DA33" s="1075"/>
      <c r="DB33" s="1076"/>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74"/>
      <c r="CB34" s="174"/>
      <c r="CC34" s="869"/>
      <c r="CD34" s="870"/>
      <c r="CE34" s="870"/>
      <c r="CF34" s="1078"/>
      <c r="CG34" s="1079"/>
      <c r="CH34" s="1080"/>
      <c r="CI34" s="1089"/>
      <c r="CJ34" s="58"/>
      <c r="CK34" s="109"/>
      <c r="CL34" s="109"/>
      <c r="CM34" s="109"/>
      <c r="CN34" s="109"/>
      <c r="CO34" s="109"/>
      <c r="CP34" s="109"/>
      <c r="CQ34" s="109"/>
      <c r="CR34" s="109"/>
      <c r="CS34" s="109"/>
      <c r="CT34" s="109"/>
      <c r="CU34" s="60"/>
      <c r="CV34" s="1082"/>
      <c r="CW34" s="1083"/>
      <c r="CX34" s="1073"/>
      <c r="CY34" s="1077"/>
      <c r="CZ34" s="870"/>
      <c r="DA34" s="870"/>
      <c r="DB34" s="871"/>
      <c r="DC34" s="174"/>
      <c r="DD34" s="174"/>
      <c r="DE34" s="174"/>
      <c r="DF34" s="174"/>
      <c r="DG34" s="174"/>
      <c r="DH34" s="174"/>
      <c r="DI34" s="174"/>
      <c r="DJ34" s="174"/>
      <c r="DK34" s="174"/>
      <c r="DL34" s="174"/>
      <c r="DM34" s="174"/>
      <c r="DN34" s="174"/>
      <c r="DO34" s="174"/>
      <c r="DP34" s="174"/>
      <c r="DQ34" s="174"/>
      <c r="DR34" s="174"/>
      <c r="DS34" s="177"/>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174"/>
      <c r="CC35" s="869"/>
      <c r="CD35" s="870"/>
      <c r="CE35" s="870"/>
      <c r="CF35" s="1078"/>
      <c r="CG35" s="1079"/>
      <c r="CH35" s="1080"/>
      <c r="CI35" s="1089"/>
      <c r="CJ35" s="58"/>
      <c r="CK35" s="109"/>
      <c r="CL35" s="109"/>
      <c r="CM35" s="109"/>
      <c r="CN35" s="109"/>
      <c r="CO35" s="109"/>
      <c r="CP35" s="109"/>
      <c r="CQ35" s="109"/>
      <c r="CR35" s="109"/>
      <c r="CS35" s="109"/>
      <c r="CT35" s="109"/>
      <c r="CU35" s="60"/>
      <c r="CV35" s="1082"/>
      <c r="CW35" s="1083"/>
      <c r="CX35" s="1073"/>
      <c r="CY35" s="1077"/>
      <c r="CZ35" s="870"/>
      <c r="DA35" s="870"/>
      <c r="DB35" s="871"/>
      <c r="DC35" s="174"/>
      <c r="DD35" s="174"/>
      <c r="DE35" s="174"/>
      <c r="DF35" s="174"/>
      <c r="DG35" s="174"/>
      <c r="DH35" s="174"/>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174"/>
      <c r="CC36" s="869"/>
      <c r="CD36" s="870"/>
      <c r="CE36" s="870"/>
      <c r="CF36" s="1078"/>
      <c r="CG36" s="1079" t="s">
        <v>99</v>
      </c>
      <c r="CH36" s="1080">
        <f>EBL_Master</f>
        <v>899</v>
      </c>
      <c r="CI36" s="1081">
        <v>2</v>
      </c>
      <c r="CJ36" s="58"/>
      <c r="CK36" s="109"/>
      <c r="CL36" s="763"/>
      <c r="CM36" s="764"/>
      <c r="CN36" s="764"/>
      <c r="CO36" s="764"/>
      <c r="CP36" s="764"/>
      <c r="CQ36" s="764"/>
      <c r="CR36" s="764"/>
      <c r="CS36" s="771"/>
      <c r="CT36" s="109"/>
      <c r="CU36" s="60"/>
      <c r="CV36" s="1082">
        <v>3</v>
      </c>
      <c r="CW36" s="1083">
        <f>WBT_Master</f>
        <v>0</v>
      </c>
      <c r="CX36" s="1073" t="s">
        <v>99</v>
      </c>
      <c r="CY36" s="1077"/>
      <c r="CZ36" s="870"/>
      <c r="DA36" s="870"/>
      <c r="DB36" s="871"/>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4"/>
      <c r="BW37" s="4"/>
      <c r="BX37" s="4"/>
      <c r="BY37" s="174"/>
      <c r="BZ37" s="174"/>
      <c r="CA37" s="174"/>
      <c r="CB37" s="174"/>
      <c r="CC37" s="869"/>
      <c r="CD37" s="870"/>
      <c r="CE37" s="870"/>
      <c r="CF37" s="1078"/>
      <c r="CG37" s="1079"/>
      <c r="CH37" s="1080"/>
      <c r="CI37" s="1081"/>
      <c r="CJ37" s="58"/>
      <c r="CK37" s="109"/>
      <c r="CL37" s="766"/>
      <c r="CM37" s="767"/>
      <c r="CN37" s="767"/>
      <c r="CO37" s="767"/>
      <c r="CP37" s="767"/>
      <c r="CQ37" s="767"/>
      <c r="CR37" s="767"/>
      <c r="CS37" s="772"/>
      <c r="CT37" s="109"/>
      <c r="CU37" s="60"/>
      <c r="CV37" s="1082"/>
      <c r="CW37" s="1083"/>
      <c r="CX37" s="1073"/>
      <c r="CY37" s="1077"/>
      <c r="CZ37" s="870"/>
      <c r="DA37" s="870"/>
      <c r="DB37" s="871"/>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174"/>
      <c r="CC38" s="869"/>
      <c r="CD38" s="870"/>
      <c r="CE38" s="870"/>
      <c r="CF38" s="1078"/>
      <c r="CG38" s="1079"/>
      <c r="CH38" s="1080"/>
      <c r="CI38" s="1081"/>
      <c r="CJ38" s="58"/>
      <c r="CK38" s="109"/>
      <c r="CL38" s="766"/>
      <c r="CM38" s="767"/>
      <c r="CN38" s="767"/>
      <c r="CO38" s="767"/>
      <c r="CP38" s="767"/>
      <c r="CQ38" s="767"/>
      <c r="CR38" s="767"/>
      <c r="CS38" s="772"/>
      <c r="CT38" s="109"/>
      <c r="CU38" s="60"/>
      <c r="CV38" s="1082"/>
      <c r="CW38" s="1083"/>
      <c r="CX38" s="1073"/>
      <c r="CY38" s="1077"/>
      <c r="CZ38" s="870"/>
      <c r="DA38" s="870"/>
      <c r="DB38" s="871"/>
      <c r="DC38" s="174"/>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869"/>
      <c r="CD39" s="870"/>
      <c r="CE39" s="870"/>
      <c r="CF39" s="1078"/>
      <c r="CG39" s="1079" t="s">
        <v>99</v>
      </c>
      <c r="CH39" s="1080">
        <f>EBT_Master</f>
        <v>0</v>
      </c>
      <c r="CI39" s="1081">
        <v>3</v>
      </c>
      <c r="CJ39" s="58"/>
      <c r="CK39" s="109"/>
      <c r="CL39" s="833">
        <f xml:space="preserve"> MAX(CM60/LTAF/CM59,CP60/CP59, ROUND(MAX(0,CS60/RTAF/CS59-CH36/LTAF/CI36),0), CP17/LTAF/CP18, CM17/CM18, ROUND(MAX(0,CJ17/RTAF/CJ18-CH36/LTAF/CI36),0))+MAX(CH36/LTAF/CI36 + MAX(CW36/CV36, ROUND(MAX(0,CW33/RTAF/CV33-CP17/LTAF/CP18),0)), CW39/LTAF/CV39 +MAX( CH39/CI39, ROUND(MAX(0,CH42/RTAF/CI42-CM60/LTAF/CM59),0)))</f>
        <v>1343.1578947368421</v>
      </c>
      <c r="CM39" s="834"/>
      <c r="CN39" s="834"/>
      <c r="CO39" s="834"/>
      <c r="CP39" s="834"/>
      <c r="CQ39" s="834"/>
      <c r="CR39" s="834"/>
      <c r="CS39" s="835"/>
      <c r="CT39" s="109"/>
      <c r="CU39" s="60"/>
      <c r="CV39" s="1082">
        <v>2</v>
      </c>
      <c r="CW39" s="1083">
        <f>WBL_Master</f>
        <v>588</v>
      </c>
      <c r="CX39" s="1073" t="s">
        <v>99</v>
      </c>
      <c r="CY39" s="1077"/>
      <c r="CZ39" s="870"/>
      <c r="DA39" s="870"/>
      <c r="DB39" s="871"/>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174"/>
      <c r="BW40" s="174"/>
      <c r="BX40" s="174"/>
      <c r="BY40" s="174"/>
      <c r="BZ40" s="174"/>
      <c r="CA40" s="174"/>
      <c r="CB40" s="174"/>
      <c r="CC40" s="869"/>
      <c r="CD40" s="870"/>
      <c r="CE40" s="870"/>
      <c r="CF40" s="1078"/>
      <c r="CG40" s="1079"/>
      <c r="CH40" s="1080"/>
      <c r="CI40" s="1081"/>
      <c r="CJ40" s="58"/>
      <c r="CK40" s="109"/>
      <c r="CL40" s="833"/>
      <c r="CM40" s="834"/>
      <c r="CN40" s="834"/>
      <c r="CO40" s="834"/>
      <c r="CP40" s="834"/>
      <c r="CQ40" s="834"/>
      <c r="CR40" s="834"/>
      <c r="CS40" s="835"/>
      <c r="CT40" s="109"/>
      <c r="CU40" s="60"/>
      <c r="CV40" s="1082"/>
      <c r="CW40" s="1083"/>
      <c r="CX40" s="1073"/>
      <c r="CY40" s="1077"/>
      <c r="CZ40" s="870"/>
      <c r="DA40" s="870"/>
      <c r="DB40" s="871"/>
      <c r="DC40" s="174"/>
      <c r="DD40" s="174"/>
      <c r="DE40" s="174"/>
      <c r="DF40" s="174"/>
      <c r="DG40" s="174"/>
      <c r="DH40" s="174"/>
      <c r="DI40" s="174"/>
      <c r="DJ40" s="174"/>
      <c r="DK40" s="174"/>
      <c r="DL40" s="174"/>
      <c r="DM40" s="174"/>
      <c r="DN40" s="174"/>
      <c r="DO40" s="174"/>
      <c r="DP40" s="174"/>
      <c r="DQ40" s="174"/>
      <c r="DR40" s="174"/>
      <c r="DS40" s="177"/>
    </row>
    <row r="41" spans="2:123" ht="9.9499999999999993" customHeight="1" thickBo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74"/>
      <c r="CB41" s="174"/>
      <c r="CC41" s="869"/>
      <c r="CD41" s="870"/>
      <c r="CE41" s="870"/>
      <c r="CF41" s="1078"/>
      <c r="CG41" s="1079"/>
      <c r="CH41" s="1080"/>
      <c r="CI41" s="1081"/>
      <c r="CJ41" s="58"/>
      <c r="CK41" s="109"/>
      <c r="CL41" s="836"/>
      <c r="CM41" s="837"/>
      <c r="CN41" s="837"/>
      <c r="CO41" s="837"/>
      <c r="CP41" s="837"/>
      <c r="CQ41" s="837"/>
      <c r="CR41" s="837"/>
      <c r="CS41" s="838"/>
      <c r="CT41" s="109"/>
      <c r="CU41" s="60"/>
      <c r="CV41" s="1082"/>
      <c r="CW41" s="1083"/>
      <c r="CX41" s="1073"/>
      <c r="CY41" s="1077"/>
      <c r="CZ41" s="870"/>
      <c r="DA41" s="870"/>
      <c r="DB41" s="871"/>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74"/>
      <c r="CB42" s="174"/>
      <c r="CC42" s="869"/>
      <c r="CD42" s="870"/>
      <c r="CE42" s="870"/>
      <c r="CF42" s="1078"/>
      <c r="CG42" s="1079" t="s">
        <v>99</v>
      </c>
      <c r="CH42" s="1080">
        <f>EBR_Master</f>
        <v>208</v>
      </c>
      <c r="CI42" s="1081">
        <v>1</v>
      </c>
      <c r="CJ42" s="58"/>
      <c r="CK42" s="109"/>
      <c r="CL42" s="109"/>
      <c r="CM42" s="109"/>
      <c r="CN42" s="109"/>
      <c r="CO42" s="109"/>
      <c r="CP42" s="109"/>
      <c r="CQ42" s="109"/>
      <c r="CR42" s="109"/>
      <c r="CS42" s="109"/>
      <c r="CT42" s="109"/>
      <c r="CU42" s="60"/>
      <c r="CV42" s="1111"/>
      <c r="CW42" s="1083">
        <f>WBU_Master</f>
        <v>0</v>
      </c>
      <c r="CX42" s="1073" t="s">
        <v>99</v>
      </c>
      <c r="CY42" s="1077"/>
      <c r="CZ42" s="870"/>
      <c r="DA42" s="870"/>
      <c r="DB42" s="871"/>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869"/>
      <c r="CD43" s="870"/>
      <c r="CE43" s="870"/>
      <c r="CF43" s="1078"/>
      <c r="CG43" s="1079"/>
      <c r="CH43" s="1080"/>
      <c r="CI43" s="1081"/>
      <c r="CJ43" s="58"/>
      <c r="CK43" s="109"/>
      <c r="CL43" s="109"/>
      <c r="CM43" s="109"/>
      <c r="CN43" s="109"/>
      <c r="CO43" s="109"/>
      <c r="CP43" s="109"/>
      <c r="CQ43" s="109"/>
      <c r="CR43" s="109"/>
      <c r="CS43" s="109"/>
      <c r="CT43" s="109"/>
      <c r="CU43" s="60"/>
      <c r="CV43" s="1111"/>
      <c r="CW43" s="1083"/>
      <c r="CX43" s="1073"/>
      <c r="CY43" s="1077"/>
      <c r="CZ43" s="870"/>
      <c r="DA43" s="870"/>
      <c r="DB43" s="871"/>
      <c r="DC43" s="174"/>
      <c r="DD43" s="174"/>
      <c r="DE43" s="174"/>
      <c r="DF43" s="174"/>
      <c r="DG43" s="174"/>
      <c r="DH43" s="174"/>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74"/>
      <c r="CB44" s="174"/>
      <c r="CC44" s="1106"/>
      <c r="CD44" s="1094"/>
      <c r="CE44" s="1094"/>
      <c r="CF44" s="1107"/>
      <c r="CG44" s="1108"/>
      <c r="CH44" s="1109"/>
      <c r="CI44" s="1110"/>
      <c r="CJ44" s="61"/>
      <c r="CK44" s="110"/>
      <c r="CL44" s="110"/>
      <c r="CM44" s="110"/>
      <c r="CN44" s="110"/>
      <c r="CO44" s="110"/>
      <c r="CP44" s="110"/>
      <c r="CQ44" s="110"/>
      <c r="CR44" s="110"/>
      <c r="CS44" s="110"/>
      <c r="CT44" s="110"/>
      <c r="CU44" s="63"/>
      <c r="CV44" s="1112"/>
      <c r="CW44" s="1113"/>
      <c r="CX44" s="1092"/>
      <c r="CY44" s="1093"/>
      <c r="CZ44" s="1094"/>
      <c r="DA44" s="1094"/>
      <c r="DB44" s="1095"/>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56"/>
      <c r="CK49" s="175"/>
      <c r="CL49" s="175"/>
      <c r="CM49" s="175"/>
      <c r="CN49" s="175"/>
      <c r="CO49" s="175"/>
      <c r="CP49" s="175"/>
      <c r="CQ49" s="175"/>
      <c r="CR49" s="175"/>
      <c r="CS49" s="175"/>
      <c r="CT49" s="175"/>
      <c r="CU49" s="176"/>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096"/>
      <c r="CH50" s="1097"/>
      <c r="CI50" s="1098"/>
      <c r="CJ50" s="58"/>
      <c r="CK50" s="109"/>
      <c r="CL50" s="109"/>
      <c r="CM50" s="109"/>
      <c r="CN50" s="109"/>
      <c r="CO50" s="109"/>
      <c r="CP50" s="109"/>
      <c r="CQ50" s="109"/>
      <c r="CR50" s="109"/>
      <c r="CS50" s="109"/>
      <c r="CT50" s="109"/>
      <c r="CU50" s="60"/>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099"/>
      <c r="CH51" s="1068"/>
      <c r="CI51" s="1069"/>
      <c r="CJ51" s="58"/>
      <c r="CK51" s="109"/>
      <c r="CL51" s="763"/>
      <c r="CM51" s="764"/>
      <c r="CN51" s="764"/>
      <c r="CO51" s="764"/>
      <c r="CP51" s="764"/>
      <c r="CQ51" s="764"/>
      <c r="CR51" s="764"/>
      <c r="CS51" s="771"/>
      <c r="CT51" s="109"/>
      <c r="CU51" s="60"/>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099"/>
      <c r="CH52" s="1068"/>
      <c r="CI52" s="1069"/>
      <c r="CJ52" s="58"/>
      <c r="CK52" s="109"/>
      <c r="CL52" s="766"/>
      <c r="CM52" s="767"/>
      <c r="CN52" s="767"/>
      <c r="CO52" s="767"/>
      <c r="CP52" s="767"/>
      <c r="CQ52" s="767"/>
      <c r="CR52" s="767"/>
      <c r="CS52" s="772"/>
      <c r="CT52" s="109"/>
      <c r="CU52" s="60"/>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099"/>
      <c r="CH53" s="1068"/>
      <c r="CI53" s="1069"/>
      <c r="CJ53" s="58"/>
      <c r="CK53" s="109"/>
      <c r="CL53" s="766"/>
      <c r="CM53" s="767"/>
      <c r="CN53" s="767"/>
      <c r="CO53" s="767"/>
      <c r="CP53" s="767"/>
      <c r="CQ53" s="767"/>
      <c r="CR53" s="767"/>
      <c r="CS53" s="772"/>
      <c r="CT53" s="109"/>
      <c r="CU53" s="60"/>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065" t="s">
        <v>99</v>
      </c>
      <c r="CH54" s="1066"/>
      <c r="CI54" s="1067"/>
      <c r="CJ54" s="58"/>
      <c r="CK54" s="109"/>
      <c r="CL54" s="833">
        <f>CM60/LTAF/CM59 + CG55/CG56</f>
        <v>1017.5</v>
      </c>
      <c r="CM54" s="834"/>
      <c r="CN54" s="834"/>
      <c r="CO54" s="834"/>
      <c r="CP54" s="834"/>
      <c r="CQ54" s="834"/>
      <c r="CR54" s="834"/>
      <c r="CS54" s="835"/>
      <c r="CT54" s="109"/>
      <c r="CU54" s="60"/>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100">
        <f>CM17+CW39</f>
        <v>2035</v>
      </c>
      <c r="CH55" s="1101"/>
      <c r="CI55" s="1102"/>
      <c r="CJ55" s="58"/>
      <c r="CK55" s="109"/>
      <c r="CL55" s="833"/>
      <c r="CM55" s="834"/>
      <c r="CN55" s="834"/>
      <c r="CO55" s="834"/>
      <c r="CP55" s="834"/>
      <c r="CQ55" s="834"/>
      <c r="CR55" s="834"/>
      <c r="CS55" s="835"/>
      <c r="CT55" s="109"/>
      <c r="CU55" s="60"/>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103">
        <f>CM18</f>
        <v>2</v>
      </c>
      <c r="CH56" s="1104"/>
      <c r="CI56" s="1105"/>
      <c r="CJ56" s="58"/>
      <c r="CK56" s="109"/>
      <c r="CL56" s="836"/>
      <c r="CM56" s="837"/>
      <c r="CN56" s="837"/>
      <c r="CO56" s="837"/>
      <c r="CP56" s="837"/>
      <c r="CQ56" s="837"/>
      <c r="CR56" s="837"/>
      <c r="CS56" s="838"/>
      <c r="CT56" s="109"/>
      <c r="CU56" s="60"/>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728">
        <f>CL54</f>
        <v>1017.5</v>
      </c>
      <c r="AT57" s="861"/>
      <c r="AU57" s="861"/>
      <c r="AV57" s="861"/>
      <c r="AW57" s="861"/>
      <c r="AX57" s="861"/>
      <c r="AY57" s="861"/>
      <c r="AZ57" s="861"/>
      <c r="BA57" s="861"/>
      <c r="BB57" s="862"/>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58"/>
      <c r="CK57" s="109"/>
      <c r="CL57" s="109"/>
      <c r="CM57" s="109"/>
      <c r="CN57" s="109"/>
      <c r="CO57" s="109"/>
      <c r="CP57" s="109"/>
      <c r="CQ57" s="109"/>
      <c r="CR57" s="109"/>
      <c r="CS57" s="109"/>
      <c r="CT57" s="109"/>
      <c r="CU57" s="60"/>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863"/>
      <c r="AT58" s="864"/>
      <c r="AU58" s="864"/>
      <c r="AV58" s="864"/>
      <c r="AW58" s="864"/>
      <c r="AX58" s="864"/>
      <c r="AY58" s="864"/>
      <c r="AZ58" s="864"/>
      <c r="BA58" s="864"/>
      <c r="BB58" s="865"/>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61"/>
      <c r="CK58" s="110"/>
      <c r="CL58" s="110"/>
      <c r="CM58" s="110"/>
      <c r="CN58" s="110"/>
      <c r="CO58" s="110"/>
      <c r="CP58" s="110"/>
      <c r="CQ58" s="110"/>
      <c r="CR58" s="110"/>
      <c r="CS58" s="110"/>
      <c r="CT58" s="110"/>
      <c r="CU58" s="63"/>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866"/>
      <c r="AT59" s="867"/>
      <c r="AU59" s="867"/>
      <c r="AV59" s="867"/>
      <c r="AW59" s="867"/>
      <c r="AX59" s="867"/>
      <c r="AY59" s="867"/>
      <c r="AZ59" s="867"/>
      <c r="BA59" s="867"/>
      <c r="BB59" s="868"/>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120"/>
      <c r="CK59" s="1121"/>
      <c r="CL59" s="1121"/>
      <c r="CM59" s="1040">
        <v>1</v>
      </c>
      <c r="CN59" s="1040"/>
      <c r="CO59" s="1040"/>
      <c r="CP59" s="1040">
        <v>2</v>
      </c>
      <c r="CQ59" s="1040"/>
      <c r="CR59" s="1040"/>
      <c r="CS59" s="1040">
        <v>1</v>
      </c>
      <c r="CT59" s="1040"/>
      <c r="CU59" s="1041"/>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713">
        <f>ROUND(AS57/CLV_Limit,2)</f>
        <v>0.64</v>
      </c>
      <c r="AT60" s="714"/>
      <c r="AU60" s="714"/>
      <c r="AV60" s="714"/>
      <c r="AW60" s="715"/>
      <c r="AX60" s="722" t="s">
        <v>100</v>
      </c>
      <c r="AY60" s="722"/>
      <c r="AZ60" s="722"/>
      <c r="BA60" s="722"/>
      <c r="BB60" s="723"/>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122">
        <f>NBU_Master</f>
        <v>0</v>
      </c>
      <c r="CK60" s="1123"/>
      <c r="CL60" s="1123"/>
      <c r="CM60" s="1123">
        <f>NBL_Master</f>
        <v>0</v>
      </c>
      <c r="CN60" s="1123"/>
      <c r="CO60" s="1123"/>
      <c r="CP60" s="1123">
        <f>NBT_Master</f>
        <v>1260</v>
      </c>
      <c r="CQ60" s="1123"/>
      <c r="CR60" s="1123"/>
      <c r="CS60" s="1123">
        <f>NBR_Master</f>
        <v>1060</v>
      </c>
      <c r="CT60" s="1123"/>
      <c r="CU60" s="112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716"/>
      <c r="AT61" s="717"/>
      <c r="AU61" s="717"/>
      <c r="AV61" s="717"/>
      <c r="AW61" s="718"/>
      <c r="AX61" s="724"/>
      <c r="AY61" s="724"/>
      <c r="AZ61" s="724"/>
      <c r="BA61" s="724"/>
      <c r="BB61" s="725"/>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045" t="s">
        <v>99</v>
      </c>
      <c r="CK61" s="1046"/>
      <c r="CL61" s="1046"/>
      <c r="CM61" s="1046" t="s">
        <v>99</v>
      </c>
      <c r="CN61" s="1046"/>
      <c r="CO61" s="1046"/>
      <c r="CP61" s="1046" t="s">
        <v>99</v>
      </c>
      <c r="CQ61" s="1046"/>
      <c r="CR61" s="1046"/>
      <c r="CS61" s="1046" t="s">
        <v>99</v>
      </c>
      <c r="CT61" s="1046"/>
      <c r="CU61" s="1047"/>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719"/>
      <c r="AT62" s="720"/>
      <c r="AU62" s="720"/>
      <c r="AV62" s="720"/>
      <c r="AW62" s="721"/>
      <c r="AX62" s="726"/>
      <c r="AY62" s="726"/>
      <c r="AZ62" s="726"/>
      <c r="BA62" s="726"/>
      <c r="BB62" s="727"/>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114"/>
      <c r="CK62" s="1115"/>
      <c r="CL62" s="1115"/>
      <c r="CM62" s="1115"/>
      <c r="CN62" s="1115"/>
      <c r="CO62" s="1115"/>
      <c r="CP62" s="1115"/>
      <c r="CQ62" s="1115"/>
      <c r="CR62" s="1115"/>
      <c r="CS62" s="1115"/>
      <c r="CT62" s="1115"/>
      <c r="CU62" s="1118"/>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053"/>
      <c r="CK63" s="1054"/>
      <c r="CL63" s="1054"/>
      <c r="CM63" s="1054"/>
      <c r="CN63" s="1054"/>
      <c r="CO63" s="1054"/>
      <c r="CP63" s="1054"/>
      <c r="CQ63" s="1054"/>
      <c r="CR63" s="1054"/>
      <c r="CS63" s="1054"/>
      <c r="CT63" s="1054"/>
      <c r="CU63" s="1058"/>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053"/>
      <c r="CK64" s="1054"/>
      <c r="CL64" s="1054"/>
      <c r="CM64" s="1054"/>
      <c r="CN64" s="1054"/>
      <c r="CO64" s="1054"/>
      <c r="CP64" s="1054"/>
      <c r="CQ64" s="1054"/>
      <c r="CR64" s="1054"/>
      <c r="CS64" s="1054"/>
      <c r="CT64" s="1054"/>
      <c r="CU64" s="1058"/>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116"/>
      <c r="CK65" s="1117"/>
      <c r="CL65" s="1117"/>
      <c r="CM65" s="1117"/>
      <c r="CN65" s="1117"/>
      <c r="CO65" s="1117"/>
      <c r="CP65" s="1117"/>
      <c r="CQ65" s="1117"/>
      <c r="CR65" s="1117"/>
      <c r="CS65" s="1117"/>
      <c r="CT65" s="1117"/>
      <c r="CU65" s="1119"/>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32"/>
      <c r="F66" s="26"/>
      <c r="G66" s="26"/>
      <c r="H66" s="26"/>
      <c r="I66" s="26"/>
      <c r="J66" s="26"/>
      <c r="K66" s="26"/>
      <c r="L66" s="26"/>
      <c r="M66" s="26"/>
      <c r="N66" s="26"/>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26"/>
      <c r="F67" s="26"/>
      <c r="G67" s="26"/>
      <c r="H67" s="26"/>
      <c r="I67" s="26"/>
      <c r="J67" s="26"/>
      <c r="K67" s="26"/>
      <c r="L67" s="26"/>
      <c r="M67" s="26"/>
      <c r="N67" s="26"/>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6"/>
      <c r="BQ67" s="16"/>
      <c r="BR67" s="16"/>
      <c r="BS67" s="16"/>
      <c r="BT67" s="16"/>
      <c r="BU67" s="16"/>
      <c r="BV67" s="16"/>
      <c r="BW67" s="16"/>
      <c r="BX67" s="16"/>
      <c r="BY67" s="16"/>
      <c r="BZ67" s="16"/>
      <c r="CA67" s="16"/>
      <c r="CB67" s="16"/>
      <c r="CC67" s="16"/>
      <c r="CD67" s="16"/>
      <c r="CE67" s="16"/>
      <c r="CF67" s="16"/>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26"/>
      <c r="F68" s="26"/>
      <c r="G68" s="26"/>
      <c r="H68" s="26"/>
      <c r="I68" s="26"/>
      <c r="J68" s="26"/>
      <c r="K68" s="26"/>
      <c r="L68" s="26"/>
      <c r="M68" s="26"/>
      <c r="N68" s="26"/>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4"/>
      <c r="BQ68" s="4"/>
      <c r="BR68" s="4"/>
      <c r="BS68" s="4"/>
      <c r="BT68" s="4"/>
      <c r="BU68" s="4"/>
      <c r="BV68" s="4"/>
      <c r="BW68" s="4"/>
      <c r="BX68" s="4"/>
      <c r="BY68" s="4"/>
      <c r="BZ68" s="4"/>
      <c r="CA68" s="4"/>
      <c r="CB68" s="4"/>
      <c r="CC68" s="4"/>
      <c r="CD68" s="4"/>
      <c r="CE68" s="4"/>
      <c r="CF68" s="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6"/>
      <c r="BQ69" s="16"/>
      <c r="BR69" s="16"/>
      <c r="BS69" s="16"/>
      <c r="BT69" s="16"/>
      <c r="BU69" s="16"/>
      <c r="BV69" s="16"/>
      <c r="BW69" s="16"/>
      <c r="BX69" s="16"/>
      <c r="BY69" s="16"/>
      <c r="BZ69" s="16"/>
      <c r="CA69" s="16"/>
      <c r="CB69" s="16"/>
      <c r="CC69" s="16"/>
      <c r="CD69" s="16"/>
      <c r="CE69" s="16"/>
      <c r="CF69" s="16"/>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27"/>
      <c r="F72" s="27"/>
      <c r="G72" s="27"/>
      <c r="H72" s="27"/>
      <c r="I72" s="27"/>
      <c r="J72" s="27"/>
      <c r="K72" s="27"/>
      <c r="L72" s="27"/>
      <c r="M72" s="27"/>
      <c r="N72" s="27"/>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07">
    <mergeCell ref="CJ61:CL61"/>
    <mergeCell ref="CM61:CO61"/>
    <mergeCell ref="CP61:CR61"/>
    <mergeCell ref="CS61:CU61"/>
    <mergeCell ref="CJ62:CL65"/>
    <mergeCell ref="CM62:CO65"/>
    <mergeCell ref="CP62:CR65"/>
    <mergeCell ref="CS62:CU65"/>
    <mergeCell ref="CJ59:CL59"/>
    <mergeCell ref="CM59:CO59"/>
    <mergeCell ref="CP59:CR59"/>
    <mergeCell ref="CS59:CU59"/>
    <mergeCell ref="CJ60:CL60"/>
    <mergeCell ref="CM60:CO60"/>
    <mergeCell ref="CP60:CR60"/>
    <mergeCell ref="CS60:CU60"/>
    <mergeCell ref="CX42:CX44"/>
    <mergeCell ref="CY42:DB44"/>
    <mergeCell ref="CG50:CI53"/>
    <mergeCell ref="CL51:CS53"/>
    <mergeCell ref="CG54:CI54"/>
    <mergeCell ref="CL54:CS56"/>
    <mergeCell ref="CG55:CI55"/>
    <mergeCell ref="CG56:CI56"/>
    <mergeCell ref="CC42:CF44"/>
    <mergeCell ref="CG42:CG44"/>
    <mergeCell ref="CH42:CH44"/>
    <mergeCell ref="CI42:CI44"/>
    <mergeCell ref="CV42:CV44"/>
    <mergeCell ref="CW42:CW44"/>
    <mergeCell ref="CC39:CF41"/>
    <mergeCell ref="CG39:CG41"/>
    <mergeCell ref="CH39:CH41"/>
    <mergeCell ref="CI39:CI41"/>
    <mergeCell ref="CL39:CS41"/>
    <mergeCell ref="CV39:CV41"/>
    <mergeCell ref="CW39:CW41"/>
    <mergeCell ref="CX39:CX41"/>
    <mergeCell ref="CY39:DB41"/>
    <mergeCell ref="CX33:CX35"/>
    <mergeCell ref="CY33:DB35"/>
    <mergeCell ref="CC36:CF38"/>
    <mergeCell ref="CG36:CG38"/>
    <mergeCell ref="CH36:CH38"/>
    <mergeCell ref="CI36:CI38"/>
    <mergeCell ref="CL36:CS38"/>
    <mergeCell ref="CV36:CV38"/>
    <mergeCell ref="CW36:CW38"/>
    <mergeCell ref="CX36:CX38"/>
    <mergeCell ref="CC33:CF35"/>
    <mergeCell ref="CG33:CG35"/>
    <mergeCell ref="CH33:CH35"/>
    <mergeCell ref="CI33:CI35"/>
    <mergeCell ref="CV33:CV35"/>
    <mergeCell ref="CW33:CW35"/>
    <mergeCell ref="CY36:DB38"/>
    <mergeCell ref="CJ18:CL18"/>
    <mergeCell ref="CM18:CO18"/>
    <mergeCell ref="CP18:CR18"/>
    <mergeCell ref="CS18:CU18"/>
    <mergeCell ref="CV20:CX20"/>
    <mergeCell ref="CL21:CS23"/>
    <mergeCell ref="CV21:CX21"/>
    <mergeCell ref="CV22:CX22"/>
    <mergeCell ref="CV23:CX26"/>
    <mergeCell ref="CL24:CS26"/>
    <mergeCell ref="CJ16:CL16"/>
    <mergeCell ref="CM16:CO16"/>
    <mergeCell ref="CP16:CR16"/>
    <mergeCell ref="CS16:CU16"/>
    <mergeCell ref="CJ17:CL17"/>
    <mergeCell ref="CM17:CO17"/>
    <mergeCell ref="CP17:CR17"/>
    <mergeCell ref="CS17:CU17"/>
    <mergeCell ref="BL1:DS2"/>
    <mergeCell ref="BL3:DS4"/>
    <mergeCell ref="CJ12:CL15"/>
    <mergeCell ref="CM12:CO15"/>
    <mergeCell ref="CP12:CR15"/>
    <mergeCell ref="CS12:CU15"/>
    <mergeCell ref="I22:M24"/>
    <mergeCell ref="N22:R24"/>
    <mergeCell ref="AS28:AW30"/>
    <mergeCell ref="AX28:BB30"/>
    <mergeCell ref="B1:BI2"/>
    <mergeCell ref="B3:BI4"/>
    <mergeCell ref="C6:J7"/>
    <mergeCell ref="K6:AJ7"/>
    <mergeCell ref="I19:R21"/>
    <mergeCell ref="AS25:BB27"/>
    <mergeCell ref="C8:J9"/>
    <mergeCell ref="K8:AJ9"/>
    <mergeCell ref="C10:J11"/>
    <mergeCell ref="K10:AJ11"/>
    <mergeCell ref="C12:J13"/>
    <mergeCell ref="K12:AJ13"/>
    <mergeCell ref="AK6:BH7"/>
    <mergeCell ref="AS60:AW62"/>
    <mergeCell ref="AX60:BB62"/>
    <mergeCell ref="O74:AV74"/>
    <mergeCell ref="AK8:AP9"/>
    <mergeCell ref="AQ8:AV9"/>
    <mergeCell ref="AW8:BB9"/>
    <mergeCell ref="BC8:BH9"/>
    <mergeCell ref="AK10:AV13"/>
    <mergeCell ref="AW10:BH13"/>
    <mergeCell ref="AS57:BB59"/>
  </mergeCells>
  <conditionalFormatting sqref="I19 CL24 AS25 CL39 CL54 AS57">
    <cfRule type="cellIs" dxfId="165" priority="17" operator="between">
      <formula>0.75*CLV_Limit</formula>
      <formula>0.875*CLV_Limit-1</formula>
    </cfRule>
    <cfRule type="cellIs" dxfId="164" priority="18" operator="between">
      <formula>0.875*CLV_Limit-1</formula>
      <formula>CLV_Limit-1</formula>
    </cfRule>
    <cfRule type="cellIs" dxfId="163" priority="19" operator="greaterThanOrEqual">
      <formula>CLV_Limit</formula>
    </cfRule>
  </conditionalFormatting>
  <conditionalFormatting sqref="AW10 I22 AS28 AS60">
    <cfRule type="cellIs" dxfId="162" priority="10" operator="between">
      <formula>0.75</formula>
      <formula>0.875</formula>
    </cfRule>
    <cfRule type="cellIs" dxfId="161" priority="11" operator="between">
      <formula>0.875</formula>
      <formula>1</formula>
    </cfRule>
    <cfRule type="cellIs" dxfId="160" priority="12"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249977111117893"/>
  </sheetPr>
  <dimension ref="A1:GG157"/>
  <sheetViews>
    <sheetView showGridLines="0" showRowColHeaders="0" zoomScale="90" zoomScaleNormal="90" workbookViewId="0">
      <selection activeCell="CX22" sqref="CX22"/>
    </sheetView>
  </sheetViews>
  <sheetFormatPr defaultColWidth="0" defaultRowHeight="12.75" customHeight="1" zeroHeight="1"/>
  <cols>
    <col min="1" max="1" width="0.5703125" customWidth="1"/>
    <col min="2" max="61" width="1.7109375" customWidth="1"/>
    <col min="62" max="62" width="0.7109375" customWidth="1"/>
    <col min="63" max="63" width="0.5703125" customWidth="1"/>
    <col min="64" max="123" width="1.7109375" customWidth="1"/>
    <col min="124" max="124" width="0.5703125" customWidth="1"/>
    <col min="125" max="189" width="1.7109375" hidden="1" customWidth="1"/>
    <col min="190" max="16384" width="0.5703125" hidden="1"/>
  </cols>
  <sheetData>
    <row r="1" spans="2:123" ht="9.9499999999999993" customHeight="1">
      <c r="B1" s="571" t="s">
        <v>117</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571" t="s">
        <v>117</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4"/>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4"/>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4"/>
      <c r="BQ7" s="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4"/>
      <c r="BQ8" s="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6"/>
      <c r="BQ9" s="16"/>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MAX(ROUND(G28/CLV_Limit,2),ROUND(AQ27/CLV_Limit,2),ROUND(AU58/CLV_Limit,2))</f>
        <v>1.28</v>
      </c>
      <c r="AX10" s="706"/>
      <c r="AY10" s="706"/>
      <c r="AZ10" s="706"/>
      <c r="BA10" s="706"/>
      <c r="BB10" s="706"/>
      <c r="BC10" s="706"/>
      <c r="BD10" s="706"/>
      <c r="BE10" s="706"/>
      <c r="BF10" s="706"/>
      <c r="BG10" s="706"/>
      <c r="BH10" s="707"/>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7"/>
      <c r="BM13" s="6"/>
      <c r="BN13" s="6"/>
      <c r="BO13" s="6"/>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6"/>
      <c r="BN14" s="6"/>
      <c r="BO14" s="6"/>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4"/>
      <c r="CM14" s="4"/>
      <c r="CN14" s="4"/>
      <c r="CO14" s="4"/>
      <c r="CP14" s="4"/>
      <c r="CQ14" s="4"/>
      <c r="CR14" s="4"/>
      <c r="CS14" s="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4"/>
      <c r="AX15" s="174"/>
      <c r="AY15" s="174"/>
      <c r="AZ15" s="174"/>
      <c r="BA15" s="174"/>
      <c r="BB15" s="174"/>
      <c r="BC15" s="174"/>
      <c r="BD15" s="174"/>
      <c r="BE15" s="174"/>
      <c r="BF15" s="174"/>
      <c r="BG15" s="173"/>
      <c r="BH15" s="174"/>
      <c r="BI15" s="177"/>
      <c r="BJ15" s="174"/>
      <c r="BK15" s="174"/>
      <c r="BL15" s="17"/>
      <c r="BM15" s="6"/>
      <c r="BN15" s="6"/>
      <c r="BO15" s="6"/>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4"/>
      <c r="CM15" s="4"/>
      <c r="CN15" s="4"/>
      <c r="CO15" s="4"/>
      <c r="CP15" s="4"/>
      <c r="CQ15" s="4"/>
      <c r="CR15" s="4"/>
      <c r="CS15" s="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74"/>
      <c r="AX16" s="174"/>
      <c r="AY16" s="174"/>
      <c r="AZ16" s="174"/>
      <c r="BA16" s="174"/>
      <c r="BB16" s="174"/>
      <c r="BC16" s="174"/>
      <c r="BD16" s="174"/>
      <c r="BE16" s="174"/>
      <c r="BF16" s="174"/>
      <c r="BG16" s="14"/>
      <c r="BH16" s="174"/>
      <c r="BI16" s="177"/>
      <c r="BJ16" s="174"/>
      <c r="BK16" s="174"/>
      <c r="BL16" s="17"/>
      <c r="BM16" s="6"/>
      <c r="BN16" s="6"/>
      <c r="BO16" s="6"/>
      <c r="BP16" s="18"/>
      <c r="BQ16" s="18"/>
      <c r="BR16" s="174"/>
      <c r="BS16" s="174"/>
      <c r="BT16" s="174"/>
      <c r="BU16" s="174"/>
      <c r="BV16" s="174"/>
      <c r="BW16" s="174"/>
      <c r="BX16" s="174"/>
      <c r="BY16" s="174"/>
      <c r="BZ16" s="174"/>
      <c r="CA16" s="174"/>
      <c r="CB16" s="174"/>
      <c r="CC16" s="174"/>
      <c r="CD16" s="174"/>
      <c r="CE16" s="174"/>
      <c r="CF16" s="174"/>
      <c r="CG16" s="174"/>
      <c r="CH16" s="174"/>
      <c r="CI16" s="174"/>
      <c r="CJ16" s="174"/>
      <c r="CK16" s="174"/>
      <c r="CL16" s="4"/>
      <c r="CM16" s="4"/>
      <c r="CN16" s="4"/>
      <c r="CO16" s="4"/>
      <c r="CP16" s="4"/>
      <c r="CQ16" s="4"/>
      <c r="CR16" s="4"/>
      <c r="CS16" s="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32"/>
      <c r="F17" s="26"/>
      <c r="G17" s="26"/>
      <c r="H17" s="26"/>
      <c r="I17" s="26"/>
      <c r="J17" s="26"/>
      <c r="K17" s="26"/>
      <c r="L17" s="26"/>
      <c r="M17" s="26"/>
      <c r="N17" s="26"/>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J17" s="174"/>
      <c r="BK17" s="174"/>
      <c r="BL17" s="17"/>
      <c r="BM17" s="6"/>
      <c r="BN17" s="6"/>
      <c r="BO17" s="6"/>
      <c r="BP17" s="18"/>
      <c r="BQ17" s="18"/>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26"/>
      <c r="F18" s="26"/>
      <c r="G18" s="26"/>
      <c r="H18" s="26"/>
      <c r="I18" s="26"/>
      <c r="J18" s="26"/>
      <c r="K18" s="26"/>
      <c r="L18" s="26"/>
      <c r="M18" s="26"/>
      <c r="N18" s="26"/>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74"/>
      <c r="AX18" s="174"/>
      <c r="AY18" s="174"/>
      <c r="AZ18" s="174"/>
      <c r="BA18" s="174"/>
      <c r="BB18" s="174"/>
      <c r="BC18" s="174"/>
      <c r="BD18" s="174"/>
      <c r="BE18" s="174"/>
      <c r="BF18" s="174"/>
      <c r="BG18" s="174"/>
      <c r="BH18" s="174"/>
      <c r="BI18" s="177"/>
      <c r="BJ18" s="174"/>
      <c r="BK18" s="174"/>
      <c r="BL18" s="17"/>
      <c r="BM18" s="6"/>
      <c r="BN18" s="6"/>
      <c r="BO18" s="6"/>
      <c r="BP18" s="18"/>
      <c r="BQ18" s="18"/>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26"/>
      <c r="F19" s="26"/>
      <c r="G19" s="26"/>
      <c r="H19" s="26"/>
      <c r="I19" s="26"/>
      <c r="J19" s="26"/>
      <c r="K19" s="26"/>
      <c r="L19" s="26"/>
      <c r="M19" s="26"/>
      <c r="N19" s="26"/>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74"/>
      <c r="AX19" s="174"/>
      <c r="AY19" s="174"/>
      <c r="AZ19" s="174"/>
      <c r="BA19" s="174"/>
      <c r="BB19" s="174"/>
      <c r="BC19" s="174"/>
      <c r="BD19" s="174"/>
      <c r="BE19" s="174"/>
      <c r="BF19" s="174"/>
      <c r="BG19" s="174"/>
      <c r="BH19" s="174"/>
      <c r="BI19" s="177"/>
      <c r="BJ19" s="174"/>
      <c r="BK19" s="174"/>
      <c r="BL19" s="17"/>
      <c r="BM19" s="6"/>
      <c r="BN19" s="6"/>
      <c r="BO19" s="6"/>
      <c r="BP19" s="18"/>
      <c r="BQ19" s="18"/>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27"/>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74"/>
      <c r="AX20" s="174"/>
      <c r="AY20" s="174"/>
      <c r="AZ20" s="174"/>
      <c r="BA20" s="174"/>
      <c r="BB20" s="174"/>
      <c r="BC20" s="174"/>
      <c r="BD20" s="174"/>
      <c r="BE20" s="174"/>
      <c r="BF20" s="174"/>
      <c r="BG20" s="174"/>
      <c r="BH20" s="174"/>
      <c r="BI20" s="177"/>
      <c r="BJ20" s="174"/>
      <c r="BK20" s="174"/>
      <c r="BL20" s="17"/>
      <c r="BM20" s="6"/>
      <c r="BN20" s="6"/>
      <c r="BO20" s="6"/>
      <c r="BP20" s="18"/>
      <c r="BQ20" s="18"/>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74"/>
      <c r="AX21" s="174"/>
      <c r="AY21" s="174"/>
      <c r="AZ21" s="174"/>
      <c r="BA21" s="174"/>
      <c r="BB21" s="174"/>
      <c r="BC21" s="174"/>
      <c r="BD21" s="174"/>
      <c r="BE21" s="174"/>
      <c r="BF21" s="174"/>
      <c r="BG21" s="174"/>
      <c r="BH21" s="174"/>
      <c r="BI21" s="177"/>
      <c r="BJ21" s="174"/>
      <c r="BK21" s="174"/>
      <c r="BL21" s="17"/>
      <c r="BM21" s="6"/>
      <c r="BN21" s="6"/>
      <c r="BO21" s="6"/>
      <c r="BP21" s="18"/>
      <c r="BQ21" s="18"/>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6"/>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74"/>
      <c r="AX22" s="174"/>
      <c r="AY22" s="174"/>
      <c r="AZ22" s="174"/>
      <c r="BA22" s="174"/>
      <c r="BB22" s="174"/>
      <c r="BC22" s="174"/>
      <c r="BD22" s="174"/>
      <c r="BE22" s="174"/>
      <c r="BF22" s="174"/>
      <c r="BG22" s="174"/>
      <c r="BH22" s="174"/>
      <c r="BI22" s="177"/>
      <c r="BJ22" s="174"/>
      <c r="BK22" s="174"/>
      <c r="BL22" s="17"/>
      <c r="BM22" s="6"/>
      <c r="BN22" s="6"/>
      <c r="BO22" s="6"/>
      <c r="BP22" s="18"/>
      <c r="BQ22" s="18"/>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25"/>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7"/>
      <c r="BM23" s="6"/>
      <c r="BN23" s="6"/>
      <c r="BO23" s="6"/>
      <c r="BP23" s="18"/>
      <c r="BQ23" s="18"/>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6"/>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74"/>
      <c r="AR24" s="174"/>
      <c r="AS24" s="174"/>
      <c r="AT24" s="174"/>
      <c r="AU24" s="174"/>
      <c r="AV24" s="174"/>
      <c r="AW24" s="174"/>
      <c r="AX24" s="174"/>
      <c r="AY24" s="174"/>
      <c r="AZ24" s="174"/>
      <c r="BA24" s="174"/>
      <c r="BB24" s="174"/>
      <c r="BC24" s="174"/>
      <c r="BD24" s="174"/>
      <c r="BE24" s="174"/>
      <c r="BF24" s="174"/>
      <c r="BG24" s="14"/>
      <c r="BH24" s="174"/>
      <c r="BI24" s="177"/>
      <c r="BJ24" s="174"/>
      <c r="BK24" s="174"/>
      <c r="BL24" s="17"/>
      <c r="BM24" s="6"/>
      <c r="BN24" s="6"/>
      <c r="BO24" s="6"/>
      <c r="BP24" s="18"/>
      <c r="BQ24" s="18"/>
      <c r="BR24" s="174"/>
      <c r="BS24" s="174"/>
      <c r="BT24" s="174"/>
      <c r="BU24" s="174"/>
      <c r="BV24" s="174"/>
      <c r="BW24" s="174"/>
      <c r="BX24" s="174"/>
      <c r="BY24" s="174"/>
      <c r="BZ24" s="174"/>
      <c r="CA24" s="174"/>
      <c r="CB24" s="174"/>
      <c r="CC24" s="174"/>
      <c r="CD24" s="174"/>
      <c r="CE24" s="174"/>
      <c r="CF24" s="174"/>
      <c r="CG24" s="174"/>
      <c r="CH24" s="174"/>
      <c r="CI24" s="174"/>
      <c r="CJ24" s="1096"/>
      <c r="CK24" s="1097"/>
      <c r="CL24" s="1097"/>
      <c r="CM24" s="1097"/>
      <c r="CN24" s="1097"/>
      <c r="CO24" s="1097"/>
      <c r="CP24" s="1097"/>
      <c r="CQ24" s="1097"/>
      <c r="CR24" s="1097"/>
      <c r="CS24" s="1097"/>
      <c r="CT24" s="1097"/>
      <c r="CU24" s="1098"/>
      <c r="CV24" s="174"/>
      <c r="CW24" s="174"/>
      <c r="CX24" s="16"/>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74"/>
      <c r="AR25" s="174"/>
      <c r="AS25" s="174"/>
      <c r="AT25" s="174"/>
      <c r="AU25" s="174"/>
      <c r="AV25" s="174"/>
      <c r="AW25" s="174"/>
      <c r="AX25" s="174"/>
      <c r="AY25" s="174"/>
      <c r="AZ25" s="174"/>
      <c r="BA25" s="174"/>
      <c r="BB25" s="174"/>
      <c r="BC25" s="174"/>
      <c r="BD25" s="174"/>
      <c r="BE25" s="174"/>
      <c r="BF25" s="174"/>
      <c r="BG25" s="17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099"/>
      <c r="CK25" s="1068"/>
      <c r="CL25" s="1068"/>
      <c r="CM25" s="1068"/>
      <c r="CN25" s="1068"/>
      <c r="CO25" s="1068"/>
      <c r="CP25" s="1068"/>
      <c r="CQ25" s="1068"/>
      <c r="CR25" s="1068"/>
      <c r="CS25" s="1068"/>
      <c r="CT25" s="1068"/>
      <c r="CU25" s="1069"/>
      <c r="CV25" s="174"/>
      <c r="CW25" s="174"/>
      <c r="CX25" s="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74"/>
      <c r="AR26" s="174"/>
      <c r="AS26" s="174"/>
      <c r="AT26" s="174"/>
      <c r="AU26" s="174"/>
      <c r="AV26" s="174"/>
      <c r="AW26" s="174"/>
      <c r="AX26" s="174"/>
      <c r="AY26" s="174"/>
      <c r="AZ26" s="174"/>
      <c r="BA26" s="174"/>
      <c r="BB26" s="174"/>
      <c r="BC26" s="174"/>
      <c r="BD26" s="174"/>
      <c r="BE26" s="174"/>
      <c r="BF26" s="174"/>
      <c r="BG26" s="17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4"/>
      <c r="CH26" s="4"/>
      <c r="CI26" s="174"/>
      <c r="CJ26" s="1099"/>
      <c r="CK26" s="1068"/>
      <c r="CL26" s="1068"/>
      <c r="CM26" s="1068"/>
      <c r="CN26" s="1068"/>
      <c r="CO26" s="1068"/>
      <c r="CP26" s="1068"/>
      <c r="CQ26" s="1068"/>
      <c r="CR26" s="1068"/>
      <c r="CS26" s="1068"/>
      <c r="CT26" s="1068"/>
      <c r="CU26" s="1069"/>
      <c r="CV26" s="4"/>
      <c r="CW26" s="4"/>
      <c r="CX26" s="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728">
        <f>CL37</f>
        <v>2050.105263157895</v>
      </c>
      <c r="AR27" s="861"/>
      <c r="AS27" s="861"/>
      <c r="AT27" s="861"/>
      <c r="AU27" s="861"/>
      <c r="AV27" s="861"/>
      <c r="AW27" s="861"/>
      <c r="AX27" s="861"/>
      <c r="AY27" s="861"/>
      <c r="AZ27" s="862"/>
      <c r="BA27" s="174"/>
      <c r="BB27" s="174"/>
      <c r="BC27" s="174"/>
      <c r="BD27" s="174"/>
      <c r="BE27" s="174"/>
      <c r="BF27" s="174"/>
      <c r="BG27" s="17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4"/>
      <c r="CH27" s="4"/>
      <c r="CI27" s="174"/>
      <c r="CJ27" s="1099"/>
      <c r="CK27" s="1068"/>
      <c r="CL27" s="1068"/>
      <c r="CM27" s="1068"/>
      <c r="CN27" s="1068"/>
      <c r="CO27" s="1068"/>
      <c r="CP27" s="1068"/>
      <c r="CQ27" s="1068"/>
      <c r="CR27" s="1068"/>
      <c r="CS27" s="1068"/>
      <c r="CT27" s="1068"/>
      <c r="CU27" s="1069"/>
      <c r="CV27" s="4"/>
      <c r="CW27" s="4"/>
      <c r="CX27" s="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728">
        <f>BU37</f>
        <v>473.15789473684214</v>
      </c>
      <c r="H28" s="861"/>
      <c r="I28" s="861"/>
      <c r="J28" s="861"/>
      <c r="K28" s="861"/>
      <c r="L28" s="861"/>
      <c r="M28" s="861"/>
      <c r="N28" s="861"/>
      <c r="O28" s="861"/>
      <c r="P28" s="862"/>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863"/>
      <c r="AR28" s="864"/>
      <c r="AS28" s="864"/>
      <c r="AT28" s="864"/>
      <c r="AU28" s="864"/>
      <c r="AV28" s="864"/>
      <c r="AW28" s="864"/>
      <c r="AX28" s="864"/>
      <c r="AY28" s="864"/>
      <c r="AZ28" s="865"/>
      <c r="BA28" s="174"/>
      <c r="BB28" s="174"/>
      <c r="BC28" s="174"/>
      <c r="BD28" s="174"/>
      <c r="BE28" s="174"/>
      <c r="BF28" s="174"/>
      <c r="BG28" s="174"/>
      <c r="BH28" s="174"/>
      <c r="BI28" s="177"/>
      <c r="BJ28" s="174"/>
      <c r="BK28" s="174"/>
      <c r="BL28" s="1"/>
      <c r="BM28" s="174"/>
      <c r="BN28" s="174"/>
      <c r="BO28" s="174"/>
      <c r="BP28" s="174"/>
      <c r="BQ28" s="174"/>
      <c r="BR28" s="174"/>
      <c r="BS28" s="174"/>
      <c r="BT28" s="1144">
        <f>DM34</f>
        <v>3</v>
      </c>
      <c r="BU28" s="1147">
        <f>DN34+CM44</f>
        <v>0</v>
      </c>
      <c r="BV28" s="1147" t="s">
        <v>99</v>
      </c>
      <c r="BW28" s="1134"/>
      <c r="BX28" s="1134"/>
      <c r="BY28" s="1134"/>
      <c r="BZ28" s="1135"/>
      <c r="CA28" s="174"/>
      <c r="CB28" s="174"/>
      <c r="CC28" s="174"/>
      <c r="CD28" s="174"/>
      <c r="CE28" s="174"/>
      <c r="CF28" s="174"/>
      <c r="CG28" s="4"/>
      <c r="CH28" s="4"/>
      <c r="CI28" s="174"/>
      <c r="CJ28" s="1152" t="s">
        <v>99</v>
      </c>
      <c r="CK28" s="1125"/>
      <c r="CL28" s="1125"/>
      <c r="CM28" s="1125" t="s">
        <v>99</v>
      </c>
      <c r="CN28" s="1125"/>
      <c r="CO28" s="1125"/>
      <c r="CP28" s="1125" t="s">
        <v>99</v>
      </c>
      <c r="CQ28" s="1125"/>
      <c r="CR28" s="1125"/>
      <c r="CS28" s="1125" t="s">
        <v>99</v>
      </c>
      <c r="CT28" s="1125"/>
      <c r="CU28" s="1126"/>
      <c r="CV28" s="4"/>
      <c r="CW28" s="4"/>
      <c r="CX28" s="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863"/>
      <c r="H29" s="864"/>
      <c r="I29" s="864"/>
      <c r="J29" s="864"/>
      <c r="K29" s="864"/>
      <c r="L29" s="864"/>
      <c r="M29" s="864"/>
      <c r="N29" s="864"/>
      <c r="O29" s="864"/>
      <c r="P29" s="865"/>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866"/>
      <c r="AR29" s="867"/>
      <c r="AS29" s="867"/>
      <c r="AT29" s="867"/>
      <c r="AU29" s="867"/>
      <c r="AV29" s="867"/>
      <c r="AW29" s="867"/>
      <c r="AX29" s="867"/>
      <c r="AY29" s="867"/>
      <c r="AZ29" s="868"/>
      <c r="BA29" s="174"/>
      <c r="BB29" s="174"/>
      <c r="BC29" s="174"/>
      <c r="BD29" s="174"/>
      <c r="BE29" s="174"/>
      <c r="BF29" s="174"/>
      <c r="BG29" s="174"/>
      <c r="BH29" s="174"/>
      <c r="BI29" s="177"/>
      <c r="BJ29" s="174"/>
      <c r="BK29" s="174"/>
      <c r="BL29" s="1"/>
      <c r="BM29" s="174"/>
      <c r="BN29" s="174"/>
      <c r="BO29" s="174"/>
      <c r="BP29" s="174"/>
      <c r="BQ29" s="174"/>
      <c r="BR29" s="174"/>
      <c r="BS29" s="174"/>
      <c r="BT29" s="1145"/>
      <c r="BU29" s="1148"/>
      <c r="BV29" s="1148"/>
      <c r="BW29" s="1136"/>
      <c r="BX29" s="1136"/>
      <c r="BY29" s="1136"/>
      <c r="BZ29" s="1137"/>
      <c r="CA29" s="174"/>
      <c r="CB29" s="174"/>
      <c r="CC29" s="174"/>
      <c r="CD29" s="174"/>
      <c r="CE29" s="174"/>
      <c r="CF29" s="174"/>
      <c r="CG29" s="174"/>
      <c r="CH29" s="174"/>
      <c r="CI29" s="174"/>
      <c r="CJ29" s="1127">
        <f>SBR_Master</f>
        <v>0</v>
      </c>
      <c r="CK29" s="1128"/>
      <c r="CL29" s="1128"/>
      <c r="CM29" s="1128">
        <f>SBT_Master</f>
        <v>1447</v>
      </c>
      <c r="CN29" s="1128"/>
      <c r="CO29" s="1128"/>
      <c r="CP29" s="1128">
        <f>SBL_Master</f>
        <v>607</v>
      </c>
      <c r="CQ29" s="1128"/>
      <c r="CR29" s="1128"/>
      <c r="CS29" s="1128">
        <f>SBU_Master</f>
        <v>0</v>
      </c>
      <c r="CT29" s="1128"/>
      <c r="CU29" s="1129"/>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866"/>
      <c r="H30" s="867"/>
      <c r="I30" s="867"/>
      <c r="J30" s="867"/>
      <c r="K30" s="867"/>
      <c r="L30" s="867"/>
      <c r="M30" s="867"/>
      <c r="N30" s="867"/>
      <c r="O30" s="867"/>
      <c r="P30" s="868"/>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713">
        <f>ROUND(AQ27/CLV_Limit,2)</f>
        <v>1.28</v>
      </c>
      <c r="AR30" s="714"/>
      <c r="AS30" s="714"/>
      <c r="AT30" s="714"/>
      <c r="AU30" s="715"/>
      <c r="AV30" s="722" t="s">
        <v>100</v>
      </c>
      <c r="AW30" s="722"/>
      <c r="AX30" s="722"/>
      <c r="AY30" s="722"/>
      <c r="AZ30" s="723"/>
      <c r="BA30" s="174"/>
      <c r="BB30" s="174"/>
      <c r="BC30" s="174"/>
      <c r="BD30" s="174"/>
      <c r="BE30" s="174"/>
      <c r="BF30" s="174"/>
      <c r="BG30" s="174"/>
      <c r="BH30" s="174"/>
      <c r="BI30" s="177"/>
      <c r="BJ30" s="174"/>
      <c r="BK30" s="174"/>
      <c r="BL30" s="1"/>
      <c r="BM30" s="174"/>
      <c r="BN30" s="174"/>
      <c r="BO30" s="174"/>
      <c r="BP30" s="174"/>
      <c r="BQ30" s="174"/>
      <c r="BR30" s="174"/>
      <c r="BS30" s="174"/>
      <c r="BT30" s="1146"/>
      <c r="BU30" s="1149"/>
      <c r="BV30" s="1149"/>
      <c r="BW30" s="1150"/>
      <c r="BX30" s="1150"/>
      <c r="BY30" s="1150"/>
      <c r="BZ30" s="1151"/>
      <c r="CA30" s="174"/>
      <c r="CB30" s="174"/>
      <c r="CC30" s="174"/>
      <c r="CD30" s="174"/>
      <c r="CE30" s="174"/>
      <c r="CF30" s="174"/>
      <c r="CG30" s="174"/>
      <c r="CH30" s="174"/>
      <c r="CI30" s="174"/>
      <c r="CJ30" s="928">
        <v>1</v>
      </c>
      <c r="CK30" s="929"/>
      <c r="CL30" s="929"/>
      <c r="CM30" s="929">
        <v>2</v>
      </c>
      <c r="CN30" s="929"/>
      <c r="CO30" s="929"/>
      <c r="CP30" s="929">
        <v>1</v>
      </c>
      <c r="CQ30" s="929"/>
      <c r="CR30" s="929"/>
      <c r="CS30" s="1010"/>
      <c r="CT30" s="1010"/>
      <c r="CU30" s="1011"/>
      <c r="CV30" s="174"/>
      <c r="CW30" s="174"/>
      <c r="CX30" s="174"/>
      <c r="CY30" s="174"/>
      <c r="CZ30" s="174"/>
      <c r="DA30" s="174"/>
      <c r="DB30" s="174"/>
      <c r="DC30" s="174"/>
      <c r="DD30" s="174"/>
      <c r="DE30" s="174"/>
      <c r="DF30" s="174"/>
      <c r="DG30" s="174"/>
      <c r="DH30" s="174"/>
      <c r="DI30" s="174"/>
      <c r="DJ30" s="174"/>
      <c r="DK30" s="174"/>
      <c r="DL30" s="174"/>
      <c r="DM30" s="168"/>
      <c r="DN30" s="174"/>
      <c r="DO30" s="174"/>
      <c r="DP30" s="174"/>
      <c r="DQ30" s="174"/>
      <c r="DR30" s="174"/>
      <c r="DS30" s="177"/>
    </row>
    <row r="31" spans="2:123" ht="9.9499999999999993" customHeight="1">
      <c r="B31" s="1"/>
      <c r="C31" s="174"/>
      <c r="D31" s="174"/>
      <c r="E31" s="174"/>
      <c r="F31" s="174"/>
      <c r="G31" s="713">
        <f>ROUND(G28/CLV_Limit,2)</f>
        <v>0.3</v>
      </c>
      <c r="H31" s="714"/>
      <c r="I31" s="714"/>
      <c r="J31" s="714"/>
      <c r="K31" s="715"/>
      <c r="L31" s="722" t="s">
        <v>100</v>
      </c>
      <c r="M31" s="722"/>
      <c r="N31" s="722"/>
      <c r="O31" s="722"/>
      <c r="P31" s="723"/>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716"/>
      <c r="AR31" s="717"/>
      <c r="AS31" s="717"/>
      <c r="AT31" s="717"/>
      <c r="AU31" s="718"/>
      <c r="AV31" s="724"/>
      <c r="AW31" s="724"/>
      <c r="AX31" s="724"/>
      <c r="AY31" s="724"/>
      <c r="AZ31" s="725"/>
      <c r="BA31" s="14"/>
      <c r="BB31" s="14"/>
      <c r="BC31" s="14"/>
      <c r="BD31" s="14"/>
      <c r="BE31" s="14"/>
      <c r="BF31" s="14"/>
      <c r="BG31" s="14"/>
      <c r="BH31" s="174"/>
      <c r="BI31" s="177"/>
      <c r="BJ31" s="174"/>
      <c r="BK31" s="174"/>
      <c r="BL31" s="1138"/>
      <c r="BM31" s="1134"/>
      <c r="BN31" s="1134"/>
      <c r="BO31" s="1134"/>
      <c r="BP31" s="1140" t="s">
        <v>99</v>
      </c>
      <c r="BQ31" s="1142">
        <f>EBU_Master</f>
        <v>0</v>
      </c>
      <c r="BR31" s="1088"/>
      <c r="BS31" s="175"/>
      <c r="BT31" s="65"/>
      <c r="BU31" s="109"/>
      <c r="BV31" s="109"/>
      <c r="BW31" s="109"/>
      <c r="BX31" s="109"/>
      <c r="BY31" s="109"/>
      <c r="BZ31" s="109"/>
      <c r="CA31" s="175"/>
      <c r="CB31" s="175"/>
      <c r="CC31" s="175"/>
      <c r="CD31" s="176"/>
      <c r="CE31" s="174"/>
      <c r="CF31" s="174"/>
      <c r="CG31" s="174"/>
      <c r="CH31" s="174"/>
      <c r="CI31" s="174"/>
      <c r="CJ31" s="56"/>
      <c r="CK31" s="67"/>
      <c r="CL31" s="175"/>
      <c r="CM31" s="175"/>
      <c r="CN31" s="175"/>
      <c r="CO31" s="175"/>
      <c r="CP31" s="175"/>
      <c r="CQ31" s="175"/>
      <c r="CR31" s="175"/>
      <c r="CS31" s="175"/>
      <c r="CT31" s="175"/>
      <c r="CU31" s="176"/>
      <c r="CV31" s="174"/>
      <c r="CW31" s="174"/>
      <c r="CX31" s="174"/>
      <c r="CY31" s="174"/>
      <c r="CZ31" s="174"/>
      <c r="DA31" s="56"/>
      <c r="DB31" s="67"/>
      <c r="DC31" s="175"/>
      <c r="DD31" s="175"/>
      <c r="DE31" s="175"/>
      <c r="DF31" s="175"/>
      <c r="DG31" s="175"/>
      <c r="DH31" s="175"/>
      <c r="DI31" s="175"/>
      <c r="DJ31" s="175"/>
      <c r="DK31" s="175"/>
      <c r="DL31" s="176"/>
      <c r="DM31" s="1090">
        <v>1</v>
      </c>
      <c r="DN31" s="1130">
        <f>WBR_Master</f>
        <v>625</v>
      </c>
      <c r="DO31" s="1132" t="s">
        <v>99</v>
      </c>
      <c r="DP31" s="1134"/>
      <c r="DQ31" s="1134"/>
      <c r="DR31" s="1134"/>
      <c r="DS31" s="1135"/>
    </row>
    <row r="32" spans="2:123" ht="9.9499999999999993" customHeight="1" thickBot="1">
      <c r="B32" s="1"/>
      <c r="C32" s="174"/>
      <c r="D32" s="174"/>
      <c r="E32" s="174"/>
      <c r="F32" s="174"/>
      <c r="G32" s="716"/>
      <c r="H32" s="717"/>
      <c r="I32" s="717"/>
      <c r="J32" s="717"/>
      <c r="K32" s="718"/>
      <c r="L32" s="724"/>
      <c r="M32" s="724"/>
      <c r="N32" s="724"/>
      <c r="O32" s="724"/>
      <c r="P32" s="725"/>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719"/>
      <c r="AR32" s="720"/>
      <c r="AS32" s="720"/>
      <c r="AT32" s="720"/>
      <c r="AU32" s="721"/>
      <c r="AV32" s="726"/>
      <c r="AW32" s="726"/>
      <c r="AX32" s="726"/>
      <c r="AY32" s="726"/>
      <c r="AZ32" s="727"/>
      <c r="BA32" s="174"/>
      <c r="BB32" s="174"/>
      <c r="BC32" s="174"/>
      <c r="BD32" s="174"/>
      <c r="BE32" s="174"/>
      <c r="BF32" s="174"/>
      <c r="BG32" s="14"/>
      <c r="BH32" s="174"/>
      <c r="BI32" s="177"/>
      <c r="BJ32" s="174"/>
      <c r="BK32" s="174"/>
      <c r="BL32" s="1139"/>
      <c r="BM32" s="1136"/>
      <c r="BN32" s="1136"/>
      <c r="BO32" s="1136"/>
      <c r="BP32" s="1141"/>
      <c r="BQ32" s="1143"/>
      <c r="BR32" s="1089"/>
      <c r="BS32" s="109"/>
      <c r="BT32" s="65"/>
      <c r="BU32" s="109"/>
      <c r="BV32" s="109"/>
      <c r="BW32" s="109"/>
      <c r="BX32" s="109"/>
      <c r="BY32" s="109"/>
      <c r="BZ32" s="109"/>
      <c r="CA32" s="109"/>
      <c r="CB32" s="109"/>
      <c r="CC32" s="109"/>
      <c r="CD32" s="60"/>
      <c r="CE32" s="174"/>
      <c r="CF32" s="174"/>
      <c r="CG32" s="174"/>
      <c r="CH32" s="174"/>
      <c r="CI32" s="174"/>
      <c r="CJ32" s="58"/>
      <c r="CK32" s="65"/>
      <c r="CL32" s="109"/>
      <c r="CM32" s="109"/>
      <c r="CN32" s="109"/>
      <c r="CO32" s="109"/>
      <c r="CP32" s="109"/>
      <c r="CQ32" s="109"/>
      <c r="CR32" s="109"/>
      <c r="CS32" s="109"/>
      <c r="CT32" s="109"/>
      <c r="CU32" s="60"/>
      <c r="CV32" s="174"/>
      <c r="CW32" s="174"/>
      <c r="CX32" s="174"/>
      <c r="CY32" s="174"/>
      <c r="CZ32" s="174"/>
      <c r="DA32" s="58"/>
      <c r="DB32" s="65"/>
      <c r="DC32" s="109"/>
      <c r="DD32" s="109"/>
      <c r="DE32" s="109"/>
      <c r="DF32" s="109"/>
      <c r="DG32" s="109"/>
      <c r="DH32" s="109"/>
      <c r="DI32" s="109"/>
      <c r="DJ32" s="109"/>
      <c r="DK32" s="109"/>
      <c r="DL32" s="60"/>
      <c r="DM32" s="1082"/>
      <c r="DN32" s="1131"/>
      <c r="DO32" s="1133"/>
      <c r="DP32" s="1136"/>
      <c r="DQ32" s="1136"/>
      <c r="DR32" s="1136"/>
      <c r="DS32" s="1137"/>
    </row>
    <row r="33" spans="2:123" ht="9.9499999999999993" customHeight="1" thickBot="1">
      <c r="B33" s="1"/>
      <c r="C33" s="174"/>
      <c r="D33" s="174"/>
      <c r="E33" s="174"/>
      <c r="F33" s="174"/>
      <c r="G33" s="719"/>
      <c r="H33" s="720"/>
      <c r="I33" s="720"/>
      <c r="J33" s="720"/>
      <c r="K33" s="721"/>
      <c r="L33" s="726"/>
      <c r="M33" s="726"/>
      <c r="N33" s="726"/>
      <c r="O33" s="726"/>
      <c r="P33" s="727"/>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139"/>
      <c r="BM33" s="1136"/>
      <c r="BN33" s="1136"/>
      <c r="BO33" s="1136"/>
      <c r="BP33" s="1141"/>
      <c r="BQ33" s="1143"/>
      <c r="BR33" s="1089"/>
      <c r="BS33" s="109"/>
      <c r="BT33" s="65"/>
      <c r="BU33" s="109"/>
      <c r="BV33" s="109"/>
      <c r="BW33" s="109"/>
      <c r="BX33" s="109"/>
      <c r="BY33" s="109"/>
      <c r="BZ33" s="109"/>
      <c r="CA33" s="109"/>
      <c r="CB33" s="109"/>
      <c r="CC33" s="109"/>
      <c r="CD33" s="60"/>
      <c r="CE33" s="174"/>
      <c r="CF33" s="174"/>
      <c r="CG33" s="174"/>
      <c r="CH33" s="174"/>
      <c r="CI33" s="174"/>
      <c r="CJ33" s="58"/>
      <c r="CK33" s="65"/>
      <c r="CL33" s="109"/>
      <c r="CM33" s="109"/>
      <c r="CN33" s="109"/>
      <c r="CO33" s="109"/>
      <c r="CP33" s="109"/>
      <c r="CQ33" s="109"/>
      <c r="CR33" s="109"/>
      <c r="CS33" s="109"/>
      <c r="CT33" s="109"/>
      <c r="CU33" s="60"/>
      <c r="CV33" s="174"/>
      <c r="CW33" s="174"/>
      <c r="CX33" s="174"/>
      <c r="CY33" s="174"/>
      <c r="CZ33" s="174"/>
      <c r="DA33" s="58"/>
      <c r="DB33" s="65"/>
      <c r="DC33" s="109"/>
      <c r="DD33" s="109"/>
      <c r="DE33" s="109"/>
      <c r="DF33" s="109"/>
      <c r="DG33" s="109"/>
      <c r="DH33" s="109"/>
      <c r="DI33" s="109"/>
      <c r="DJ33" s="109"/>
      <c r="DK33" s="109"/>
      <c r="DL33" s="60"/>
      <c r="DM33" s="1082"/>
      <c r="DN33" s="1131"/>
      <c r="DO33" s="1133"/>
      <c r="DP33" s="1136"/>
      <c r="DQ33" s="1136"/>
      <c r="DR33" s="1136"/>
      <c r="DS33" s="113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139"/>
      <c r="BM34" s="1136"/>
      <c r="BN34" s="1136"/>
      <c r="BO34" s="1136"/>
      <c r="BP34" s="1141" t="s">
        <v>99</v>
      </c>
      <c r="BQ34" s="1143">
        <f>EBL_Master</f>
        <v>899</v>
      </c>
      <c r="BR34" s="1081">
        <v>2</v>
      </c>
      <c r="BS34" s="109"/>
      <c r="BT34" s="109"/>
      <c r="BU34" s="763"/>
      <c r="BV34" s="764"/>
      <c r="BW34" s="764"/>
      <c r="BX34" s="764"/>
      <c r="BY34" s="764"/>
      <c r="BZ34" s="764"/>
      <c r="CA34" s="764"/>
      <c r="CB34" s="771"/>
      <c r="CC34" s="109"/>
      <c r="CD34" s="60"/>
      <c r="CE34" s="174"/>
      <c r="CF34" s="174"/>
      <c r="CG34" s="174"/>
      <c r="CH34" s="174"/>
      <c r="CI34" s="174"/>
      <c r="CJ34" s="58"/>
      <c r="CK34" s="109"/>
      <c r="CL34" s="763"/>
      <c r="CM34" s="764"/>
      <c r="CN34" s="764"/>
      <c r="CO34" s="764"/>
      <c r="CP34" s="764"/>
      <c r="CQ34" s="764"/>
      <c r="CR34" s="764"/>
      <c r="CS34" s="771"/>
      <c r="CT34" s="109"/>
      <c r="CU34" s="60"/>
      <c r="CV34" s="174"/>
      <c r="CW34" s="174"/>
      <c r="CX34" s="174"/>
      <c r="CY34" s="174"/>
      <c r="CZ34" s="174"/>
      <c r="DA34" s="58"/>
      <c r="DB34" s="109"/>
      <c r="DC34" s="763"/>
      <c r="DD34" s="764"/>
      <c r="DE34" s="764"/>
      <c r="DF34" s="764"/>
      <c r="DG34" s="764"/>
      <c r="DH34" s="764"/>
      <c r="DI34" s="764"/>
      <c r="DJ34" s="771"/>
      <c r="DK34" s="109"/>
      <c r="DL34" s="60"/>
      <c r="DM34" s="1082">
        <v>3</v>
      </c>
      <c r="DN34" s="1131">
        <f>WBT_Master</f>
        <v>0</v>
      </c>
      <c r="DO34" s="1133" t="s">
        <v>99</v>
      </c>
      <c r="DP34" s="1136"/>
      <c r="DQ34" s="1136"/>
      <c r="DR34" s="1136"/>
      <c r="DS34" s="113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139"/>
      <c r="BM35" s="1136"/>
      <c r="BN35" s="1136"/>
      <c r="BO35" s="1136"/>
      <c r="BP35" s="1141"/>
      <c r="BQ35" s="1143"/>
      <c r="BR35" s="1081"/>
      <c r="BS35" s="109"/>
      <c r="BT35" s="109"/>
      <c r="BU35" s="766"/>
      <c r="BV35" s="767"/>
      <c r="BW35" s="767"/>
      <c r="BX35" s="767"/>
      <c r="BY35" s="767"/>
      <c r="BZ35" s="767"/>
      <c r="CA35" s="767"/>
      <c r="CB35" s="772"/>
      <c r="CC35" s="109"/>
      <c r="CD35" s="60"/>
      <c r="CE35" s="174"/>
      <c r="CF35" s="174"/>
      <c r="CG35" s="174"/>
      <c r="CH35" s="174"/>
      <c r="CI35" s="174"/>
      <c r="CJ35" s="58"/>
      <c r="CK35" s="109"/>
      <c r="CL35" s="766"/>
      <c r="CM35" s="767"/>
      <c r="CN35" s="767"/>
      <c r="CO35" s="767"/>
      <c r="CP35" s="767"/>
      <c r="CQ35" s="767"/>
      <c r="CR35" s="767"/>
      <c r="CS35" s="772"/>
      <c r="CT35" s="109"/>
      <c r="CU35" s="60"/>
      <c r="CV35" s="174"/>
      <c r="CW35" s="174"/>
      <c r="CX35" s="174"/>
      <c r="CY35" s="174"/>
      <c r="CZ35" s="174"/>
      <c r="DA35" s="58"/>
      <c r="DB35" s="109"/>
      <c r="DC35" s="766"/>
      <c r="DD35" s="767"/>
      <c r="DE35" s="767"/>
      <c r="DF35" s="767"/>
      <c r="DG35" s="767"/>
      <c r="DH35" s="767"/>
      <c r="DI35" s="767"/>
      <c r="DJ35" s="772"/>
      <c r="DK35" s="109"/>
      <c r="DL35" s="60"/>
      <c r="DM35" s="1082"/>
      <c r="DN35" s="1131"/>
      <c r="DO35" s="1133"/>
      <c r="DP35" s="1136"/>
      <c r="DQ35" s="1136"/>
      <c r="DR35" s="1136"/>
      <c r="DS35" s="113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139"/>
      <c r="BM36" s="1136"/>
      <c r="BN36" s="1136"/>
      <c r="BO36" s="1136"/>
      <c r="BP36" s="1141"/>
      <c r="BQ36" s="1143"/>
      <c r="BR36" s="1081"/>
      <c r="BS36" s="109"/>
      <c r="BT36" s="109"/>
      <c r="BU36" s="766"/>
      <c r="BV36" s="767"/>
      <c r="BW36" s="767"/>
      <c r="BX36" s="767"/>
      <c r="BY36" s="767"/>
      <c r="BZ36" s="767"/>
      <c r="CA36" s="767"/>
      <c r="CB36" s="772"/>
      <c r="CC36" s="109"/>
      <c r="CD36" s="60"/>
      <c r="CE36" s="174"/>
      <c r="CF36" s="174"/>
      <c r="CG36" s="174"/>
      <c r="CH36" s="174"/>
      <c r="CI36" s="174"/>
      <c r="CJ36" s="58"/>
      <c r="CK36" s="109"/>
      <c r="CL36" s="766"/>
      <c r="CM36" s="767"/>
      <c r="CN36" s="767"/>
      <c r="CO36" s="767"/>
      <c r="CP36" s="767"/>
      <c r="CQ36" s="767"/>
      <c r="CR36" s="767"/>
      <c r="CS36" s="772"/>
      <c r="CT36" s="109"/>
      <c r="CU36" s="60"/>
      <c r="CV36" s="174"/>
      <c r="CW36" s="174"/>
      <c r="CX36" s="174"/>
      <c r="CY36" s="174"/>
      <c r="CZ36" s="174"/>
      <c r="DA36" s="58"/>
      <c r="DB36" s="109"/>
      <c r="DC36" s="766"/>
      <c r="DD36" s="767"/>
      <c r="DE36" s="767"/>
      <c r="DF36" s="767"/>
      <c r="DG36" s="767"/>
      <c r="DH36" s="767"/>
      <c r="DI36" s="767"/>
      <c r="DJ36" s="772"/>
      <c r="DK36" s="109"/>
      <c r="DL36" s="60"/>
      <c r="DM36" s="1082"/>
      <c r="DN36" s="1131"/>
      <c r="DO36" s="1133"/>
      <c r="DP36" s="1136"/>
      <c r="DQ36" s="1136"/>
      <c r="DR36" s="1136"/>
      <c r="DS36" s="113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139"/>
      <c r="BM37" s="1136"/>
      <c r="BN37" s="1136"/>
      <c r="BO37" s="1136"/>
      <c r="BP37" s="1141" t="s">
        <v>99</v>
      </c>
      <c r="BQ37" s="1143">
        <f>EBT_Master</f>
        <v>0</v>
      </c>
      <c r="BR37" s="1081">
        <v>3</v>
      </c>
      <c r="BS37" s="109"/>
      <c r="BT37" s="109"/>
      <c r="BU37" s="833">
        <f>BQ34/LTAF/BR34 + BU28/BT28</f>
        <v>473.15789473684214</v>
      </c>
      <c r="BV37" s="834"/>
      <c r="BW37" s="834"/>
      <c r="BX37" s="834"/>
      <c r="BY37" s="834"/>
      <c r="BZ37" s="834"/>
      <c r="CA37" s="834"/>
      <c r="CB37" s="835"/>
      <c r="CC37" s="65"/>
      <c r="CD37" s="60"/>
      <c r="CE37" s="174"/>
      <c r="CF37" s="174"/>
      <c r="CG37" s="174"/>
      <c r="CH37" s="174"/>
      <c r="CI37" s="174"/>
      <c r="CJ37" s="58"/>
      <c r="CK37" s="109"/>
      <c r="CL37" s="833">
        <f>MAX(BQ34/LTAF/BR34, BQ37/BR37, ROUND(MAX(0,BQ40/RTAF/BR40-CM44/LTAF/CM43),0), DN37/LTAF/DM37, DN34/DM34, ROUND(MAX(0,DN31/RTAF/DM31-CP29/LTAF/CP30),0))+MAX(CM44/LTAF/CM43 + MAX(CM29/CM30, ROUND(MAX(0,CJ29/RTAF/CJ30-BQ34/LTAF/BR34),0)), CP29/LTAF/CP30 +MAX(CP44/CP43, ROUND(MAX(0,CS44/RTAF/CS43-DN37/LTAF/DM37),0)))</f>
        <v>2050.105263157895</v>
      </c>
      <c r="CM37" s="834"/>
      <c r="CN37" s="834"/>
      <c r="CO37" s="834"/>
      <c r="CP37" s="834"/>
      <c r="CQ37" s="834"/>
      <c r="CR37" s="834"/>
      <c r="CS37" s="835"/>
      <c r="CT37" s="65"/>
      <c r="CU37" s="60"/>
      <c r="CV37" s="174"/>
      <c r="CW37" s="174"/>
      <c r="CX37" s="174"/>
      <c r="CY37" s="174"/>
      <c r="CZ37" s="174"/>
      <c r="DA37" s="58"/>
      <c r="DB37" s="109"/>
      <c r="DC37" s="833">
        <f>DN37/LTAF/DM37+ DI43/DJ43</f>
        <v>511.80701754385973</v>
      </c>
      <c r="DD37" s="834"/>
      <c r="DE37" s="834"/>
      <c r="DF37" s="834"/>
      <c r="DG37" s="834"/>
      <c r="DH37" s="834"/>
      <c r="DI37" s="834"/>
      <c r="DJ37" s="835"/>
      <c r="DK37" s="65"/>
      <c r="DL37" s="60"/>
      <c r="DM37" s="1082">
        <v>2</v>
      </c>
      <c r="DN37" s="1131">
        <f>WBL_Master</f>
        <v>588</v>
      </c>
      <c r="DO37" s="1133" t="s">
        <v>99</v>
      </c>
      <c r="DP37" s="1136"/>
      <c r="DQ37" s="1136"/>
      <c r="DR37" s="1136"/>
      <c r="DS37" s="113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139"/>
      <c r="BM38" s="1136"/>
      <c r="BN38" s="1136"/>
      <c r="BO38" s="1136"/>
      <c r="BP38" s="1141"/>
      <c r="BQ38" s="1143"/>
      <c r="BR38" s="1081"/>
      <c r="BS38" s="109"/>
      <c r="BT38" s="109"/>
      <c r="BU38" s="833"/>
      <c r="BV38" s="834"/>
      <c r="BW38" s="834"/>
      <c r="BX38" s="834"/>
      <c r="BY38" s="834"/>
      <c r="BZ38" s="834"/>
      <c r="CA38" s="834"/>
      <c r="CB38" s="835"/>
      <c r="CC38" s="65"/>
      <c r="CD38" s="60"/>
      <c r="CE38" s="174"/>
      <c r="CF38" s="174"/>
      <c r="CG38" s="174"/>
      <c r="CH38" s="174"/>
      <c r="CI38" s="174"/>
      <c r="CJ38" s="58"/>
      <c r="CK38" s="109"/>
      <c r="CL38" s="833"/>
      <c r="CM38" s="834"/>
      <c r="CN38" s="834"/>
      <c r="CO38" s="834"/>
      <c r="CP38" s="834"/>
      <c r="CQ38" s="834"/>
      <c r="CR38" s="834"/>
      <c r="CS38" s="835"/>
      <c r="CT38" s="65"/>
      <c r="CU38" s="60"/>
      <c r="CV38" s="174"/>
      <c r="CW38" s="174"/>
      <c r="CX38" s="174"/>
      <c r="CY38" s="174"/>
      <c r="CZ38" s="174"/>
      <c r="DA38" s="58"/>
      <c r="DB38" s="109"/>
      <c r="DC38" s="833"/>
      <c r="DD38" s="834"/>
      <c r="DE38" s="834"/>
      <c r="DF38" s="834"/>
      <c r="DG38" s="834"/>
      <c r="DH38" s="834"/>
      <c r="DI38" s="834"/>
      <c r="DJ38" s="835"/>
      <c r="DK38" s="65"/>
      <c r="DL38" s="60"/>
      <c r="DM38" s="1082"/>
      <c r="DN38" s="1131"/>
      <c r="DO38" s="1133"/>
      <c r="DP38" s="1136"/>
      <c r="DQ38" s="1136"/>
      <c r="DR38" s="1136"/>
      <c r="DS38" s="113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139"/>
      <c r="BM39" s="1136"/>
      <c r="BN39" s="1136"/>
      <c r="BO39" s="1136"/>
      <c r="BP39" s="1141"/>
      <c r="BQ39" s="1143"/>
      <c r="BR39" s="1081"/>
      <c r="BS39" s="109"/>
      <c r="BT39" s="109"/>
      <c r="BU39" s="836"/>
      <c r="BV39" s="837"/>
      <c r="BW39" s="837"/>
      <c r="BX39" s="837"/>
      <c r="BY39" s="837"/>
      <c r="BZ39" s="837"/>
      <c r="CA39" s="837"/>
      <c r="CB39" s="838"/>
      <c r="CC39" s="65"/>
      <c r="CD39" s="60"/>
      <c r="CE39" s="174"/>
      <c r="CF39" s="174"/>
      <c r="CG39" s="174"/>
      <c r="CH39" s="174"/>
      <c r="CI39" s="174"/>
      <c r="CJ39" s="58"/>
      <c r="CK39" s="109"/>
      <c r="CL39" s="836"/>
      <c r="CM39" s="837"/>
      <c r="CN39" s="837"/>
      <c r="CO39" s="837"/>
      <c r="CP39" s="837"/>
      <c r="CQ39" s="837"/>
      <c r="CR39" s="837"/>
      <c r="CS39" s="838"/>
      <c r="CT39" s="65"/>
      <c r="CU39" s="60"/>
      <c r="CV39" s="174"/>
      <c r="CW39" s="174"/>
      <c r="CX39" s="174"/>
      <c r="CY39" s="174"/>
      <c r="CZ39" s="174"/>
      <c r="DA39" s="58"/>
      <c r="DB39" s="109"/>
      <c r="DC39" s="836"/>
      <c r="DD39" s="837"/>
      <c r="DE39" s="837"/>
      <c r="DF39" s="837"/>
      <c r="DG39" s="837"/>
      <c r="DH39" s="837"/>
      <c r="DI39" s="837"/>
      <c r="DJ39" s="838"/>
      <c r="DK39" s="65"/>
      <c r="DL39" s="60"/>
      <c r="DM39" s="1082"/>
      <c r="DN39" s="1131"/>
      <c r="DO39" s="1133"/>
      <c r="DP39" s="1136"/>
      <c r="DQ39" s="1136"/>
      <c r="DR39" s="1136"/>
      <c r="DS39" s="113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139"/>
      <c r="BM40" s="1136"/>
      <c r="BN40" s="1136"/>
      <c r="BO40" s="1136"/>
      <c r="BP40" s="1141" t="s">
        <v>99</v>
      </c>
      <c r="BQ40" s="1143">
        <f>EBR_Master</f>
        <v>208</v>
      </c>
      <c r="BR40" s="1081">
        <v>1</v>
      </c>
      <c r="BS40" s="109"/>
      <c r="BT40" s="65"/>
      <c r="BU40" s="109"/>
      <c r="BV40" s="109"/>
      <c r="BW40" s="109"/>
      <c r="BX40" s="109"/>
      <c r="BY40" s="109"/>
      <c r="BZ40" s="109"/>
      <c r="CA40" s="109"/>
      <c r="CB40" s="109"/>
      <c r="CC40" s="65"/>
      <c r="CD40" s="60"/>
      <c r="CE40" s="174"/>
      <c r="CF40" s="174"/>
      <c r="CG40" s="174"/>
      <c r="CH40" s="174"/>
      <c r="CI40" s="174"/>
      <c r="CJ40" s="58"/>
      <c r="CK40" s="109"/>
      <c r="CL40" s="109"/>
      <c r="CM40" s="109"/>
      <c r="CN40" s="109"/>
      <c r="CO40" s="109"/>
      <c r="CP40" s="109"/>
      <c r="CQ40" s="109"/>
      <c r="CR40" s="109"/>
      <c r="CS40" s="109"/>
      <c r="CT40" s="65"/>
      <c r="CU40" s="60"/>
      <c r="CV40" s="174"/>
      <c r="CW40" s="174"/>
      <c r="CX40" s="174"/>
      <c r="CY40" s="174"/>
      <c r="CZ40" s="174"/>
      <c r="DA40" s="58"/>
      <c r="DB40" s="109"/>
      <c r="DC40" s="109"/>
      <c r="DD40" s="109"/>
      <c r="DE40" s="109"/>
      <c r="DF40" s="109"/>
      <c r="DG40" s="109"/>
      <c r="DH40" s="109"/>
      <c r="DI40" s="109"/>
      <c r="DJ40" s="109"/>
      <c r="DK40" s="65"/>
      <c r="DL40" s="60"/>
      <c r="DM40" s="1111"/>
      <c r="DN40" s="1131">
        <f>WBU_Master</f>
        <v>0</v>
      </c>
      <c r="DO40" s="1133" t="s">
        <v>99</v>
      </c>
      <c r="DP40" s="1136"/>
      <c r="DQ40" s="1136"/>
      <c r="DR40" s="1136"/>
      <c r="DS40" s="113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139"/>
      <c r="BM41" s="1136"/>
      <c r="BN41" s="1136"/>
      <c r="BO41" s="1136"/>
      <c r="BP41" s="1141"/>
      <c r="BQ41" s="1143"/>
      <c r="BR41" s="1081"/>
      <c r="BS41" s="109"/>
      <c r="BT41" s="65"/>
      <c r="BU41" s="109"/>
      <c r="BV41" s="109"/>
      <c r="BW41" s="109"/>
      <c r="BX41" s="109"/>
      <c r="BY41" s="109"/>
      <c r="BZ41" s="109"/>
      <c r="CA41" s="109"/>
      <c r="CB41" s="109"/>
      <c r="CC41" s="66"/>
      <c r="CD41" s="60"/>
      <c r="CE41" s="174"/>
      <c r="CF41" s="174"/>
      <c r="CG41" s="174"/>
      <c r="CH41" s="174"/>
      <c r="CI41" s="174"/>
      <c r="CJ41" s="58"/>
      <c r="CK41" s="109"/>
      <c r="CL41" s="109"/>
      <c r="CM41" s="109"/>
      <c r="CN41" s="109"/>
      <c r="CO41" s="109"/>
      <c r="CP41" s="109"/>
      <c r="CQ41" s="109"/>
      <c r="CR41" s="109"/>
      <c r="CS41" s="109"/>
      <c r="CT41" s="66"/>
      <c r="CU41" s="60"/>
      <c r="CV41" s="174"/>
      <c r="CW41" s="174"/>
      <c r="CX41" s="174"/>
      <c r="CY41" s="174"/>
      <c r="CZ41" s="174"/>
      <c r="DA41" s="58"/>
      <c r="DB41" s="109"/>
      <c r="DC41" s="109"/>
      <c r="DD41" s="109"/>
      <c r="DE41" s="109"/>
      <c r="DF41" s="109"/>
      <c r="DG41" s="109"/>
      <c r="DH41" s="109"/>
      <c r="DI41" s="109"/>
      <c r="DJ41" s="109"/>
      <c r="DK41" s="66"/>
      <c r="DL41" s="60"/>
      <c r="DM41" s="1111"/>
      <c r="DN41" s="1131"/>
      <c r="DO41" s="1133"/>
      <c r="DP41" s="1136"/>
      <c r="DQ41" s="1136"/>
      <c r="DR41" s="1136"/>
      <c r="DS41" s="113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153"/>
      <c r="BM42" s="1150"/>
      <c r="BN42" s="1150"/>
      <c r="BO42" s="1150"/>
      <c r="BP42" s="1154"/>
      <c r="BQ42" s="1155"/>
      <c r="BR42" s="1110"/>
      <c r="BS42" s="110"/>
      <c r="BT42" s="69"/>
      <c r="BU42" s="110"/>
      <c r="BV42" s="110"/>
      <c r="BW42" s="110"/>
      <c r="BX42" s="110"/>
      <c r="BY42" s="110"/>
      <c r="BZ42" s="110"/>
      <c r="CA42" s="110"/>
      <c r="CB42" s="110"/>
      <c r="CC42" s="71"/>
      <c r="CD42" s="63"/>
      <c r="CE42" s="174"/>
      <c r="CF42" s="174"/>
      <c r="CG42" s="174"/>
      <c r="CH42" s="174"/>
      <c r="CI42" s="174"/>
      <c r="CJ42" s="61"/>
      <c r="CK42" s="110"/>
      <c r="CL42" s="110"/>
      <c r="CM42" s="110"/>
      <c r="CN42" s="110"/>
      <c r="CO42" s="110"/>
      <c r="CP42" s="110"/>
      <c r="CQ42" s="110"/>
      <c r="CR42" s="110"/>
      <c r="CS42" s="110"/>
      <c r="CT42" s="71"/>
      <c r="CU42" s="63"/>
      <c r="CV42" s="174"/>
      <c r="CW42" s="174"/>
      <c r="CX42" s="174"/>
      <c r="CY42" s="174"/>
      <c r="CZ42" s="174"/>
      <c r="DA42" s="61"/>
      <c r="DB42" s="110"/>
      <c r="DC42" s="110"/>
      <c r="DD42" s="110"/>
      <c r="DE42" s="110"/>
      <c r="DF42" s="110"/>
      <c r="DG42" s="110"/>
      <c r="DH42" s="110"/>
      <c r="DI42" s="110"/>
      <c r="DJ42" s="110"/>
      <c r="DK42" s="71"/>
      <c r="DL42" s="63"/>
      <c r="DM42" s="1112"/>
      <c r="DN42" s="1156"/>
      <c r="DO42" s="1157"/>
      <c r="DP42" s="1150"/>
      <c r="DQ42" s="1150"/>
      <c r="DR42" s="1150"/>
      <c r="DS42" s="1151"/>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4"/>
      <c r="BU43" s="174"/>
      <c r="BV43" s="174"/>
      <c r="BW43" s="174"/>
      <c r="BX43" s="174"/>
      <c r="BY43" s="174"/>
      <c r="BZ43" s="174"/>
      <c r="CA43" s="174"/>
      <c r="CB43" s="174"/>
      <c r="CC43" s="15"/>
      <c r="CD43" s="174"/>
      <c r="CE43" s="174"/>
      <c r="CF43" s="174"/>
      <c r="CG43" s="174"/>
      <c r="CH43" s="174"/>
      <c r="CI43" s="174"/>
      <c r="CJ43" s="1120"/>
      <c r="CK43" s="1121"/>
      <c r="CL43" s="1121"/>
      <c r="CM43" s="1040">
        <v>1</v>
      </c>
      <c r="CN43" s="1040"/>
      <c r="CO43" s="1040"/>
      <c r="CP43" s="1040">
        <v>2</v>
      </c>
      <c r="CQ43" s="1040"/>
      <c r="CR43" s="1040"/>
      <c r="CS43" s="1040">
        <v>1</v>
      </c>
      <c r="CT43" s="1040"/>
      <c r="CU43" s="1041"/>
      <c r="CV43" s="174"/>
      <c r="CW43" s="174"/>
      <c r="CX43" s="174"/>
      <c r="CY43" s="174"/>
      <c r="CZ43" s="174"/>
      <c r="DA43" s="174"/>
      <c r="DB43" s="174"/>
      <c r="DC43" s="174"/>
      <c r="DD43" s="1138"/>
      <c r="DE43" s="1134"/>
      <c r="DF43" s="1134"/>
      <c r="DG43" s="1134"/>
      <c r="DH43" s="1158" t="s">
        <v>99</v>
      </c>
      <c r="DI43" s="1161">
        <f>BQ37+CP29</f>
        <v>607</v>
      </c>
      <c r="DJ43" s="1164">
        <f>BR37</f>
        <v>3</v>
      </c>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4"/>
      <c r="BU44" s="174"/>
      <c r="BV44" s="174"/>
      <c r="BW44" s="174"/>
      <c r="BX44" s="174"/>
      <c r="BY44" s="174"/>
      <c r="BZ44" s="174"/>
      <c r="CA44" s="174"/>
      <c r="CB44" s="174"/>
      <c r="CC44" s="174"/>
      <c r="CD44" s="174"/>
      <c r="CE44" s="174"/>
      <c r="CF44" s="174"/>
      <c r="CG44" s="174"/>
      <c r="CH44" s="174"/>
      <c r="CI44" s="174"/>
      <c r="CJ44" s="1168">
        <f>NBU_Master</f>
        <v>0</v>
      </c>
      <c r="CK44" s="1169"/>
      <c r="CL44" s="1169"/>
      <c r="CM44" s="1169">
        <f>NBL_Master</f>
        <v>0</v>
      </c>
      <c r="CN44" s="1169"/>
      <c r="CO44" s="1169"/>
      <c r="CP44" s="1169">
        <f>NBT_Master</f>
        <v>1260</v>
      </c>
      <c r="CQ44" s="1169"/>
      <c r="CR44" s="1169"/>
      <c r="CS44" s="1169">
        <f>NBR_Master</f>
        <v>1060</v>
      </c>
      <c r="CT44" s="1169"/>
      <c r="CU44" s="1170"/>
      <c r="CV44" s="174"/>
      <c r="CW44" s="174"/>
      <c r="CX44" s="174"/>
      <c r="CY44" s="174"/>
      <c r="CZ44" s="174"/>
      <c r="DA44" s="174"/>
      <c r="DB44" s="174"/>
      <c r="DC44" s="174"/>
      <c r="DD44" s="1139"/>
      <c r="DE44" s="1136"/>
      <c r="DF44" s="1136"/>
      <c r="DG44" s="1136"/>
      <c r="DH44" s="1159"/>
      <c r="DI44" s="1162"/>
      <c r="DJ44" s="1165"/>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4"/>
      <c r="BU45" s="174"/>
      <c r="BV45" s="174"/>
      <c r="BW45" s="174"/>
      <c r="BX45" s="174"/>
      <c r="BY45" s="174"/>
      <c r="BZ45" s="174"/>
      <c r="CA45" s="174"/>
      <c r="CB45" s="174"/>
      <c r="CC45" s="174"/>
      <c r="CD45" s="174"/>
      <c r="CE45" s="174"/>
      <c r="CF45" s="174"/>
      <c r="CG45" s="174"/>
      <c r="CH45" s="174"/>
      <c r="CI45" s="174"/>
      <c r="CJ45" s="1152" t="s">
        <v>99</v>
      </c>
      <c r="CK45" s="1125"/>
      <c r="CL45" s="1125"/>
      <c r="CM45" s="1125" t="s">
        <v>99</v>
      </c>
      <c r="CN45" s="1125"/>
      <c r="CO45" s="1125"/>
      <c r="CP45" s="1125" t="s">
        <v>99</v>
      </c>
      <c r="CQ45" s="1125"/>
      <c r="CR45" s="1125"/>
      <c r="CS45" s="1125" t="s">
        <v>99</v>
      </c>
      <c r="CT45" s="1125"/>
      <c r="CU45" s="1126"/>
      <c r="CV45" s="174"/>
      <c r="CW45" s="174"/>
      <c r="CX45" s="174"/>
      <c r="CY45" s="174"/>
      <c r="CZ45" s="174"/>
      <c r="DA45" s="174"/>
      <c r="DB45" s="174"/>
      <c r="DC45" s="174"/>
      <c r="DD45" s="1153"/>
      <c r="DE45" s="1150"/>
      <c r="DF45" s="1150"/>
      <c r="DG45" s="1150"/>
      <c r="DH45" s="1160"/>
      <c r="DI45" s="1163"/>
      <c r="DJ45" s="1166"/>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4"/>
      <c r="BU46" s="174"/>
      <c r="BV46" s="174"/>
      <c r="BW46" s="174"/>
      <c r="BX46" s="174"/>
      <c r="BY46" s="174"/>
      <c r="BZ46" s="174"/>
      <c r="CA46" s="174"/>
      <c r="CB46" s="174"/>
      <c r="CC46" s="174"/>
      <c r="CD46" s="174"/>
      <c r="CE46" s="174"/>
      <c r="CF46" s="174"/>
      <c r="CG46" s="174"/>
      <c r="CH46" s="174"/>
      <c r="CI46" s="174"/>
      <c r="CJ46" s="1099"/>
      <c r="CK46" s="1068"/>
      <c r="CL46" s="1068"/>
      <c r="CM46" s="1068"/>
      <c r="CN46" s="1068"/>
      <c r="CO46" s="1068"/>
      <c r="CP46" s="1068"/>
      <c r="CQ46" s="1068"/>
      <c r="CR46" s="1068"/>
      <c r="CS46" s="1068"/>
      <c r="CT46" s="1068"/>
      <c r="CU46" s="1069"/>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4"/>
      <c r="BU47" s="174"/>
      <c r="BV47" s="174"/>
      <c r="BW47" s="174"/>
      <c r="BX47" s="174"/>
      <c r="BY47" s="174"/>
      <c r="BZ47" s="174"/>
      <c r="CA47" s="174"/>
      <c r="CB47" s="174"/>
      <c r="CC47" s="174"/>
      <c r="CD47" s="174"/>
      <c r="CE47" s="174"/>
      <c r="CF47" s="174"/>
      <c r="CG47" s="174"/>
      <c r="CH47" s="174"/>
      <c r="CI47" s="174"/>
      <c r="CJ47" s="1099"/>
      <c r="CK47" s="1068"/>
      <c r="CL47" s="1068"/>
      <c r="CM47" s="1068"/>
      <c r="CN47" s="1068"/>
      <c r="CO47" s="1068"/>
      <c r="CP47" s="1068"/>
      <c r="CQ47" s="1068"/>
      <c r="CR47" s="1068"/>
      <c r="CS47" s="1068"/>
      <c r="CT47" s="1068"/>
      <c r="CU47" s="1069"/>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4"/>
      <c r="BU48" s="174"/>
      <c r="BV48" s="174"/>
      <c r="BW48" s="174"/>
      <c r="BX48" s="174"/>
      <c r="BY48" s="174"/>
      <c r="BZ48" s="174"/>
      <c r="CA48" s="174"/>
      <c r="CB48" s="174"/>
      <c r="CC48" s="174"/>
      <c r="CD48" s="174"/>
      <c r="CE48" s="174"/>
      <c r="CF48" s="174"/>
      <c r="CG48" s="174"/>
      <c r="CH48" s="174"/>
      <c r="CI48" s="174"/>
      <c r="CJ48" s="1099"/>
      <c r="CK48" s="1068"/>
      <c r="CL48" s="1068"/>
      <c r="CM48" s="1068"/>
      <c r="CN48" s="1068"/>
      <c r="CO48" s="1068"/>
      <c r="CP48" s="1068"/>
      <c r="CQ48" s="1068"/>
      <c r="CR48" s="1068"/>
      <c r="CS48" s="1068"/>
      <c r="CT48" s="1068"/>
      <c r="CU48" s="1069"/>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167"/>
      <c r="CK49" s="1070"/>
      <c r="CL49" s="1070"/>
      <c r="CM49" s="1070"/>
      <c r="CN49" s="1070"/>
      <c r="CO49" s="1070"/>
      <c r="CP49" s="1070"/>
      <c r="CQ49" s="1070"/>
      <c r="CR49" s="1070"/>
      <c r="CS49" s="1070"/>
      <c r="CT49" s="1070"/>
      <c r="CU49" s="1071"/>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4"/>
      <c r="CH51" s="4"/>
      <c r="CI51" s="174"/>
      <c r="CJ51" s="174"/>
      <c r="CK51" s="174"/>
      <c r="CL51" s="174"/>
      <c r="CM51" s="174"/>
      <c r="CN51" s="174"/>
      <c r="CO51" s="174"/>
      <c r="CP51" s="174"/>
      <c r="CQ51" s="174"/>
      <c r="CR51" s="174"/>
      <c r="CS51" s="174"/>
      <c r="CT51" s="174"/>
      <c r="CU51" s="4"/>
      <c r="CV51" s="4"/>
      <c r="CW51" s="4"/>
      <c r="CX51" s="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4"/>
      <c r="CV52" s="4"/>
      <c r="CW52" s="4"/>
      <c r="CX52" s="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3"/>
      <c r="AV56" s="173"/>
      <c r="AW56" s="173"/>
      <c r="AX56" s="173"/>
      <c r="AY56" s="173"/>
      <c r="AZ56" s="173"/>
      <c r="BA56" s="173"/>
      <c r="BB56" s="173"/>
      <c r="BC56" s="173"/>
      <c r="BD56" s="173"/>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thickBo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4"/>
      <c r="AV57" s="14"/>
      <c r="AW57" s="14"/>
      <c r="AX57" s="14"/>
      <c r="AY57" s="14"/>
      <c r="AZ57" s="14"/>
      <c r="BA57" s="14"/>
      <c r="BB57" s="14"/>
      <c r="BC57" s="14"/>
      <c r="BD57" s="1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728">
        <f>DC37</f>
        <v>511.80701754385973</v>
      </c>
      <c r="AV58" s="861"/>
      <c r="AW58" s="861"/>
      <c r="AX58" s="861"/>
      <c r="AY58" s="861"/>
      <c r="AZ58" s="861"/>
      <c r="BA58" s="861"/>
      <c r="BB58" s="861"/>
      <c r="BC58" s="861"/>
      <c r="BD58" s="862"/>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863"/>
      <c r="AV59" s="864"/>
      <c r="AW59" s="864"/>
      <c r="AX59" s="864"/>
      <c r="AY59" s="864"/>
      <c r="AZ59" s="864"/>
      <c r="BA59" s="864"/>
      <c r="BB59" s="864"/>
      <c r="BC59" s="864"/>
      <c r="BD59" s="865"/>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thickBo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866"/>
      <c r="AV60" s="867"/>
      <c r="AW60" s="867"/>
      <c r="AX60" s="867"/>
      <c r="AY60" s="867"/>
      <c r="AZ60" s="867"/>
      <c r="BA60" s="867"/>
      <c r="BB60" s="867"/>
      <c r="BC60" s="867"/>
      <c r="BD60" s="868"/>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713">
        <f>ROUND(AU58/CLV_Limit,2)</f>
        <v>0.32</v>
      </c>
      <c r="AV61" s="714"/>
      <c r="AW61" s="714"/>
      <c r="AX61" s="714"/>
      <c r="AY61" s="715"/>
      <c r="AZ61" s="722" t="s">
        <v>100</v>
      </c>
      <c r="BA61" s="722"/>
      <c r="BB61" s="722"/>
      <c r="BC61" s="722"/>
      <c r="BD61" s="723"/>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716"/>
      <c r="AV62" s="717"/>
      <c r="AW62" s="717"/>
      <c r="AX62" s="717"/>
      <c r="AY62" s="718"/>
      <c r="AZ62" s="724"/>
      <c r="BA62" s="724"/>
      <c r="BB62" s="724"/>
      <c r="BC62" s="724"/>
      <c r="BD62" s="725"/>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719"/>
      <c r="AV63" s="720"/>
      <c r="AW63" s="720"/>
      <c r="AX63" s="720"/>
      <c r="AY63" s="721"/>
      <c r="AZ63" s="726"/>
      <c r="BA63" s="726"/>
      <c r="BB63" s="726"/>
      <c r="BC63" s="726"/>
      <c r="BD63" s="727"/>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26"/>
      <c r="AZ66" s="26"/>
      <c r="BA66" s="26"/>
      <c r="BB66" s="26"/>
      <c r="BC66" s="26"/>
      <c r="BD66" s="26"/>
      <c r="BE66" s="26"/>
      <c r="BF66" s="26"/>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26"/>
      <c r="AZ67" s="26"/>
      <c r="BA67" s="26"/>
      <c r="BB67" s="26"/>
      <c r="BC67" s="26"/>
      <c r="BD67" s="26"/>
      <c r="BE67" s="26"/>
      <c r="BF67" s="26"/>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26"/>
      <c r="AZ68" s="26"/>
      <c r="BA68" s="26"/>
      <c r="BB68" s="26"/>
      <c r="BC68" s="26"/>
      <c r="BD68" s="26"/>
      <c r="BE68" s="26"/>
      <c r="BF68" s="26"/>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27"/>
      <c r="AZ69" s="27"/>
      <c r="BA69" s="27"/>
      <c r="BB69" s="27"/>
      <c r="BC69" s="27"/>
      <c r="BD69" s="27"/>
      <c r="BE69" s="27"/>
      <c r="BF69" s="27"/>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07">
    <mergeCell ref="CJ46:CL49"/>
    <mergeCell ref="CM46:CO49"/>
    <mergeCell ref="CP46:CR49"/>
    <mergeCell ref="CS46:CU49"/>
    <mergeCell ref="CJ44:CL44"/>
    <mergeCell ref="CM44:CO44"/>
    <mergeCell ref="CP44:CR44"/>
    <mergeCell ref="CS44:CU44"/>
    <mergeCell ref="CJ45:CL45"/>
    <mergeCell ref="CM45:CO45"/>
    <mergeCell ref="CP45:CR45"/>
    <mergeCell ref="CS45:CU45"/>
    <mergeCell ref="DO40:DO42"/>
    <mergeCell ref="DP40:DS42"/>
    <mergeCell ref="CJ43:CL43"/>
    <mergeCell ref="CM43:CO43"/>
    <mergeCell ref="CP43:CR43"/>
    <mergeCell ref="CS43:CU43"/>
    <mergeCell ref="DD43:DG45"/>
    <mergeCell ref="DH43:DH45"/>
    <mergeCell ref="DI43:DI45"/>
    <mergeCell ref="DJ43:DJ45"/>
    <mergeCell ref="BP40:BP42"/>
    <mergeCell ref="BQ40:BQ42"/>
    <mergeCell ref="BR40:BR42"/>
    <mergeCell ref="DM40:DM42"/>
    <mergeCell ref="DN40:DN42"/>
    <mergeCell ref="CL37:CS39"/>
    <mergeCell ref="DC37:DJ39"/>
    <mergeCell ref="DM37:DM39"/>
    <mergeCell ref="DN37:DN39"/>
    <mergeCell ref="DP37:DS39"/>
    <mergeCell ref="DC34:DJ36"/>
    <mergeCell ref="DM34:DM36"/>
    <mergeCell ref="DN34:DN36"/>
    <mergeCell ref="DO34:DO36"/>
    <mergeCell ref="DP34:DS36"/>
    <mergeCell ref="BL37:BO39"/>
    <mergeCell ref="BP37:BP39"/>
    <mergeCell ref="BQ37:BQ39"/>
    <mergeCell ref="BR37:BR39"/>
    <mergeCell ref="BU37:CB39"/>
    <mergeCell ref="AU61:AY63"/>
    <mergeCell ref="AZ61:BD63"/>
    <mergeCell ref="O74:AV74"/>
    <mergeCell ref="CP30:CR30"/>
    <mergeCell ref="CS30:CU30"/>
    <mergeCell ref="BL31:BO33"/>
    <mergeCell ref="BP31:BP33"/>
    <mergeCell ref="BQ31:BQ33"/>
    <mergeCell ref="BR31:BR33"/>
    <mergeCell ref="BT28:BT30"/>
    <mergeCell ref="BU28:BU30"/>
    <mergeCell ref="BV28:BV30"/>
    <mergeCell ref="BW28:BZ30"/>
    <mergeCell ref="CJ28:CL28"/>
    <mergeCell ref="CM28:CO28"/>
    <mergeCell ref="CJ30:CL30"/>
    <mergeCell ref="CM30:CO30"/>
    <mergeCell ref="BL34:BO36"/>
    <mergeCell ref="BP34:BP36"/>
    <mergeCell ref="BQ34:BQ36"/>
    <mergeCell ref="BR34:BR36"/>
    <mergeCell ref="BU34:CB36"/>
    <mergeCell ref="CL34:CS36"/>
    <mergeCell ref="BL40:BO42"/>
    <mergeCell ref="BL1:DS2"/>
    <mergeCell ref="BL3:DS4"/>
    <mergeCell ref="CJ24:CL27"/>
    <mergeCell ref="CM24:CO27"/>
    <mergeCell ref="CP24:CR27"/>
    <mergeCell ref="CS24:CU27"/>
    <mergeCell ref="AQ27:AZ29"/>
    <mergeCell ref="G28:P30"/>
    <mergeCell ref="AU58:BD60"/>
    <mergeCell ref="G31:K33"/>
    <mergeCell ref="L31:P33"/>
    <mergeCell ref="AQ30:AU32"/>
    <mergeCell ref="AV30:AZ32"/>
    <mergeCell ref="CP28:CR28"/>
    <mergeCell ref="CS28:CU28"/>
    <mergeCell ref="CJ29:CL29"/>
    <mergeCell ref="CM29:CO29"/>
    <mergeCell ref="CP29:CR29"/>
    <mergeCell ref="CS29:CU29"/>
    <mergeCell ref="DM31:DM33"/>
    <mergeCell ref="DN31:DN33"/>
    <mergeCell ref="DO31:DO33"/>
    <mergeCell ref="DP31:DS33"/>
    <mergeCell ref="DO37:DO39"/>
    <mergeCell ref="C8:J9"/>
    <mergeCell ref="K8:AJ9"/>
    <mergeCell ref="C10:J11"/>
    <mergeCell ref="K10:AJ11"/>
    <mergeCell ref="C12:J13"/>
    <mergeCell ref="K12:AJ13"/>
    <mergeCell ref="B1:BI2"/>
    <mergeCell ref="B3:BI4"/>
    <mergeCell ref="C6:J7"/>
    <mergeCell ref="K6:AJ7"/>
    <mergeCell ref="AK6:BH7"/>
    <mergeCell ref="AK8:AP9"/>
    <mergeCell ref="AQ8:AV9"/>
    <mergeCell ref="AW8:BB9"/>
    <mergeCell ref="BC8:BH9"/>
    <mergeCell ref="AK10:AV13"/>
    <mergeCell ref="AW10:BH13"/>
  </mergeCells>
  <conditionalFormatting sqref="AQ27 G28 BU37 CL37 DC37 AU58">
    <cfRule type="cellIs" dxfId="159" priority="18" operator="between">
      <formula>0.75*CLV_Limit</formula>
      <formula>0.875*CLV_Limit-1</formula>
    </cfRule>
    <cfRule type="cellIs" dxfId="158" priority="19" operator="between">
      <formula>0.875*CLV_Limit</formula>
      <formula>CLV_Limit-1</formula>
    </cfRule>
    <cfRule type="cellIs" dxfId="157" priority="22" operator="greaterThanOrEqual">
      <formula>CLV_Limit</formula>
    </cfRule>
  </conditionalFormatting>
  <conditionalFormatting sqref="AW10 AQ30 G31 AU61">
    <cfRule type="cellIs" dxfId="156" priority="10" operator="between">
      <formula>0.75</formula>
      <formula>0.875</formula>
    </cfRule>
    <cfRule type="cellIs" dxfId="155" priority="11" operator="between">
      <formula>0.875</formula>
      <formula>1</formula>
    </cfRule>
    <cfRule type="cellIs" dxfId="154" priority="12"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7" tint="-0.249977111117893"/>
  </sheetPr>
  <dimension ref="A1:HL157"/>
  <sheetViews>
    <sheetView showGridLines="0" showRowColHeaders="0" zoomScale="90" zoomScaleNormal="90" workbookViewId="0">
      <selection activeCell="CJ16" sqref="CJ16:CL16"/>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5703125" customWidth="1"/>
    <col min="125" max="220" width="1.7109375" hidden="1" customWidth="1"/>
    <col min="221" max="16384" width="9.140625" hidden="1"/>
  </cols>
  <sheetData>
    <row r="1" spans="2:123" ht="9.9499999999999993" customHeight="1">
      <c r="B1" s="571" t="s">
        <v>118</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118</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2"/>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2"/>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4"/>
      <c r="BQ7" s="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4"/>
      <c r="BQ8" s="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6"/>
      <c r="BQ9" s="16"/>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MAX(ROUND(E17/CLV_Limit,2),ROUND(AW17/CLV_Limit,2),ROUND(E27/CLV_Limit,2),ROUND(E66/CLV_Limit,2),ROUND(AW66/CLV_Limit,2))</f>
        <v>1.07</v>
      </c>
      <c r="AX10" s="706"/>
      <c r="AY10" s="706"/>
      <c r="AZ10" s="706"/>
      <c r="BA10" s="706"/>
      <c r="BB10" s="706"/>
      <c r="BC10" s="706"/>
      <c r="BD10" s="706"/>
      <c r="BE10" s="706"/>
      <c r="BF10" s="706"/>
      <c r="BG10" s="706"/>
      <c r="BH10" s="707"/>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096"/>
      <c r="CK10" s="1097"/>
      <c r="CL10" s="1097"/>
      <c r="CM10" s="1097"/>
      <c r="CN10" s="1097"/>
      <c r="CO10" s="1097"/>
      <c r="CP10" s="1097"/>
      <c r="CQ10" s="1097"/>
      <c r="CR10" s="1097"/>
      <c r="CS10" s="1097"/>
      <c r="CT10" s="1097"/>
      <c r="CU10" s="1098"/>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099"/>
      <c r="CK11" s="1068"/>
      <c r="CL11" s="1068"/>
      <c r="CM11" s="1068"/>
      <c r="CN11" s="1068"/>
      <c r="CO11" s="1068"/>
      <c r="CP11" s="1068"/>
      <c r="CQ11" s="1068"/>
      <c r="CR11" s="1068"/>
      <c r="CS11" s="1068"/>
      <c r="CT11" s="1068"/>
      <c r="CU11" s="1069"/>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099"/>
      <c r="CK12" s="1068"/>
      <c r="CL12" s="1068"/>
      <c r="CM12" s="1068"/>
      <c r="CN12" s="1068"/>
      <c r="CO12" s="1068"/>
      <c r="CP12" s="1068"/>
      <c r="CQ12" s="1068"/>
      <c r="CR12" s="1068"/>
      <c r="CS12" s="1068"/>
      <c r="CT12" s="1068"/>
      <c r="CU12" s="1069"/>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7"/>
      <c r="BM13" s="6"/>
      <c r="BN13" s="6"/>
      <c r="BO13" s="6"/>
      <c r="BP13" s="174"/>
      <c r="BQ13" s="174"/>
      <c r="BR13" s="174"/>
      <c r="BS13" s="174"/>
      <c r="BT13" s="174"/>
      <c r="BU13" s="174"/>
      <c r="BV13" s="174"/>
      <c r="BW13" s="174"/>
      <c r="BX13" s="174"/>
      <c r="BY13" s="174"/>
      <c r="BZ13" s="174"/>
      <c r="CA13" s="174"/>
      <c r="CB13" s="174"/>
      <c r="CC13" s="174"/>
      <c r="CD13" s="174"/>
      <c r="CE13" s="174"/>
      <c r="CF13" s="174"/>
      <c r="CG13" s="174"/>
      <c r="CH13" s="174"/>
      <c r="CI13" s="174"/>
      <c r="CJ13" s="1099"/>
      <c r="CK13" s="1068"/>
      <c r="CL13" s="1068"/>
      <c r="CM13" s="1068"/>
      <c r="CN13" s="1068"/>
      <c r="CO13" s="1068"/>
      <c r="CP13" s="1068"/>
      <c r="CQ13" s="1068"/>
      <c r="CR13" s="1068"/>
      <c r="CS13" s="1068"/>
      <c r="CT13" s="1068"/>
      <c r="CU13" s="1069"/>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6"/>
      <c r="BN14" s="6"/>
      <c r="BO14" s="6"/>
      <c r="BP14" s="174"/>
      <c r="BQ14" s="174"/>
      <c r="BR14" s="174"/>
      <c r="BS14" s="174"/>
      <c r="BT14" s="174"/>
      <c r="BU14" s="174"/>
      <c r="BV14" s="174"/>
      <c r="BW14" s="174"/>
      <c r="BX14" s="174"/>
      <c r="BY14" s="174"/>
      <c r="BZ14" s="174"/>
      <c r="CA14" s="174"/>
      <c r="CB14" s="174"/>
      <c r="CC14" s="174"/>
      <c r="CD14" s="174"/>
      <c r="CE14" s="174"/>
      <c r="CF14" s="174"/>
      <c r="CG14" s="174"/>
      <c r="CH14" s="174"/>
      <c r="CI14" s="174"/>
      <c r="CJ14" s="1152" t="s">
        <v>99</v>
      </c>
      <c r="CK14" s="1125"/>
      <c r="CL14" s="1125"/>
      <c r="CM14" s="1125" t="s">
        <v>99</v>
      </c>
      <c r="CN14" s="1125"/>
      <c r="CO14" s="1125"/>
      <c r="CP14" s="1125" t="s">
        <v>99</v>
      </c>
      <c r="CQ14" s="1125"/>
      <c r="CR14" s="1125"/>
      <c r="CS14" s="1125" t="s">
        <v>99</v>
      </c>
      <c r="CT14" s="1125"/>
      <c r="CU14" s="1126"/>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7"/>
      <c r="BM15" s="6"/>
      <c r="BN15" s="6"/>
      <c r="BO15" s="6"/>
      <c r="BP15" s="174"/>
      <c r="BQ15" s="174"/>
      <c r="BR15" s="174"/>
      <c r="BS15" s="174"/>
      <c r="BT15" s="174"/>
      <c r="BU15" s="174"/>
      <c r="BV15" s="174"/>
      <c r="BW15" s="174"/>
      <c r="BX15" s="174"/>
      <c r="BY15" s="174"/>
      <c r="BZ15" s="174"/>
      <c r="CA15" s="174"/>
      <c r="CB15" s="174"/>
      <c r="CC15" s="174"/>
      <c r="CD15" s="174"/>
      <c r="CE15" s="174"/>
      <c r="CF15" s="174"/>
      <c r="CG15" s="174"/>
      <c r="CH15" s="174"/>
      <c r="CI15" s="174"/>
      <c r="CJ15" s="1127">
        <f>SBR_Master</f>
        <v>0</v>
      </c>
      <c r="CK15" s="1128"/>
      <c r="CL15" s="1128"/>
      <c r="CM15" s="1128">
        <f>SBT_Master</f>
        <v>1447</v>
      </c>
      <c r="CN15" s="1128"/>
      <c r="CO15" s="1128"/>
      <c r="CP15" s="1128">
        <f>SBL_Master</f>
        <v>607</v>
      </c>
      <c r="CQ15" s="1128"/>
      <c r="CR15" s="1128"/>
      <c r="CS15" s="1128">
        <f>SBU_Master</f>
        <v>0</v>
      </c>
      <c r="CT15" s="1128"/>
      <c r="CU15" s="1129"/>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J16" s="174"/>
      <c r="BK16" s="174"/>
      <c r="BL16" s="17"/>
      <c r="BM16" s="6"/>
      <c r="BN16" s="6"/>
      <c r="BO16" s="6"/>
      <c r="BP16" s="18"/>
      <c r="BQ16" s="18"/>
      <c r="BR16" s="174"/>
      <c r="BS16" s="174"/>
      <c r="BT16" s="174"/>
      <c r="BU16" s="174"/>
      <c r="BV16" s="174"/>
      <c r="BW16" s="174"/>
      <c r="BX16" s="174"/>
      <c r="BY16" s="174"/>
      <c r="BZ16" s="174"/>
      <c r="CA16" s="174"/>
      <c r="CB16" s="174"/>
      <c r="CC16" s="174"/>
      <c r="CD16" s="174"/>
      <c r="CE16" s="174"/>
      <c r="CF16" s="174"/>
      <c r="CG16" s="174"/>
      <c r="CH16" s="174"/>
      <c r="CI16" s="174"/>
      <c r="CJ16" s="928">
        <v>1</v>
      </c>
      <c r="CK16" s="929"/>
      <c r="CL16" s="929"/>
      <c r="CM16" s="929">
        <v>2</v>
      </c>
      <c r="CN16" s="929"/>
      <c r="CO16" s="929"/>
      <c r="CP16" s="929">
        <v>1</v>
      </c>
      <c r="CQ16" s="929"/>
      <c r="CR16" s="929"/>
      <c r="CS16" s="1010"/>
      <c r="CT16" s="1010"/>
      <c r="CU16" s="1011"/>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728">
        <f>CL23</f>
        <v>1718.4473684210527</v>
      </c>
      <c r="F17" s="861"/>
      <c r="G17" s="861"/>
      <c r="H17" s="861"/>
      <c r="I17" s="861"/>
      <c r="J17" s="861"/>
      <c r="K17" s="861"/>
      <c r="L17" s="861"/>
      <c r="M17" s="861"/>
      <c r="N17" s="862"/>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728">
        <f>DC40</f>
        <v>511.80701754385973</v>
      </c>
      <c r="AX17" s="861"/>
      <c r="AY17" s="861"/>
      <c r="AZ17" s="861"/>
      <c r="BA17" s="861"/>
      <c r="BB17" s="861"/>
      <c r="BC17" s="861"/>
      <c r="BD17" s="861"/>
      <c r="BE17" s="861"/>
      <c r="BF17" s="862"/>
      <c r="BG17" s="174"/>
      <c r="BH17" s="174"/>
      <c r="BI17" s="177"/>
      <c r="BJ17" s="174"/>
      <c r="BK17" s="174"/>
      <c r="BL17" s="17"/>
      <c r="BM17" s="6"/>
      <c r="BN17" s="6"/>
      <c r="BO17" s="6"/>
      <c r="BP17" s="18"/>
      <c r="BQ17" s="18"/>
      <c r="BR17" s="174"/>
      <c r="BS17" s="174"/>
      <c r="BT17" s="174"/>
      <c r="BU17" s="174"/>
      <c r="BV17" s="174"/>
      <c r="BW17" s="174"/>
      <c r="BX17" s="174"/>
      <c r="BY17" s="174"/>
      <c r="BZ17" s="174"/>
      <c r="CA17" s="174"/>
      <c r="CB17" s="174"/>
      <c r="CC17" s="174"/>
      <c r="CD17" s="174"/>
      <c r="CE17" s="174"/>
      <c r="CF17" s="174"/>
      <c r="CG17" s="174"/>
      <c r="CH17" s="174"/>
      <c r="CI17" s="174"/>
      <c r="CJ17" s="56"/>
      <c r="CK17" s="175"/>
      <c r="CL17" s="175"/>
      <c r="CM17" s="175"/>
      <c r="CN17" s="175"/>
      <c r="CO17" s="175"/>
      <c r="CP17" s="175"/>
      <c r="CQ17" s="175"/>
      <c r="CR17" s="175"/>
      <c r="CS17" s="175"/>
      <c r="CT17" s="175"/>
      <c r="CU17" s="176"/>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863"/>
      <c r="F18" s="864"/>
      <c r="G18" s="864"/>
      <c r="H18" s="864"/>
      <c r="I18" s="864"/>
      <c r="J18" s="864"/>
      <c r="K18" s="864"/>
      <c r="L18" s="864"/>
      <c r="M18" s="864"/>
      <c r="N18" s="865"/>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863"/>
      <c r="AX18" s="864"/>
      <c r="AY18" s="864"/>
      <c r="AZ18" s="864"/>
      <c r="BA18" s="864"/>
      <c r="BB18" s="864"/>
      <c r="BC18" s="864"/>
      <c r="BD18" s="864"/>
      <c r="BE18" s="864"/>
      <c r="BF18" s="865"/>
      <c r="BG18" s="174"/>
      <c r="BH18" s="174"/>
      <c r="BI18" s="177"/>
      <c r="BJ18" s="174"/>
      <c r="BK18" s="174"/>
      <c r="BL18" s="17"/>
      <c r="BM18" s="6"/>
      <c r="BN18" s="6"/>
      <c r="BO18" s="6"/>
      <c r="BP18" s="18"/>
      <c r="BQ18" s="18"/>
      <c r="BR18" s="174"/>
      <c r="BS18" s="174"/>
      <c r="BT18" s="174"/>
      <c r="BU18" s="174"/>
      <c r="BV18" s="174"/>
      <c r="BW18" s="174"/>
      <c r="BX18" s="174"/>
      <c r="BY18" s="174"/>
      <c r="BZ18" s="174"/>
      <c r="CA18" s="174"/>
      <c r="CB18" s="174"/>
      <c r="CC18" s="174"/>
      <c r="CD18" s="174"/>
      <c r="CE18" s="174"/>
      <c r="CF18" s="174"/>
      <c r="CG18" s="174"/>
      <c r="CH18" s="174"/>
      <c r="CI18" s="174"/>
      <c r="CJ18" s="58"/>
      <c r="CK18" s="109"/>
      <c r="CL18" s="109"/>
      <c r="CM18" s="109"/>
      <c r="CN18" s="109"/>
      <c r="CO18" s="109"/>
      <c r="CP18" s="109"/>
      <c r="CQ18" s="109"/>
      <c r="CR18" s="109"/>
      <c r="CS18" s="109"/>
      <c r="CT18" s="109"/>
      <c r="CU18" s="60"/>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866"/>
      <c r="F19" s="867"/>
      <c r="G19" s="867"/>
      <c r="H19" s="867"/>
      <c r="I19" s="867"/>
      <c r="J19" s="867"/>
      <c r="K19" s="867"/>
      <c r="L19" s="867"/>
      <c r="M19" s="867"/>
      <c r="N19" s="868"/>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866"/>
      <c r="AX19" s="867"/>
      <c r="AY19" s="867"/>
      <c r="AZ19" s="867"/>
      <c r="BA19" s="867"/>
      <c r="BB19" s="867"/>
      <c r="BC19" s="867"/>
      <c r="BD19" s="867"/>
      <c r="BE19" s="867"/>
      <c r="BF19" s="868"/>
      <c r="BG19" s="174"/>
      <c r="BH19" s="174"/>
      <c r="BI19" s="177"/>
      <c r="BJ19" s="174"/>
      <c r="BK19" s="174"/>
      <c r="BL19" s="17"/>
      <c r="BM19" s="6"/>
      <c r="BN19" s="6"/>
      <c r="BO19" s="6"/>
      <c r="BP19" s="18"/>
      <c r="BQ19" s="18"/>
      <c r="BR19" s="174"/>
      <c r="BS19" s="174"/>
      <c r="BT19" s="174"/>
      <c r="BU19" s="174"/>
      <c r="BV19" s="174"/>
      <c r="BW19" s="174"/>
      <c r="BX19" s="174"/>
      <c r="BY19" s="174"/>
      <c r="BZ19" s="174"/>
      <c r="CA19" s="174"/>
      <c r="CB19" s="174"/>
      <c r="CC19" s="174"/>
      <c r="CD19" s="174"/>
      <c r="CE19" s="174"/>
      <c r="CF19" s="174"/>
      <c r="CG19" s="174"/>
      <c r="CH19" s="174"/>
      <c r="CI19" s="174"/>
      <c r="CJ19" s="58"/>
      <c r="CK19" s="109"/>
      <c r="CL19" s="109"/>
      <c r="CM19" s="109"/>
      <c r="CN19" s="109"/>
      <c r="CO19" s="109"/>
      <c r="CP19" s="109"/>
      <c r="CQ19" s="109"/>
      <c r="CR19" s="109"/>
      <c r="CS19" s="109"/>
      <c r="CT19" s="109"/>
      <c r="CU19" s="60"/>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713">
        <f>ROUND(E17/CLV_Limit,2)</f>
        <v>1.07</v>
      </c>
      <c r="F20" s="714"/>
      <c r="G20" s="714"/>
      <c r="H20" s="714"/>
      <c r="I20" s="715"/>
      <c r="J20" s="722" t="s">
        <v>100</v>
      </c>
      <c r="K20" s="722"/>
      <c r="L20" s="722"/>
      <c r="M20" s="722"/>
      <c r="N20" s="723"/>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713">
        <f>ROUND(AW17/CLV_Limit,2)</f>
        <v>0.32</v>
      </c>
      <c r="AX20" s="714"/>
      <c r="AY20" s="714"/>
      <c r="AZ20" s="714"/>
      <c r="BA20" s="715"/>
      <c r="BB20" s="722" t="s">
        <v>100</v>
      </c>
      <c r="BC20" s="722"/>
      <c r="BD20" s="722"/>
      <c r="BE20" s="722"/>
      <c r="BF20" s="723"/>
      <c r="BG20" s="174"/>
      <c r="BH20" s="174"/>
      <c r="BI20" s="177"/>
      <c r="BJ20" s="174"/>
      <c r="BK20" s="174"/>
      <c r="BL20" s="17"/>
      <c r="BM20" s="6"/>
      <c r="BN20" s="6"/>
      <c r="BO20" s="6"/>
      <c r="BP20" s="18"/>
      <c r="BQ20" s="18"/>
      <c r="BR20" s="174"/>
      <c r="BS20" s="174"/>
      <c r="BT20" s="174"/>
      <c r="BU20" s="174"/>
      <c r="BV20" s="174"/>
      <c r="BW20" s="174"/>
      <c r="BX20" s="174"/>
      <c r="BY20" s="174"/>
      <c r="BZ20" s="174"/>
      <c r="CA20" s="174"/>
      <c r="CB20" s="174"/>
      <c r="CC20" s="174"/>
      <c r="CD20" s="174"/>
      <c r="CE20" s="174"/>
      <c r="CF20" s="174"/>
      <c r="CG20" s="174"/>
      <c r="CH20" s="174"/>
      <c r="CI20" s="174"/>
      <c r="CJ20" s="58"/>
      <c r="CK20" s="109"/>
      <c r="CL20" s="763"/>
      <c r="CM20" s="764"/>
      <c r="CN20" s="764"/>
      <c r="CO20" s="764"/>
      <c r="CP20" s="764"/>
      <c r="CQ20" s="764"/>
      <c r="CR20" s="764"/>
      <c r="CS20" s="771"/>
      <c r="CT20" s="109"/>
      <c r="CU20" s="60"/>
      <c r="CV20" s="1171">
        <f>CP63</f>
        <v>2</v>
      </c>
      <c r="CW20" s="1172"/>
      <c r="CX20" s="1173"/>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716"/>
      <c r="F21" s="717"/>
      <c r="G21" s="717"/>
      <c r="H21" s="717"/>
      <c r="I21" s="718"/>
      <c r="J21" s="724"/>
      <c r="K21" s="724"/>
      <c r="L21" s="724"/>
      <c r="M21" s="724"/>
      <c r="N21" s="725"/>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716"/>
      <c r="AX21" s="717"/>
      <c r="AY21" s="717"/>
      <c r="AZ21" s="717"/>
      <c r="BA21" s="718"/>
      <c r="BB21" s="724"/>
      <c r="BC21" s="724"/>
      <c r="BD21" s="724"/>
      <c r="BE21" s="724"/>
      <c r="BF21" s="725"/>
      <c r="BG21" s="174"/>
      <c r="BH21" s="174"/>
      <c r="BI21" s="177"/>
      <c r="BJ21" s="174"/>
      <c r="BK21" s="174"/>
      <c r="BL21" s="17"/>
      <c r="BM21" s="6"/>
      <c r="BN21" s="6"/>
      <c r="BO21" s="6"/>
      <c r="BP21" s="18"/>
      <c r="BQ21" s="18"/>
      <c r="BR21" s="174"/>
      <c r="BS21" s="174"/>
      <c r="BT21" s="174"/>
      <c r="BU21" s="174"/>
      <c r="BV21" s="174"/>
      <c r="BW21" s="174"/>
      <c r="BX21" s="174"/>
      <c r="BY21" s="174"/>
      <c r="BZ21" s="174"/>
      <c r="CA21" s="174"/>
      <c r="CB21" s="174"/>
      <c r="CC21" s="174"/>
      <c r="CD21" s="174"/>
      <c r="CE21" s="174"/>
      <c r="CF21" s="174"/>
      <c r="CG21" s="174"/>
      <c r="CH21" s="174"/>
      <c r="CI21" s="174"/>
      <c r="CJ21" s="58"/>
      <c r="CK21" s="109"/>
      <c r="CL21" s="766"/>
      <c r="CM21" s="767"/>
      <c r="CN21" s="767"/>
      <c r="CO21" s="767"/>
      <c r="CP21" s="767"/>
      <c r="CQ21" s="767"/>
      <c r="CR21" s="767"/>
      <c r="CS21" s="772"/>
      <c r="CT21" s="109"/>
      <c r="CU21" s="60"/>
      <c r="CV21" s="1065">
        <f>CP64+BQ37</f>
        <v>2159</v>
      </c>
      <c r="CW21" s="1066"/>
      <c r="CX21" s="1067"/>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719"/>
      <c r="F22" s="720"/>
      <c r="G22" s="720"/>
      <c r="H22" s="720"/>
      <c r="I22" s="721"/>
      <c r="J22" s="726"/>
      <c r="K22" s="726"/>
      <c r="L22" s="726"/>
      <c r="M22" s="726"/>
      <c r="N22" s="727"/>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719"/>
      <c r="AX22" s="720"/>
      <c r="AY22" s="720"/>
      <c r="AZ22" s="720"/>
      <c r="BA22" s="721"/>
      <c r="BB22" s="726"/>
      <c r="BC22" s="726"/>
      <c r="BD22" s="726"/>
      <c r="BE22" s="726"/>
      <c r="BF22" s="727"/>
      <c r="BG22" s="174"/>
      <c r="BH22" s="174"/>
      <c r="BI22" s="177"/>
      <c r="BJ22" s="174"/>
      <c r="BK22" s="174"/>
      <c r="BL22" s="17"/>
      <c r="BM22" s="6"/>
      <c r="BN22" s="6"/>
      <c r="BO22" s="6"/>
      <c r="BP22" s="18"/>
      <c r="BQ22" s="18"/>
      <c r="BR22" s="174"/>
      <c r="BS22" s="174"/>
      <c r="BT22" s="174"/>
      <c r="BU22" s="174"/>
      <c r="BV22" s="174"/>
      <c r="BW22" s="174"/>
      <c r="BX22" s="174"/>
      <c r="BY22" s="174"/>
      <c r="BZ22" s="174"/>
      <c r="CA22" s="174"/>
      <c r="CB22" s="174"/>
      <c r="CC22" s="174"/>
      <c r="CD22" s="174"/>
      <c r="CE22" s="174"/>
      <c r="CF22" s="174"/>
      <c r="CG22" s="174"/>
      <c r="CH22" s="174"/>
      <c r="CI22" s="174"/>
      <c r="CJ22" s="58"/>
      <c r="CK22" s="109"/>
      <c r="CL22" s="766"/>
      <c r="CM22" s="767"/>
      <c r="CN22" s="767"/>
      <c r="CO22" s="767"/>
      <c r="CP22" s="767"/>
      <c r="CQ22" s="767"/>
      <c r="CR22" s="767"/>
      <c r="CS22" s="772"/>
      <c r="CT22" s="109"/>
      <c r="CU22" s="60"/>
      <c r="CV22" s="1065" t="s">
        <v>99</v>
      </c>
      <c r="CW22" s="1066"/>
      <c r="CX22" s="1067"/>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7"/>
      <c r="BM23" s="6"/>
      <c r="BN23" s="6"/>
      <c r="BO23" s="6"/>
      <c r="BP23" s="18"/>
      <c r="BQ23" s="18"/>
      <c r="BR23" s="174"/>
      <c r="BS23" s="174"/>
      <c r="BT23" s="174"/>
      <c r="BU23" s="174"/>
      <c r="BV23" s="174"/>
      <c r="BW23" s="174"/>
      <c r="BX23" s="174"/>
      <c r="BY23" s="174"/>
      <c r="BZ23" s="174"/>
      <c r="CA23" s="174"/>
      <c r="CB23" s="174"/>
      <c r="CC23" s="174"/>
      <c r="CD23" s="174"/>
      <c r="CE23" s="174"/>
      <c r="CF23" s="174"/>
      <c r="CG23" s="174"/>
      <c r="CH23" s="174"/>
      <c r="CI23" s="174"/>
      <c r="CJ23" s="58"/>
      <c r="CK23" s="109"/>
      <c r="CL23" s="833">
        <f>CP15/LTAF/CP16 + CV21/CV20</f>
        <v>1718.4473684210527</v>
      </c>
      <c r="CM23" s="834"/>
      <c r="CN23" s="834"/>
      <c r="CO23" s="834"/>
      <c r="CP23" s="834"/>
      <c r="CQ23" s="834"/>
      <c r="CR23" s="834"/>
      <c r="CS23" s="835"/>
      <c r="CT23" s="109"/>
      <c r="CU23" s="60"/>
      <c r="CV23" s="1099"/>
      <c r="CW23" s="1068"/>
      <c r="CX23" s="1069"/>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74"/>
      <c r="AX24" s="174"/>
      <c r="AY24" s="174"/>
      <c r="AZ24" s="174"/>
      <c r="BA24" s="174"/>
      <c r="BB24" s="174"/>
      <c r="BC24" s="174"/>
      <c r="BD24" s="174"/>
      <c r="BE24" s="174"/>
      <c r="BF24" s="174"/>
      <c r="BG24" s="14"/>
      <c r="BH24" s="174"/>
      <c r="BI24" s="177"/>
      <c r="BJ24" s="174"/>
      <c r="BK24" s="174"/>
      <c r="BL24" s="17"/>
      <c r="BM24" s="6"/>
      <c r="BN24" s="6"/>
      <c r="BO24" s="6"/>
      <c r="BP24" s="18"/>
      <c r="BQ24" s="18"/>
      <c r="BR24" s="174"/>
      <c r="BS24" s="174"/>
      <c r="BT24" s="174"/>
      <c r="BU24" s="174"/>
      <c r="BV24" s="174"/>
      <c r="BW24" s="174"/>
      <c r="BX24" s="174"/>
      <c r="BY24" s="174"/>
      <c r="BZ24" s="174"/>
      <c r="CA24" s="174"/>
      <c r="CB24" s="174"/>
      <c r="CC24" s="174"/>
      <c r="CD24" s="174"/>
      <c r="CE24" s="174"/>
      <c r="CF24" s="174"/>
      <c r="CG24" s="174"/>
      <c r="CH24" s="174"/>
      <c r="CI24" s="174"/>
      <c r="CJ24" s="58"/>
      <c r="CK24" s="109"/>
      <c r="CL24" s="833"/>
      <c r="CM24" s="834"/>
      <c r="CN24" s="834"/>
      <c r="CO24" s="834"/>
      <c r="CP24" s="834"/>
      <c r="CQ24" s="834"/>
      <c r="CR24" s="834"/>
      <c r="CS24" s="835"/>
      <c r="CT24" s="109"/>
      <c r="CU24" s="60"/>
      <c r="CV24" s="1099"/>
      <c r="CW24" s="1068"/>
      <c r="CX24" s="1069"/>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74"/>
      <c r="AX25" s="174"/>
      <c r="AY25" s="174"/>
      <c r="AZ25" s="174"/>
      <c r="BA25" s="174"/>
      <c r="BB25" s="174"/>
      <c r="BC25" s="174"/>
      <c r="BD25" s="174"/>
      <c r="BE25" s="174"/>
      <c r="BF25" s="174"/>
      <c r="BG25" s="17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58"/>
      <c r="CK25" s="109"/>
      <c r="CL25" s="836"/>
      <c r="CM25" s="837"/>
      <c r="CN25" s="837"/>
      <c r="CO25" s="837"/>
      <c r="CP25" s="837"/>
      <c r="CQ25" s="837"/>
      <c r="CR25" s="837"/>
      <c r="CS25" s="838"/>
      <c r="CT25" s="109"/>
      <c r="CU25" s="60"/>
      <c r="CV25" s="1099"/>
      <c r="CW25" s="1068"/>
      <c r="CX25" s="1069"/>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74"/>
      <c r="AX26" s="174"/>
      <c r="AY26" s="174"/>
      <c r="AZ26" s="174"/>
      <c r="BA26" s="174"/>
      <c r="BB26" s="174"/>
      <c r="BC26" s="174"/>
      <c r="BD26" s="174"/>
      <c r="BE26" s="174"/>
      <c r="BF26" s="174"/>
      <c r="BG26" s="17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58"/>
      <c r="CK26" s="109"/>
      <c r="CL26" s="109"/>
      <c r="CM26" s="109"/>
      <c r="CN26" s="109"/>
      <c r="CO26" s="109"/>
      <c r="CP26" s="109"/>
      <c r="CQ26" s="109"/>
      <c r="CR26" s="109"/>
      <c r="CS26" s="109"/>
      <c r="CT26" s="109"/>
      <c r="CU26" s="60"/>
      <c r="CV26" s="1167"/>
      <c r="CW26" s="1070"/>
      <c r="CX26" s="1071"/>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728">
        <f>CL40</f>
        <v>1411.1578947368421</v>
      </c>
      <c r="F27" s="861"/>
      <c r="G27" s="861"/>
      <c r="H27" s="861"/>
      <c r="I27" s="861"/>
      <c r="J27" s="861"/>
      <c r="K27" s="861"/>
      <c r="L27" s="861"/>
      <c r="M27" s="861"/>
      <c r="N27" s="862"/>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74"/>
      <c r="AX27" s="174"/>
      <c r="AY27" s="174"/>
      <c r="AZ27" s="174"/>
      <c r="BA27" s="174"/>
      <c r="BB27" s="174"/>
      <c r="BC27" s="174"/>
      <c r="BD27" s="174"/>
      <c r="BE27" s="174"/>
      <c r="BF27" s="174"/>
      <c r="BG27" s="17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58"/>
      <c r="CK27" s="109"/>
      <c r="CL27" s="109"/>
      <c r="CM27" s="109"/>
      <c r="CN27" s="109"/>
      <c r="CO27" s="109"/>
      <c r="CP27" s="109"/>
      <c r="CQ27" s="109"/>
      <c r="CR27" s="109"/>
      <c r="CS27" s="109"/>
      <c r="CT27" s="109"/>
      <c r="CU27" s="60"/>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thickBot="1">
      <c r="B28" s="1"/>
      <c r="C28" s="174"/>
      <c r="D28" s="174"/>
      <c r="E28" s="863"/>
      <c r="F28" s="864"/>
      <c r="G28" s="864"/>
      <c r="H28" s="864"/>
      <c r="I28" s="864"/>
      <c r="J28" s="864"/>
      <c r="K28" s="864"/>
      <c r="L28" s="864"/>
      <c r="M28" s="864"/>
      <c r="N28" s="865"/>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61"/>
      <c r="CK28" s="110"/>
      <c r="CL28" s="110"/>
      <c r="CM28" s="110"/>
      <c r="CN28" s="110"/>
      <c r="CO28" s="110"/>
      <c r="CP28" s="110"/>
      <c r="CQ28" s="110"/>
      <c r="CR28" s="110"/>
      <c r="CS28" s="110"/>
      <c r="CT28" s="110"/>
      <c r="CU28" s="63"/>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866"/>
      <c r="F29" s="867"/>
      <c r="G29" s="867"/>
      <c r="H29" s="867"/>
      <c r="I29" s="867"/>
      <c r="J29" s="867"/>
      <c r="K29" s="867"/>
      <c r="L29" s="867"/>
      <c r="M29" s="867"/>
      <c r="N29" s="868"/>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713">
        <f>ROUND(E27/CLV_Limit,2)</f>
        <v>0.88</v>
      </c>
      <c r="F30" s="714"/>
      <c r="G30" s="714"/>
      <c r="H30" s="714"/>
      <c r="I30" s="715"/>
      <c r="J30" s="722" t="s">
        <v>100</v>
      </c>
      <c r="K30" s="722"/>
      <c r="L30" s="722"/>
      <c r="M30" s="722"/>
      <c r="N30" s="723"/>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716"/>
      <c r="F31" s="717"/>
      <c r="G31" s="717"/>
      <c r="H31" s="717"/>
      <c r="I31" s="718"/>
      <c r="J31" s="724"/>
      <c r="K31" s="724"/>
      <c r="L31" s="724"/>
      <c r="M31" s="724"/>
      <c r="N31" s="725"/>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4"/>
      <c r="BU31" s="1144">
        <f>DM37</f>
        <v>3</v>
      </c>
      <c r="BV31" s="1147">
        <f>DN37+CM64</f>
        <v>0</v>
      </c>
      <c r="BW31" s="1147" t="s">
        <v>99</v>
      </c>
      <c r="BX31" s="1134"/>
      <c r="BY31" s="1134"/>
      <c r="BZ31" s="1134"/>
      <c r="CA31" s="1135"/>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thickBot="1">
      <c r="B32" s="1"/>
      <c r="C32" s="174"/>
      <c r="D32" s="174"/>
      <c r="E32" s="719"/>
      <c r="F32" s="720"/>
      <c r="G32" s="720"/>
      <c r="H32" s="720"/>
      <c r="I32" s="721"/>
      <c r="J32" s="726"/>
      <c r="K32" s="726"/>
      <c r="L32" s="726"/>
      <c r="M32" s="726"/>
      <c r="N32" s="727"/>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4"/>
      <c r="BU32" s="1145"/>
      <c r="BV32" s="1148"/>
      <c r="BW32" s="1148"/>
      <c r="BX32" s="1136"/>
      <c r="BY32" s="1136"/>
      <c r="BZ32" s="1136"/>
      <c r="CA32" s="1137"/>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4"/>
      <c r="BU33" s="1146"/>
      <c r="BV33" s="1149"/>
      <c r="BW33" s="1149"/>
      <c r="BX33" s="1150"/>
      <c r="BY33" s="1150"/>
      <c r="BZ33" s="1150"/>
      <c r="CA33" s="1151"/>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138"/>
      <c r="BM34" s="1134"/>
      <c r="BN34" s="1134"/>
      <c r="BO34" s="1134"/>
      <c r="BP34" s="1140" t="s">
        <v>99</v>
      </c>
      <c r="BQ34" s="1142">
        <f>EBU_Master</f>
        <v>0</v>
      </c>
      <c r="BR34" s="1088"/>
      <c r="BS34" s="56"/>
      <c r="BT34" s="175"/>
      <c r="BU34" s="175"/>
      <c r="BV34" s="175"/>
      <c r="BW34" s="175"/>
      <c r="BX34" s="175"/>
      <c r="BY34" s="175"/>
      <c r="BZ34" s="175"/>
      <c r="CA34" s="175"/>
      <c r="CB34" s="175"/>
      <c r="CC34" s="175"/>
      <c r="CD34" s="176"/>
      <c r="CE34" s="174"/>
      <c r="CF34" s="174"/>
      <c r="CG34" s="174"/>
      <c r="CH34" s="174"/>
      <c r="CI34" s="177"/>
      <c r="CJ34" s="56"/>
      <c r="CK34" s="175"/>
      <c r="CL34" s="175"/>
      <c r="CM34" s="175"/>
      <c r="CN34" s="175"/>
      <c r="CO34" s="175"/>
      <c r="CP34" s="175"/>
      <c r="CQ34" s="175"/>
      <c r="CR34" s="175"/>
      <c r="CS34" s="175"/>
      <c r="CT34" s="175"/>
      <c r="CU34" s="176"/>
      <c r="CV34" s="1"/>
      <c r="CW34" s="174"/>
      <c r="CX34" s="174"/>
      <c r="CY34" s="174"/>
      <c r="CZ34" s="174"/>
      <c r="DA34" s="56"/>
      <c r="DB34" s="175"/>
      <c r="DC34" s="175"/>
      <c r="DD34" s="175"/>
      <c r="DE34" s="175"/>
      <c r="DF34" s="175"/>
      <c r="DG34" s="175"/>
      <c r="DH34" s="175"/>
      <c r="DI34" s="175"/>
      <c r="DJ34" s="175"/>
      <c r="DK34" s="175"/>
      <c r="DL34" s="176"/>
      <c r="DM34" s="1090">
        <v>1</v>
      </c>
      <c r="DN34" s="1130">
        <f>WBR_Master</f>
        <v>625</v>
      </c>
      <c r="DO34" s="1132" t="s">
        <v>99</v>
      </c>
      <c r="DP34" s="1134"/>
      <c r="DQ34" s="1134"/>
      <c r="DR34" s="1134"/>
      <c r="DS34" s="1135"/>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139"/>
      <c r="BM35" s="1136"/>
      <c r="BN35" s="1136"/>
      <c r="BO35" s="1136"/>
      <c r="BP35" s="1141"/>
      <c r="BQ35" s="1143"/>
      <c r="BR35" s="1089"/>
      <c r="BS35" s="58"/>
      <c r="BT35" s="109"/>
      <c r="BU35" s="109"/>
      <c r="BV35" s="109"/>
      <c r="BW35" s="109"/>
      <c r="BX35" s="109"/>
      <c r="BY35" s="109"/>
      <c r="BZ35" s="109"/>
      <c r="CA35" s="109"/>
      <c r="CB35" s="109"/>
      <c r="CC35" s="109"/>
      <c r="CD35" s="60"/>
      <c r="CE35" s="174"/>
      <c r="CF35" s="174"/>
      <c r="CG35" s="174"/>
      <c r="CH35" s="174"/>
      <c r="CI35" s="177"/>
      <c r="CJ35" s="58"/>
      <c r="CK35" s="109"/>
      <c r="CL35" s="109"/>
      <c r="CM35" s="109"/>
      <c r="CN35" s="109"/>
      <c r="CO35" s="109"/>
      <c r="CP35" s="109"/>
      <c r="CQ35" s="109"/>
      <c r="CR35" s="109"/>
      <c r="CS35" s="109"/>
      <c r="CT35" s="109"/>
      <c r="CU35" s="60"/>
      <c r="CV35" s="1"/>
      <c r="CW35" s="174"/>
      <c r="CX35" s="174"/>
      <c r="CY35" s="174"/>
      <c r="CZ35" s="174"/>
      <c r="DA35" s="58"/>
      <c r="DB35" s="109"/>
      <c r="DC35" s="109"/>
      <c r="DD35" s="109"/>
      <c r="DE35" s="109"/>
      <c r="DF35" s="109"/>
      <c r="DG35" s="109"/>
      <c r="DH35" s="109"/>
      <c r="DI35" s="109"/>
      <c r="DJ35" s="109"/>
      <c r="DK35" s="109"/>
      <c r="DL35" s="60"/>
      <c r="DM35" s="1082"/>
      <c r="DN35" s="1131"/>
      <c r="DO35" s="1133"/>
      <c r="DP35" s="1136"/>
      <c r="DQ35" s="1136"/>
      <c r="DR35" s="1136"/>
      <c r="DS35" s="113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139"/>
      <c r="BM36" s="1136"/>
      <c r="BN36" s="1136"/>
      <c r="BO36" s="1136"/>
      <c r="BP36" s="1141"/>
      <c r="BQ36" s="1143"/>
      <c r="BR36" s="1089"/>
      <c r="BS36" s="58"/>
      <c r="BT36" s="109"/>
      <c r="BU36" s="109"/>
      <c r="BV36" s="109"/>
      <c r="BW36" s="109"/>
      <c r="BX36" s="109"/>
      <c r="BY36" s="109"/>
      <c r="BZ36" s="109"/>
      <c r="CA36" s="109"/>
      <c r="CB36" s="109"/>
      <c r="CC36" s="109"/>
      <c r="CD36" s="60"/>
      <c r="CE36" s="174"/>
      <c r="CF36" s="174"/>
      <c r="CG36" s="174"/>
      <c r="CH36" s="174"/>
      <c r="CI36" s="177"/>
      <c r="CJ36" s="58"/>
      <c r="CK36" s="109"/>
      <c r="CL36" s="109"/>
      <c r="CM36" s="109"/>
      <c r="CN36" s="109"/>
      <c r="CO36" s="109"/>
      <c r="CP36" s="109"/>
      <c r="CQ36" s="109"/>
      <c r="CR36" s="109"/>
      <c r="CS36" s="109"/>
      <c r="CT36" s="109"/>
      <c r="CU36" s="60"/>
      <c r="CV36" s="1"/>
      <c r="CW36" s="174"/>
      <c r="CX36" s="174"/>
      <c r="CY36" s="174"/>
      <c r="CZ36" s="174"/>
      <c r="DA36" s="58"/>
      <c r="DB36" s="109"/>
      <c r="DC36" s="109"/>
      <c r="DD36" s="109"/>
      <c r="DE36" s="109"/>
      <c r="DF36" s="109"/>
      <c r="DG36" s="109"/>
      <c r="DH36" s="109"/>
      <c r="DI36" s="109"/>
      <c r="DJ36" s="109"/>
      <c r="DK36" s="109"/>
      <c r="DL36" s="60"/>
      <c r="DM36" s="1082"/>
      <c r="DN36" s="1131"/>
      <c r="DO36" s="1133"/>
      <c r="DP36" s="1136"/>
      <c r="DQ36" s="1136"/>
      <c r="DR36" s="1136"/>
      <c r="DS36" s="113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139"/>
      <c r="BM37" s="1136"/>
      <c r="BN37" s="1136"/>
      <c r="BO37" s="1136"/>
      <c r="BP37" s="1141" t="s">
        <v>99</v>
      </c>
      <c r="BQ37" s="1143">
        <f>EBL_Master</f>
        <v>899</v>
      </c>
      <c r="BR37" s="1081">
        <v>2</v>
      </c>
      <c r="BS37" s="58"/>
      <c r="BT37" s="109"/>
      <c r="BU37" s="763"/>
      <c r="BV37" s="764"/>
      <c r="BW37" s="764"/>
      <c r="BX37" s="764"/>
      <c r="BY37" s="764"/>
      <c r="BZ37" s="764"/>
      <c r="CA37" s="764"/>
      <c r="CB37" s="771"/>
      <c r="CC37" s="109"/>
      <c r="CD37" s="60"/>
      <c r="CE37" s="174"/>
      <c r="CF37" s="174"/>
      <c r="CG37" s="174"/>
      <c r="CH37" s="174"/>
      <c r="CI37" s="177"/>
      <c r="CJ37" s="58"/>
      <c r="CK37" s="109"/>
      <c r="CL37" s="763"/>
      <c r="CM37" s="764"/>
      <c r="CN37" s="764"/>
      <c r="CO37" s="764"/>
      <c r="CP37" s="764"/>
      <c r="CQ37" s="764"/>
      <c r="CR37" s="764"/>
      <c r="CS37" s="771"/>
      <c r="CT37" s="109"/>
      <c r="CU37" s="60"/>
      <c r="CV37" s="1"/>
      <c r="CW37" s="174"/>
      <c r="CX37" s="174"/>
      <c r="CY37" s="174"/>
      <c r="CZ37" s="174"/>
      <c r="DA37" s="58"/>
      <c r="DB37" s="109"/>
      <c r="DC37" s="763"/>
      <c r="DD37" s="764"/>
      <c r="DE37" s="764"/>
      <c r="DF37" s="764"/>
      <c r="DG37" s="764"/>
      <c r="DH37" s="764"/>
      <c r="DI37" s="764"/>
      <c r="DJ37" s="771"/>
      <c r="DK37" s="109"/>
      <c r="DL37" s="60"/>
      <c r="DM37" s="1082">
        <v>3</v>
      </c>
      <c r="DN37" s="1131">
        <f>WBT_Master</f>
        <v>0</v>
      </c>
      <c r="DO37" s="1133" t="s">
        <v>99</v>
      </c>
      <c r="DP37" s="1136"/>
      <c r="DQ37" s="1136"/>
      <c r="DR37" s="1136"/>
      <c r="DS37" s="113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139"/>
      <c r="BM38" s="1136"/>
      <c r="BN38" s="1136"/>
      <c r="BO38" s="1136"/>
      <c r="BP38" s="1141"/>
      <c r="BQ38" s="1143"/>
      <c r="BR38" s="1081"/>
      <c r="BS38" s="58"/>
      <c r="BT38" s="109"/>
      <c r="BU38" s="766"/>
      <c r="BV38" s="767"/>
      <c r="BW38" s="767"/>
      <c r="BX38" s="767"/>
      <c r="BY38" s="767"/>
      <c r="BZ38" s="767"/>
      <c r="CA38" s="767"/>
      <c r="CB38" s="772"/>
      <c r="CC38" s="109"/>
      <c r="CD38" s="60"/>
      <c r="CE38" s="174"/>
      <c r="CF38" s="174"/>
      <c r="CG38" s="174"/>
      <c r="CH38" s="174"/>
      <c r="CI38" s="177"/>
      <c r="CJ38" s="58"/>
      <c r="CK38" s="109"/>
      <c r="CL38" s="766"/>
      <c r="CM38" s="767"/>
      <c r="CN38" s="767"/>
      <c r="CO38" s="767"/>
      <c r="CP38" s="767"/>
      <c r="CQ38" s="767"/>
      <c r="CR38" s="767"/>
      <c r="CS38" s="772"/>
      <c r="CT38" s="109"/>
      <c r="CU38" s="60"/>
      <c r="CV38" s="1"/>
      <c r="CW38" s="174"/>
      <c r="CX38" s="174"/>
      <c r="CY38" s="174"/>
      <c r="CZ38" s="174"/>
      <c r="DA38" s="58"/>
      <c r="DB38" s="109"/>
      <c r="DC38" s="766"/>
      <c r="DD38" s="767"/>
      <c r="DE38" s="767"/>
      <c r="DF38" s="767"/>
      <c r="DG38" s="767"/>
      <c r="DH38" s="767"/>
      <c r="DI38" s="767"/>
      <c r="DJ38" s="772"/>
      <c r="DK38" s="109"/>
      <c r="DL38" s="60"/>
      <c r="DM38" s="1082"/>
      <c r="DN38" s="1131"/>
      <c r="DO38" s="1133"/>
      <c r="DP38" s="1136"/>
      <c r="DQ38" s="1136"/>
      <c r="DR38" s="1136"/>
      <c r="DS38" s="113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139"/>
      <c r="BM39" s="1136"/>
      <c r="BN39" s="1136"/>
      <c r="BO39" s="1136"/>
      <c r="BP39" s="1141"/>
      <c r="BQ39" s="1143"/>
      <c r="BR39" s="1081"/>
      <c r="BS39" s="58"/>
      <c r="BT39" s="109"/>
      <c r="BU39" s="766"/>
      <c r="BV39" s="767"/>
      <c r="BW39" s="767"/>
      <c r="BX39" s="767"/>
      <c r="BY39" s="767"/>
      <c r="BZ39" s="767"/>
      <c r="CA39" s="767"/>
      <c r="CB39" s="772"/>
      <c r="CC39" s="109"/>
      <c r="CD39" s="60"/>
      <c r="CE39" s="174"/>
      <c r="CF39" s="174"/>
      <c r="CG39" s="174"/>
      <c r="CH39" s="174"/>
      <c r="CI39" s="177"/>
      <c r="CJ39" s="58"/>
      <c r="CK39" s="109"/>
      <c r="CL39" s="766"/>
      <c r="CM39" s="767"/>
      <c r="CN39" s="767"/>
      <c r="CO39" s="767"/>
      <c r="CP39" s="767"/>
      <c r="CQ39" s="767"/>
      <c r="CR39" s="767"/>
      <c r="CS39" s="772"/>
      <c r="CT39" s="109"/>
      <c r="CU39" s="60"/>
      <c r="CV39" s="1"/>
      <c r="CW39" s="174"/>
      <c r="CX39" s="174"/>
      <c r="CY39" s="174"/>
      <c r="CZ39" s="174"/>
      <c r="DA39" s="58"/>
      <c r="DB39" s="109"/>
      <c r="DC39" s="766"/>
      <c r="DD39" s="767"/>
      <c r="DE39" s="767"/>
      <c r="DF39" s="767"/>
      <c r="DG39" s="767"/>
      <c r="DH39" s="767"/>
      <c r="DI39" s="767"/>
      <c r="DJ39" s="772"/>
      <c r="DK39" s="109"/>
      <c r="DL39" s="60"/>
      <c r="DM39" s="1082"/>
      <c r="DN39" s="1131"/>
      <c r="DO39" s="1133"/>
      <c r="DP39" s="1136"/>
      <c r="DQ39" s="1136"/>
      <c r="DR39" s="1136"/>
      <c r="DS39" s="113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139"/>
      <c r="BM40" s="1136"/>
      <c r="BN40" s="1136"/>
      <c r="BO40" s="1136"/>
      <c r="BP40" s="1141" t="s">
        <v>99</v>
      </c>
      <c r="BQ40" s="1143">
        <f>EBT_Master</f>
        <v>0</v>
      </c>
      <c r="BR40" s="1081">
        <v>3</v>
      </c>
      <c r="BS40" s="58"/>
      <c r="BT40" s="109"/>
      <c r="BU40" s="833">
        <f>BQ37/LTAF/BR37 + BV31/BU31</f>
        <v>473.15789473684214</v>
      </c>
      <c r="BV40" s="834"/>
      <c r="BW40" s="834"/>
      <c r="BX40" s="834"/>
      <c r="BY40" s="834"/>
      <c r="BZ40" s="834"/>
      <c r="CA40" s="834"/>
      <c r="CB40" s="835"/>
      <c r="CC40" s="109"/>
      <c r="CD40" s="60"/>
      <c r="CE40" s="174"/>
      <c r="CF40" s="174"/>
      <c r="CG40" s="174"/>
      <c r="CH40" s="174"/>
      <c r="CI40" s="177"/>
      <c r="CJ40" s="58"/>
      <c r="CK40" s="109"/>
      <c r="CL40" s="833">
        <f>MAX(BQ37/LTAF/BR37, BQ40/BR40, ROUND(MAX(0,BQ43/RTAF/BR43-CM64/LTAF/CM63),0), DN40/LTAF/DM40, DN37/DM37, ROUND(MAX(0,DN34/RTAF/DM34-CP15/LTAF/CP16),0))+MAX(CM64/LTAF/CM63, CP64/CP63, ROUND(MAX(0,CS64/RTAF/CS63-DN40/LTAF/DM40),0), CP15/LTAF/CP16, CM15/CM16, ROUND(MAX(0,CJ15/RTAF/CJ16-BQ37/LTAF/BR37),0))</f>
        <v>1411.1578947368421</v>
      </c>
      <c r="CM40" s="834"/>
      <c r="CN40" s="834"/>
      <c r="CO40" s="834"/>
      <c r="CP40" s="834"/>
      <c r="CQ40" s="834"/>
      <c r="CR40" s="834"/>
      <c r="CS40" s="835"/>
      <c r="CT40" s="109"/>
      <c r="CU40" s="60"/>
      <c r="CV40" s="1"/>
      <c r="CW40" s="174"/>
      <c r="CX40" s="174"/>
      <c r="CY40" s="174"/>
      <c r="CZ40" s="174"/>
      <c r="DA40" s="58"/>
      <c r="DB40" s="109"/>
      <c r="DC40" s="833">
        <f>DN40/LTAF/DM40+ DI46/DJ46</f>
        <v>511.80701754385973</v>
      </c>
      <c r="DD40" s="834"/>
      <c r="DE40" s="834"/>
      <c r="DF40" s="834"/>
      <c r="DG40" s="834"/>
      <c r="DH40" s="834"/>
      <c r="DI40" s="834"/>
      <c r="DJ40" s="835"/>
      <c r="DK40" s="109"/>
      <c r="DL40" s="60"/>
      <c r="DM40" s="1082">
        <v>2</v>
      </c>
      <c r="DN40" s="1131">
        <f>WBL_Master</f>
        <v>588</v>
      </c>
      <c r="DO40" s="1133" t="s">
        <v>99</v>
      </c>
      <c r="DP40" s="1136"/>
      <c r="DQ40" s="1136"/>
      <c r="DR40" s="1136"/>
      <c r="DS40" s="113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139"/>
      <c r="BM41" s="1136"/>
      <c r="BN41" s="1136"/>
      <c r="BO41" s="1136"/>
      <c r="BP41" s="1141"/>
      <c r="BQ41" s="1143"/>
      <c r="BR41" s="1081"/>
      <c r="BS41" s="58"/>
      <c r="BT41" s="109"/>
      <c r="BU41" s="833"/>
      <c r="BV41" s="834"/>
      <c r="BW41" s="834"/>
      <c r="BX41" s="834"/>
      <c r="BY41" s="834"/>
      <c r="BZ41" s="834"/>
      <c r="CA41" s="834"/>
      <c r="CB41" s="835"/>
      <c r="CC41" s="109"/>
      <c r="CD41" s="60"/>
      <c r="CE41" s="174"/>
      <c r="CF41" s="174"/>
      <c r="CG41" s="174"/>
      <c r="CH41" s="174"/>
      <c r="CI41" s="177"/>
      <c r="CJ41" s="58"/>
      <c r="CK41" s="109"/>
      <c r="CL41" s="833"/>
      <c r="CM41" s="834"/>
      <c r="CN41" s="834"/>
      <c r="CO41" s="834"/>
      <c r="CP41" s="834"/>
      <c r="CQ41" s="834"/>
      <c r="CR41" s="834"/>
      <c r="CS41" s="835"/>
      <c r="CT41" s="109"/>
      <c r="CU41" s="60"/>
      <c r="CV41" s="1"/>
      <c r="CW41" s="174"/>
      <c r="CX41" s="174"/>
      <c r="CY41" s="174"/>
      <c r="CZ41" s="174"/>
      <c r="DA41" s="58"/>
      <c r="DB41" s="109"/>
      <c r="DC41" s="833"/>
      <c r="DD41" s="834"/>
      <c r="DE41" s="834"/>
      <c r="DF41" s="834"/>
      <c r="DG41" s="834"/>
      <c r="DH41" s="834"/>
      <c r="DI41" s="834"/>
      <c r="DJ41" s="835"/>
      <c r="DK41" s="109"/>
      <c r="DL41" s="60"/>
      <c r="DM41" s="1082"/>
      <c r="DN41" s="1131"/>
      <c r="DO41" s="1133"/>
      <c r="DP41" s="1136"/>
      <c r="DQ41" s="1136"/>
      <c r="DR41" s="1136"/>
      <c r="DS41" s="113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139"/>
      <c r="BM42" s="1136"/>
      <c r="BN42" s="1136"/>
      <c r="BO42" s="1136"/>
      <c r="BP42" s="1141"/>
      <c r="BQ42" s="1143"/>
      <c r="BR42" s="1081"/>
      <c r="BS42" s="58"/>
      <c r="BT42" s="109"/>
      <c r="BU42" s="836"/>
      <c r="BV42" s="837"/>
      <c r="BW42" s="837"/>
      <c r="BX42" s="837"/>
      <c r="BY42" s="837"/>
      <c r="BZ42" s="837"/>
      <c r="CA42" s="837"/>
      <c r="CB42" s="838"/>
      <c r="CC42" s="109"/>
      <c r="CD42" s="60"/>
      <c r="CE42" s="174"/>
      <c r="CF42" s="174"/>
      <c r="CG42" s="174"/>
      <c r="CH42" s="174"/>
      <c r="CI42" s="177"/>
      <c r="CJ42" s="58"/>
      <c r="CK42" s="109"/>
      <c r="CL42" s="836"/>
      <c r="CM42" s="837"/>
      <c r="CN42" s="837"/>
      <c r="CO42" s="837"/>
      <c r="CP42" s="837"/>
      <c r="CQ42" s="837"/>
      <c r="CR42" s="837"/>
      <c r="CS42" s="838"/>
      <c r="CT42" s="109"/>
      <c r="CU42" s="60"/>
      <c r="CV42" s="1"/>
      <c r="CW42" s="174"/>
      <c r="CX42" s="174"/>
      <c r="CY42" s="174"/>
      <c r="CZ42" s="174"/>
      <c r="DA42" s="58"/>
      <c r="DB42" s="109"/>
      <c r="DC42" s="836"/>
      <c r="DD42" s="837"/>
      <c r="DE42" s="837"/>
      <c r="DF42" s="837"/>
      <c r="DG42" s="837"/>
      <c r="DH42" s="837"/>
      <c r="DI42" s="837"/>
      <c r="DJ42" s="838"/>
      <c r="DK42" s="109"/>
      <c r="DL42" s="60"/>
      <c r="DM42" s="1082"/>
      <c r="DN42" s="1131"/>
      <c r="DO42" s="1133"/>
      <c r="DP42" s="1136"/>
      <c r="DQ42" s="1136"/>
      <c r="DR42" s="1136"/>
      <c r="DS42" s="113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139"/>
      <c r="BM43" s="1136"/>
      <c r="BN43" s="1136"/>
      <c r="BO43" s="1136"/>
      <c r="BP43" s="1141" t="s">
        <v>99</v>
      </c>
      <c r="BQ43" s="1143">
        <f>EBR_Master</f>
        <v>208</v>
      </c>
      <c r="BR43" s="1081">
        <v>1</v>
      </c>
      <c r="BS43" s="58"/>
      <c r="BT43" s="109"/>
      <c r="BU43" s="109"/>
      <c r="BV43" s="109"/>
      <c r="BW43" s="109"/>
      <c r="BX43" s="109"/>
      <c r="BY43" s="109"/>
      <c r="BZ43" s="109"/>
      <c r="CA43" s="109"/>
      <c r="CB43" s="109"/>
      <c r="CC43" s="109"/>
      <c r="CD43" s="60"/>
      <c r="CE43" s="174"/>
      <c r="CF43" s="174"/>
      <c r="CG43" s="174"/>
      <c r="CH43" s="174"/>
      <c r="CI43" s="177"/>
      <c r="CJ43" s="58"/>
      <c r="CK43" s="109"/>
      <c r="CL43" s="109"/>
      <c r="CM43" s="109"/>
      <c r="CN43" s="109"/>
      <c r="CO43" s="109"/>
      <c r="CP43" s="109"/>
      <c r="CQ43" s="109"/>
      <c r="CR43" s="109"/>
      <c r="CS43" s="109"/>
      <c r="CT43" s="109"/>
      <c r="CU43" s="60"/>
      <c r="CV43" s="1"/>
      <c r="CW43" s="174"/>
      <c r="CX43" s="174"/>
      <c r="CY43" s="174"/>
      <c r="CZ43" s="174"/>
      <c r="DA43" s="58"/>
      <c r="DB43" s="109"/>
      <c r="DC43" s="109"/>
      <c r="DD43" s="109"/>
      <c r="DE43" s="109"/>
      <c r="DF43" s="109"/>
      <c r="DG43" s="109"/>
      <c r="DH43" s="109"/>
      <c r="DI43" s="109"/>
      <c r="DJ43" s="109"/>
      <c r="DK43" s="109"/>
      <c r="DL43" s="60"/>
      <c r="DM43" s="1111"/>
      <c r="DN43" s="1131">
        <f>WBU_Master</f>
        <v>0</v>
      </c>
      <c r="DO43" s="1133" t="s">
        <v>99</v>
      </c>
      <c r="DP43" s="1136"/>
      <c r="DQ43" s="1136"/>
      <c r="DR43" s="1136"/>
      <c r="DS43" s="113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139"/>
      <c r="BM44" s="1136"/>
      <c r="BN44" s="1136"/>
      <c r="BO44" s="1136"/>
      <c r="BP44" s="1141"/>
      <c r="BQ44" s="1143"/>
      <c r="BR44" s="1081"/>
      <c r="BS44" s="58"/>
      <c r="BT44" s="109"/>
      <c r="BU44" s="109"/>
      <c r="BV44" s="109"/>
      <c r="BW44" s="109"/>
      <c r="BX44" s="109"/>
      <c r="BY44" s="109"/>
      <c r="BZ44" s="109"/>
      <c r="CA44" s="109"/>
      <c r="CB44" s="109"/>
      <c r="CC44" s="109"/>
      <c r="CD44" s="60"/>
      <c r="CE44" s="174"/>
      <c r="CF44" s="174"/>
      <c r="CG44" s="174"/>
      <c r="CH44" s="174"/>
      <c r="CI44" s="177"/>
      <c r="CJ44" s="58"/>
      <c r="CK44" s="109"/>
      <c r="CL44" s="109"/>
      <c r="CM44" s="109"/>
      <c r="CN44" s="109"/>
      <c r="CO44" s="109"/>
      <c r="CP44" s="109"/>
      <c r="CQ44" s="109"/>
      <c r="CR44" s="109"/>
      <c r="CS44" s="109"/>
      <c r="CT44" s="109"/>
      <c r="CU44" s="60"/>
      <c r="CV44" s="1"/>
      <c r="CW44" s="174"/>
      <c r="CX44" s="174"/>
      <c r="CY44" s="174"/>
      <c r="CZ44" s="174"/>
      <c r="DA44" s="58"/>
      <c r="DB44" s="109"/>
      <c r="DC44" s="109"/>
      <c r="DD44" s="109"/>
      <c r="DE44" s="109"/>
      <c r="DF44" s="109"/>
      <c r="DG44" s="109"/>
      <c r="DH44" s="109"/>
      <c r="DI44" s="109"/>
      <c r="DJ44" s="109"/>
      <c r="DK44" s="109"/>
      <c r="DL44" s="60"/>
      <c r="DM44" s="1111"/>
      <c r="DN44" s="1131"/>
      <c r="DO44" s="1133"/>
      <c r="DP44" s="1136"/>
      <c r="DQ44" s="1136"/>
      <c r="DR44" s="1136"/>
      <c r="DS44" s="113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153"/>
      <c r="BM45" s="1150"/>
      <c r="BN45" s="1150"/>
      <c r="BO45" s="1150"/>
      <c r="BP45" s="1154"/>
      <c r="BQ45" s="1155"/>
      <c r="BR45" s="1110"/>
      <c r="BS45" s="61"/>
      <c r="BT45" s="110"/>
      <c r="BU45" s="110"/>
      <c r="BV45" s="110"/>
      <c r="BW45" s="110"/>
      <c r="BX45" s="110"/>
      <c r="BY45" s="110"/>
      <c r="BZ45" s="110"/>
      <c r="CA45" s="110"/>
      <c r="CB45" s="110"/>
      <c r="CC45" s="110"/>
      <c r="CD45" s="63"/>
      <c r="CE45" s="174"/>
      <c r="CF45" s="174"/>
      <c r="CG45" s="174"/>
      <c r="CH45" s="174"/>
      <c r="CI45" s="177"/>
      <c r="CJ45" s="61"/>
      <c r="CK45" s="110"/>
      <c r="CL45" s="110"/>
      <c r="CM45" s="110"/>
      <c r="CN45" s="110"/>
      <c r="CO45" s="110"/>
      <c r="CP45" s="110"/>
      <c r="CQ45" s="110"/>
      <c r="CR45" s="110"/>
      <c r="CS45" s="110"/>
      <c r="CT45" s="110"/>
      <c r="CU45" s="63"/>
      <c r="CV45" s="1"/>
      <c r="CW45" s="174"/>
      <c r="CX45" s="174"/>
      <c r="CY45" s="174"/>
      <c r="CZ45" s="174"/>
      <c r="DA45" s="61"/>
      <c r="DB45" s="110"/>
      <c r="DC45" s="110"/>
      <c r="DD45" s="110"/>
      <c r="DE45" s="110"/>
      <c r="DF45" s="110"/>
      <c r="DG45" s="110"/>
      <c r="DH45" s="110"/>
      <c r="DI45" s="110"/>
      <c r="DJ45" s="110"/>
      <c r="DK45" s="110"/>
      <c r="DL45" s="63"/>
      <c r="DM45" s="1112"/>
      <c r="DN45" s="1156"/>
      <c r="DO45" s="1157"/>
      <c r="DP45" s="1150"/>
      <c r="DQ45" s="1150"/>
      <c r="DR45" s="1150"/>
      <c r="DS45" s="1151"/>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138"/>
      <c r="DE46" s="1134"/>
      <c r="DF46" s="1134"/>
      <c r="DG46" s="1134"/>
      <c r="DH46" s="1158" t="s">
        <v>99</v>
      </c>
      <c r="DI46" s="1161">
        <f>BQ40+CP15</f>
        <v>607</v>
      </c>
      <c r="DJ46" s="1174">
        <f>BR40</f>
        <v>3</v>
      </c>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139"/>
      <c r="DE47" s="1136"/>
      <c r="DF47" s="1136"/>
      <c r="DG47" s="1136"/>
      <c r="DH47" s="1159"/>
      <c r="DI47" s="1162"/>
      <c r="DJ47" s="1175"/>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153"/>
      <c r="DE48" s="1150"/>
      <c r="DF48" s="1150"/>
      <c r="DG48" s="1150"/>
      <c r="DH48" s="1160"/>
      <c r="DI48" s="1163"/>
      <c r="DJ48" s="1176"/>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56"/>
      <c r="CK51" s="175"/>
      <c r="CL51" s="175"/>
      <c r="CM51" s="175"/>
      <c r="CN51" s="175"/>
      <c r="CO51" s="175"/>
      <c r="CP51" s="175"/>
      <c r="CQ51" s="175"/>
      <c r="CR51" s="175"/>
      <c r="CS51" s="175"/>
      <c r="CT51" s="175"/>
      <c r="CU51" s="176"/>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58"/>
      <c r="CK52" s="109"/>
      <c r="CL52" s="109"/>
      <c r="CM52" s="109"/>
      <c r="CN52" s="109"/>
      <c r="CO52" s="109"/>
      <c r="CP52" s="109"/>
      <c r="CQ52" s="109"/>
      <c r="CR52" s="109"/>
      <c r="CS52" s="109"/>
      <c r="CT52" s="109"/>
      <c r="CU52" s="60"/>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096"/>
      <c r="CH53" s="1097"/>
      <c r="CI53" s="1098"/>
      <c r="CJ53" s="58"/>
      <c r="CK53" s="109"/>
      <c r="CL53" s="109"/>
      <c r="CM53" s="109"/>
      <c r="CN53" s="109"/>
      <c r="CO53" s="109"/>
      <c r="CP53" s="109"/>
      <c r="CQ53" s="109"/>
      <c r="CR53" s="109"/>
      <c r="CS53" s="109"/>
      <c r="CT53" s="109"/>
      <c r="CU53" s="60"/>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099"/>
      <c r="CH54" s="1068"/>
      <c r="CI54" s="1069"/>
      <c r="CJ54" s="58"/>
      <c r="CK54" s="109"/>
      <c r="CL54" s="763"/>
      <c r="CM54" s="764"/>
      <c r="CN54" s="764"/>
      <c r="CO54" s="764"/>
      <c r="CP54" s="764"/>
      <c r="CQ54" s="764"/>
      <c r="CR54" s="764"/>
      <c r="CS54" s="771"/>
      <c r="CT54" s="109"/>
      <c r="CU54" s="60"/>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099"/>
      <c r="CH55" s="1068"/>
      <c r="CI55" s="1069"/>
      <c r="CJ55" s="58"/>
      <c r="CK55" s="109"/>
      <c r="CL55" s="766"/>
      <c r="CM55" s="767"/>
      <c r="CN55" s="767"/>
      <c r="CO55" s="767"/>
      <c r="CP55" s="767"/>
      <c r="CQ55" s="767"/>
      <c r="CR55" s="767"/>
      <c r="CS55" s="772"/>
      <c r="CT55" s="109"/>
      <c r="CU55" s="60"/>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099"/>
      <c r="CH56" s="1068"/>
      <c r="CI56" s="1069"/>
      <c r="CJ56" s="58"/>
      <c r="CK56" s="109"/>
      <c r="CL56" s="766"/>
      <c r="CM56" s="767"/>
      <c r="CN56" s="767"/>
      <c r="CO56" s="767"/>
      <c r="CP56" s="767"/>
      <c r="CQ56" s="767"/>
      <c r="CR56" s="767"/>
      <c r="CS56" s="772"/>
      <c r="CT56" s="109"/>
      <c r="CU56" s="60"/>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065" t="s">
        <v>99</v>
      </c>
      <c r="CH57" s="1066"/>
      <c r="CI57" s="1067"/>
      <c r="CJ57" s="58"/>
      <c r="CK57" s="109"/>
      <c r="CL57" s="833">
        <f>CM64/LTAF/CM63 + CG58/CG59</f>
        <v>1017.5</v>
      </c>
      <c r="CM57" s="834"/>
      <c r="CN57" s="834"/>
      <c r="CO57" s="834"/>
      <c r="CP57" s="834"/>
      <c r="CQ57" s="834"/>
      <c r="CR57" s="834"/>
      <c r="CS57" s="835"/>
      <c r="CT57" s="109"/>
      <c r="CU57" s="60"/>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100">
        <f>CM15+DN40</f>
        <v>2035</v>
      </c>
      <c r="CH58" s="1101"/>
      <c r="CI58" s="1102"/>
      <c r="CJ58" s="58"/>
      <c r="CK58" s="109"/>
      <c r="CL58" s="833"/>
      <c r="CM58" s="834"/>
      <c r="CN58" s="834"/>
      <c r="CO58" s="834"/>
      <c r="CP58" s="834"/>
      <c r="CQ58" s="834"/>
      <c r="CR58" s="834"/>
      <c r="CS58" s="835"/>
      <c r="CT58" s="109"/>
      <c r="CU58" s="60"/>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103">
        <f>CM16</f>
        <v>2</v>
      </c>
      <c r="CH59" s="1104"/>
      <c r="CI59" s="1105"/>
      <c r="CJ59" s="58"/>
      <c r="CK59" s="109"/>
      <c r="CL59" s="836"/>
      <c r="CM59" s="837"/>
      <c r="CN59" s="837"/>
      <c r="CO59" s="837"/>
      <c r="CP59" s="837"/>
      <c r="CQ59" s="837"/>
      <c r="CR59" s="837"/>
      <c r="CS59" s="838"/>
      <c r="CT59" s="109"/>
      <c r="CU59" s="60"/>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30"/>
      <c r="CI60" s="174"/>
      <c r="CJ60" s="58"/>
      <c r="CK60" s="109"/>
      <c r="CL60" s="109"/>
      <c r="CM60" s="109"/>
      <c r="CN60" s="109"/>
      <c r="CO60" s="109"/>
      <c r="CP60" s="109"/>
      <c r="CQ60" s="109"/>
      <c r="CR60" s="109"/>
      <c r="CS60" s="109"/>
      <c r="CT60" s="109"/>
      <c r="CU60" s="60"/>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58"/>
      <c r="CK61" s="109"/>
      <c r="CL61" s="109"/>
      <c r="CM61" s="109"/>
      <c r="CN61" s="109"/>
      <c r="CO61" s="109"/>
      <c r="CP61" s="109"/>
      <c r="CQ61" s="109"/>
      <c r="CR61" s="109"/>
      <c r="CS61" s="109"/>
      <c r="CT61" s="109"/>
      <c r="CU61" s="60"/>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61"/>
      <c r="CK62" s="110"/>
      <c r="CL62" s="110"/>
      <c r="CM62" s="110"/>
      <c r="CN62" s="110"/>
      <c r="CO62" s="110"/>
      <c r="CP62" s="110"/>
      <c r="CQ62" s="110"/>
      <c r="CR62" s="110"/>
      <c r="CS62" s="110"/>
      <c r="CT62" s="110"/>
      <c r="CU62" s="63"/>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120"/>
      <c r="CK63" s="1121"/>
      <c r="CL63" s="1121"/>
      <c r="CM63" s="1040">
        <v>1</v>
      </c>
      <c r="CN63" s="1040"/>
      <c r="CO63" s="1040"/>
      <c r="CP63" s="1040">
        <v>2</v>
      </c>
      <c r="CQ63" s="1040"/>
      <c r="CR63" s="1040"/>
      <c r="CS63" s="1040">
        <v>1</v>
      </c>
      <c r="CT63" s="1040"/>
      <c r="CU63" s="1041"/>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168">
        <f>NBU_Master</f>
        <v>0</v>
      </c>
      <c r="CK64" s="1169"/>
      <c r="CL64" s="1169"/>
      <c r="CM64" s="1169">
        <f>NBL_Master</f>
        <v>0</v>
      </c>
      <c r="CN64" s="1169"/>
      <c r="CO64" s="1169"/>
      <c r="CP64" s="1169">
        <f>NBT_Master</f>
        <v>1260</v>
      </c>
      <c r="CQ64" s="1169"/>
      <c r="CR64" s="1169"/>
      <c r="CS64" s="1169">
        <f>NBR_Master</f>
        <v>1060</v>
      </c>
      <c r="CT64" s="1169"/>
      <c r="CU64" s="1170"/>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152" t="s">
        <v>99</v>
      </c>
      <c r="CK65" s="1125"/>
      <c r="CL65" s="1125"/>
      <c r="CM65" s="1125" t="s">
        <v>99</v>
      </c>
      <c r="CN65" s="1125"/>
      <c r="CO65" s="1125"/>
      <c r="CP65" s="1125" t="s">
        <v>99</v>
      </c>
      <c r="CQ65" s="1125"/>
      <c r="CR65" s="1125"/>
      <c r="CS65" s="1125" t="s">
        <v>99</v>
      </c>
      <c r="CT65" s="1125"/>
      <c r="CU65" s="1126"/>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728">
        <f>BU40</f>
        <v>473.15789473684214</v>
      </c>
      <c r="F66" s="861"/>
      <c r="G66" s="861"/>
      <c r="H66" s="861"/>
      <c r="I66" s="861"/>
      <c r="J66" s="861"/>
      <c r="K66" s="861"/>
      <c r="L66" s="861"/>
      <c r="M66" s="861"/>
      <c r="N66" s="862"/>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728">
        <f>CL57</f>
        <v>1017.5</v>
      </c>
      <c r="AX66" s="861"/>
      <c r="AY66" s="861"/>
      <c r="AZ66" s="861"/>
      <c r="BA66" s="861"/>
      <c r="BB66" s="861"/>
      <c r="BC66" s="861"/>
      <c r="BD66" s="861"/>
      <c r="BE66" s="861"/>
      <c r="BF66" s="862"/>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099"/>
      <c r="CK66" s="1068"/>
      <c r="CL66" s="1068"/>
      <c r="CM66" s="1068"/>
      <c r="CN66" s="1068"/>
      <c r="CO66" s="1068"/>
      <c r="CP66" s="1068"/>
      <c r="CQ66" s="1068"/>
      <c r="CR66" s="1068"/>
      <c r="CS66" s="1068"/>
      <c r="CT66" s="1068"/>
      <c r="CU66" s="1069"/>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863"/>
      <c r="F67" s="864"/>
      <c r="G67" s="864"/>
      <c r="H67" s="864"/>
      <c r="I67" s="864"/>
      <c r="J67" s="864"/>
      <c r="K67" s="864"/>
      <c r="L67" s="864"/>
      <c r="M67" s="864"/>
      <c r="N67" s="865"/>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863"/>
      <c r="AX67" s="864"/>
      <c r="AY67" s="864"/>
      <c r="AZ67" s="864"/>
      <c r="BA67" s="864"/>
      <c r="BB67" s="864"/>
      <c r="BC67" s="864"/>
      <c r="BD67" s="864"/>
      <c r="BE67" s="864"/>
      <c r="BF67" s="865"/>
      <c r="BG67" s="174"/>
      <c r="BH67" s="174"/>
      <c r="BI67" s="177"/>
      <c r="BJ67" s="174"/>
      <c r="BK67" s="174"/>
      <c r="BL67" s="1"/>
      <c r="BM67" s="174"/>
      <c r="BN67" s="174"/>
      <c r="BO67" s="174"/>
      <c r="BP67" s="16"/>
      <c r="BQ67" s="16"/>
      <c r="BR67" s="16"/>
      <c r="BS67" s="174"/>
      <c r="BT67" s="174"/>
      <c r="BU67" s="174"/>
      <c r="BV67" s="174"/>
      <c r="BW67" s="174"/>
      <c r="BX67" s="174"/>
      <c r="BY67" s="174"/>
      <c r="BZ67" s="174"/>
      <c r="CA67" s="174"/>
      <c r="CB67" s="174"/>
      <c r="CC67" s="174"/>
      <c r="CD67" s="174"/>
      <c r="CE67" s="174"/>
      <c r="CF67" s="174"/>
      <c r="CG67" s="174"/>
      <c r="CH67" s="174"/>
      <c r="CI67" s="174"/>
      <c r="CJ67" s="1099"/>
      <c r="CK67" s="1068"/>
      <c r="CL67" s="1068"/>
      <c r="CM67" s="1068"/>
      <c r="CN67" s="1068"/>
      <c r="CO67" s="1068"/>
      <c r="CP67" s="1068"/>
      <c r="CQ67" s="1068"/>
      <c r="CR67" s="1068"/>
      <c r="CS67" s="1068"/>
      <c r="CT67" s="1068"/>
      <c r="CU67" s="1069"/>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thickBot="1">
      <c r="B68" s="1"/>
      <c r="C68" s="174"/>
      <c r="D68" s="174"/>
      <c r="E68" s="866"/>
      <c r="F68" s="867"/>
      <c r="G68" s="867"/>
      <c r="H68" s="867"/>
      <c r="I68" s="867"/>
      <c r="J68" s="867"/>
      <c r="K68" s="867"/>
      <c r="L68" s="867"/>
      <c r="M68" s="867"/>
      <c r="N68" s="86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866"/>
      <c r="AX68" s="867"/>
      <c r="AY68" s="867"/>
      <c r="AZ68" s="867"/>
      <c r="BA68" s="867"/>
      <c r="BB68" s="867"/>
      <c r="BC68" s="867"/>
      <c r="BD68" s="867"/>
      <c r="BE68" s="867"/>
      <c r="BF68" s="868"/>
      <c r="BG68" s="174"/>
      <c r="BH68" s="174"/>
      <c r="BI68" s="177"/>
      <c r="BJ68" s="174"/>
      <c r="BK68" s="174"/>
      <c r="BL68" s="1"/>
      <c r="BM68" s="174"/>
      <c r="BN68" s="174"/>
      <c r="BO68" s="174"/>
      <c r="BP68" s="4"/>
      <c r="BQ68" s="4"/>
      <c r="BR68" s="4"/>
      <c r="BS68" s="174"/>
      <c r="BT68" s="174"/>
      <c r="BU68" s="174"/>
      <c r="BV68" s="174"/>
      <c r="BW68" s="174"/>
      <c r="BX68" s="174"/>
      <c r="BY68" s="174"/>
      <c r="BZ68" s="174"/>
      <c r="CA68" s="174"/>
      <c r="CB68" s="174"/>
      <c r="CC68" s="174"/>
      <c r="CD68" s="174"/>
      <c r="CE68" s="174"/>
      <c r="CF68" s="174"/>
      <c r="CG68" s="174"/>
      <c r="CH68" s="174"/>
      <c r="CI68" s="174"/>
      <c r="CJ68" s="1099"/>
      <c r="CK68" s="1068"/>
      <c r="CL68" s="1068"/>
      <c r="CM68" s="1068"/>
      <c r="CN68" s="1068"/>
      <c r="CO68" s="1068"/>
      <c r="CP68" s="1068"/>
      <c r="CQ68" s="1068"/>
      <c r="CR68" s="1068"/>
      <c r="CS68" s="1068"/>
      <c r="CT68" s="1068"/>
      <c r="CU68" s="1069"/>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thickBot="1">
      <c r="B69" s="1"/>
      <c r="C69" s="174"/>
      <c r="D69" s="174"/>
      <c r="E69" s="713">
        <f>ROUND(E66/CLV_Limit,2)</f>
        <v>0.3</v>
      </c>
      <c r="F69" s="714"/>
      <c r="G69" s="714"/>
      <c r="H69" s="714"/>
      <c r="I69" s="715"/>
      <c r="J69" s="722" t="s">
        <v>100</v>
      </c>
      <c r="K69" s="722"/>
      <c r="L69" s="722"/>
      <c r="M69" s="722"/>
      <c r="N69" s="723"/>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713">
        <f>ROUND(AW66/CLV_Limit,2)</f>
        <v>0.64</v>
      </c>
      <c r="AX69" s="714"/>
      <c r="AY69" s="714"/>
      <c r="AZ69" s="714"/>
      <c r="BA69" s="715"/>
      <c r="BB69" s="722" t="s">
        <v>100</v>
      </c>
      <c r="BC69" s="722"/>
      <c r="BD69" s="722"/>
      <c r="BE69" s="722"/>
      <c r="BF69" s="723"/>
      <c r="BG69" s="174"/>
      <c r="BH69" s="174"/>
      <c r="BI69" s="177"/>
      <c r="BJ69" s="174"/>
      <c r="BK69" s="174"/>
      <c r="BL69" s="1"/>
      <c r="BM69" s="174"/>
      <c r="BN69" s="174"/>
      <c r="BO69" s="174"/>
      <c r="BP69" s="16"/>
      <c r="BQ69" s="16"/>
      <c r="BR69" s="16"/>
      <c r="BS69" s="174"/>
      <c r="BT69" s="174"/>
      <c r="BU69" s="174"/>
      <c r="BV69" s="174"/>
      <c r="BW69" s="174"/>
      <c r="BX69" s="174"/>
      <c r="BY69" s="174"/>
      <c r="BZ69" s="174"/>
      <c r="CA69" s="174"/>
      <c r="CB69" s="174"/>
      <c r="CC69" s="174"/>
      <c r="CD69" s="174"/>
      <c r="CE69" s="174"/>
      <c r="CF69" s="174"/>
      <c r="CG69" s="174"/>
      <c r="CH69" s="174"/>
      <c r="CI69" s="174"/>
      <c r="CJ69" s="1167"/>
      <c r="CK69" s="1070"/>
      <c r="CL69" s="1070"/>
      <c r="CM69" s="1070"/>
      <c r="CN69" s="1070"/>
      <c r="CO69" s="1070"/>
      <c r="CP69" s="1070"/>
      <c r="CQ69" s="1070"/>
      <c r="CR69" s="1070"/>
      <c r="CS69" s="1070"/>
      <c r="CT69" s="1070"/>
      <c r="CU69" s="1071"/>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716"/>
      <c r="F70" s="717"/>
      <c r="G70" s="717"/>
      <c r="H70" s="717"/>
      <c r="I70" s="718"/>
      <c r="J70" s="724"/>
      <c r="K70" s="724"/>
      <c r="L70" s="724"/>
      <c r="M70" s="724"/>
      <c r="N70" s="725"/>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716"/>
      <c r="AX70" s="717"/>
      <c r="AY70" s="717"/>
      <c r="AZ70" s="717"/>
      <c r="BA70" s="718"/>
      <c r="BB70" s="724"/>
      <c r="BC70" s="724"/>
      <c r="BD70" s="724"/>
      <c r="BE70" s="724"/>
      <c r="BF70" s="725"/>
      <c r="BG70" s="174"/>
      <c r="BH70" s="174"/>
      <c r="BI70" s="177"/>
      <c r="BJ70" s="174"/>
      <c r="BK70" s="174"/>
      <c r="BL70" s="1"/>
      <c r="BM70" s="174"/>
      <c r="BN70" s="174"/>
      <c r="BO70" s="174"/>
      <c r="BP70" s="16"/>
      <c r="BQ70" s="16"/>
      <c r="BR70" s="16"/>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thickBot="1">
      <c r="B71" s="1"/>
      <c r="C71" s="174"/>
      <c r="D71" s="174"/>
      <c r="E71" s="719"/>
      <c r="F71" s="720"/>
      <c r="G71" s="720"/>
      <c r="H71" s="720"/>
      <c r="I71" s="721"/>
      <c r="J71" s="726"/>
      <c r="K71" s="726"/>
      <c r="L71" s="726"/>
      <c r="M71" s="726"/>
      <c r="N71" s="7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719"/>
      <c r="AX71" s="720"/>
      <c r="AY71" s="720"/>
      <c r="AZ71" s="720"/>
      <c r="BA71" s="721"/>
      <c r="BB71" s="726"/>
      <c r="BC71" s="726"/>
      <c r="BD71" s="726"/>
      <c r="BE71" s="726"/>
      <c r="BF71" s="727"/>
      <c r="BG71" s="174"/>
      <c r="BH71" s="174"/>
      <c r="BI71" s="177"/>
      <c r="BJ71" s="174"/>
      <c r="BK71" s="174"/>
      <c r="BL71" s="1"/>
      <c r="BM71" s="174"/>
      <c r="BN71" s="174"/>
      <c r="BO71" s="174"/>
      <c r="BP71" s="4"/>
      <c r="BQ71" s="4"/>
      <c r="BR71" s="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25">
    <mergeCell ref="CJ65:CL65"/>
    <mergeCell ref="CM65:CO65"/>
    <mergeCell ref="CP65:CR65"/>
    <mergeCell ref="CS65:CU65"/>
    <mergeCell ref="CJ66:CL69"/>
    <mergeCell ref="CM66:CO69"/>
    <mergeCell ref="CP66:CR69"/>
    <mergeCell ref="CS66:CU69"/>
    <mergeCell ref="CJ63:CL63"/>
    <mergeCell ref="CM63:CO63"/>
    <mergeCell ref="CP63:CR63"/>
    <mergeCell ref="CS63:CU63"/>
    <mergeCell ref="CJ64:CL64"/>
    <mergeCell ref="CM64:CO64"/>
    <mergeCell ref="CP64:CR64"/>
    <mergeCell ref="CS64:CU64"/>
    <mergeCell ref="CG53:CI56"/>
    <mergeCell ref="CL54:CS56"/>
    <mergeCell ref="CG57:CI57"/>
    <mergeCell ref="CL57:CS59"/>
    <mergeCell ref="CG58:CI58"/>
    <mergeCell ref="CG59:CI59"/>
    <mergeCell ref="DO43:DO45"/>
    <mergeCell ref="DP43:DS45"/>
    <mergeCell ref="DD46:DG48"/>
    <mergeCell ref="DH46:DH48"/>
    <mergeCell ref="DI46:DI48"/>
    <mergeCell ref="DJ46:DJ48"/>
    <mergeCell ref="BL43:BO45"/>
    <mergeCell ref="BP43:BP45"/>
    <mergeCell ref="BQ43:BQ45"/>
    <mergeCell ref="BR43:BR45"/>
    <mergeCell ref="DM43:DM45"/>
    <mergeCell ref="DN43:DN45"/>
    <mergeCell ref="CL40:CS42"/>
    <mergeCell ref="DC40:DJ42"/>
    <mergeCell ref="DM40:DM42"/>
    <mergeCell ref="DN40:DN42"/>
    <mergeCell ref="DO40:DO42"/>
    <mergeCell ref="DP40:DS42"/>
    <mergeCell ref="DC37:DJ39"/>
    <mergeCell ref="DM37:DM39"/>
    <mergeCell ref="DN37:DN39"/>
    <mergeCell ref="DO37:DO39"/>
    <mergeCell ref="DP37:DS39"/>
    <mergeCell ref="BL40:BO42"/>
    <mergeCell ref="BP40:BP42"/>
    <mergeCell ref="BQ40:BQ42"/>
    <mergeCell ref="BR40:BR42"/>
    <mergeCell ref="BU40:CB42"/>
    <mergeCell ref="DM34:DM36"/>
    <mergeCell ref="DN34:DN36"/>
    <mergeCell ref="DO34:DO36"/>
    <mergeCell ref="DP34:DS36"/>
    <mergeCell ref="BL37:BO39"/>
    <mergeCell ref="BP37:BP39"/>
    <mergeCell ref="BQ37:BQ39"/>
    <mergeCell ref="BR37:BR39"/>
    <mergeCell ref="BU37:CB39"/>
    <mergeCell ref="CL37:CS39"/>
    <mergeCell ref="E69:I71"/>
    <mergeCell ref="J69:N71"/>
    <mergeCell ref="AW20:BA22"/>
    <mergeCell ref="BB20:BF22"/>
    <mergeCell ref="AW69:BA71"/>
    <mergeCell ref="BB69:BF71"/>
    <mergeCell ref="O74:AV74"/>
    <mergeCell ref="CJ10:CL13"/>
    <mergeCell ref="CM10:CO13"/>
    <mergeCell ref="CJ14:CL14"/>
    <mergeCell ref="CM14:CO14"/>
    <mergeCell ref="E66:N68"/>
    <mergeCell ref="CL23:CS25"/>
    <mergeCell ref="CJ15:CL15"/>
    <mergeCell ref="CM15:CO15"/>
    <mergeCell ref="CP15:CR15"/>
    <mergeCell ref="CS15:CU15"/>
    <mergeCell ref="CJ16:CL16"/>
    <mergeCell ref="CM16:CO16"/>
    <mergeCell ref="CP16:CR16"/>
    <mergeCell ref="CS16:CU16"/>
    <mergeCell ref="BU31:BU33"/>
    <mergeCell ref="BV31:BV33"/>
    <mergeCell ref="BW31:BW33"/>
    <mergeCell ref="AW66:BF68"/>
    <mergeCell ref="BL1:DS2"/>
    <mergeCell ref="BL3:DS4"/>
    <mergeCell ref="E17:N19"/>
    <mergeCell ref="AW17:BF19"/>
    <mergeCell ref="E27:N29"/>
    <mergeCell ref="E20:I22"/>
    <mergeCell ref="J20:N22"/>
    <mergeCell ref="E30:I32"/>
    <mergeCell ref="J30:N32"/>
    <mergeCell ref="CP10:CR13"/>
    <mergeCell ref="CS10:CU13"/>
    <mergeCell ref="CP14:CR14"/>
    <mergeCell ref="CS14:CU14"/>
    <mergeCell ref="CV20:CX20"/>
    <mergeCell ref="CV21:CX21"/>
    <mergeCell ref="CV22:CX22"/>
    <mergeCell ref="CV23:CX26"/>
    <mergeCell ref="BX31:CA33"/>
    <mergeCell ref="BL34:BO36"/>
    <mergeCell ref="BP34:BP36"/>
    <mergeCell ref="BQ34:BQ36"/>
    <mergeCell ref="BR34:BR36"/>
    <mergeCell ref="CL20:CS22"/>
    <mergeCell ref="C8:J9"/>
    <mergeCell ref="K8:AJ9"/>
    <mergeCell ref="C10:J11"/>
    <mergeCell ref="K10:AJ11"/>
    <mergeCell ref="C12:J13"/>
    <mergeCell ref="K12:AJ13"/>
    <mergeCell ref="B1:BI2"/>
    <mergeCell ref="B3:BI4"/>
    <mergeCell ref="C6:J7"/>
    <mergeCell ref="K6:AJ7"/>
    <mergeCell ref="AK6:BH7"/>
    <mergeCell ref="AK8:AP9"/>
    <mergeCell ref="AQ8:AV9"/>
    <mergeCell ref="AW8:BB9"/>
    <mergeCell ref="BC8:BH9"/>
    <mergeCell ref="AK10:AV13"/>
    <mergeCell ref="AW10:BH13"/>
  </mergeCells>
  <conditionalFormatting sqref="E17 AW17 CL23 E27 BU40 CL40 DC40 CL57 E66 AW66">
    <cfRule type="cellIs" dxfId="153" priority="24" operator="between">
      <formula>0.75*CLV_Limit</formula>
      <formula>0.875*CLV_Limit-1</formula>
    </cfRule>
    <cfRule type="cellIs" dxfId="152" priority="25" operator="between">
      <formula>0.875*CLV_Limit</formula>
      <formula>CLV_Limit-1</formula>
    </cfRule>
    <cfRule type="cellIs" dxfId="151" priority="28" operator="greaterThanOrEqual">
      <formula>CLV_Limit</formula>
    </cfRule>
  </conditionalFormatting>
  <conditionalFormatting sqref="AW10 E20 AW20 E30 E69 AW69">
    <cfRule type="cellIs" dxfId="150" priority="16" operator="between">
      <formula>0.75</formula>
      <formula>0.875</formula>
    </cfRule>
    <cfRule type="cellIs" dxfId="149" priority="17" operator="between">
      <formula>0.875</formula>
      <formula>1</formula>
    </cfRule>
    <cfRule type="cellIs" dxfId="148" priority="18"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249977111117893"/>
  </sheetPr>
  <dimension ref="A1:HL157"/>
  <sheetViews>
    <sheetView showGridLines="0" showRowColHeaders="0" zoomScale="90" zoomScaleNormal="90" zoomScalePageLayoutView="85" workbookViewId="0">
      <selection activeCell="CR17" sqref="CR17:CT17"/>
    </sheetView>
  </sheetViews>
  <sheetFormatPr defaultColWidth="0" defaultRowHeight="0" customHeight="1" zeroHeight="1"/>
  <cols>
    <col min="1" max="1" width="0.5703125" customWidth="1"/>
    <col min="2" max="61" width="1.7109375" customWidth="1"/>
    <col min="62"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119</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119</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2"/>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2"/>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096"/>
      <c r="CJ7" s="1097"/>
      <c r="CK7" s="1098"/>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099"/>
      <c r="CJ8" s="1068"/>
      <c r="CK8" s="1069"/>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099"/>
      <c r="CJ9" s="1068"/>
      <c r="CK9" s="1069"/>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MAX(ROUND(F20/CLV_Limit,2),ROUND(AV28/CLV_Limit,2),ROUND(F57/CLV_Limit,2),ROUND(AV65/CLV_Limit,2))</f>
        <v>1.23</v>
      </c>
      <c r="AX10" s="706"/>
      <c r="AY10" s="706"/>
      <c r="AZ10" s="706"/>
      <c r="BA10" s="706"/>
      <c r="BB10" s="706"/>
      <c r="BC10" s="706"/>
      <c r="BD10" s="706"/>
      <c r="BE10" s="706"/>
      <c r="BF10" s="706"/>
      <c r="BG10" s="706"/>
      <c r="BH10" s="707"/>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099"/>
      <c r="CJ10" s="1068"/>
      <c r="CK10" s="1069"/>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045" t="s">
        <v>99</v>
      </c>
      <c r="CJ11" s="1046"/>
      <c r="CK11" s="1047"/>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186">
        <f>CF31+CI31+CL31+CO31</f>
        <v>2054</v>
      </c>
      <c r="CJ12" s="1187"/>
      <c r="CK12" s="1188"/>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928">
        <v>2</v>
      </c>
      <c r="CJ13" s="929"/>
      <c r="CK13" s="930"/>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56"/>
      <c r="CG14" s="175"/>
      <c r="CH14" s="175"/>
      <c r="CI14" s="175"/>
      <c r="CJ14" s="175"/>
      <c r="CK14" s="175"/>
      <c r="CL14" s="175"/>
      <c r="CM14" s="175"/>
      <c r="CN14" s="175"/>
      <c r="CO14" s="175"/>
      <c r="CP14" s="175"/>
      <c r="CQ14" s="176"/>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58"/>
      <c r="CG15" s="109"/>
      <c r="CH15" s="109"/>
      <c r="CI15" s="109"/>
      <c r="CJ15" s="109"/>
      <c r="CK15" s="109"/>
      <c r="CL15" s="109"/>
      <c r="CM15" s="109"/>
      <c r="CN15" s="109"/>
      <c r="CO15" s="109"/>
      <c r="CP15" s="109"/>
      <c r="CQ15" s="60"/>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J16" s="174"/>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58"/>
      <c r="CG16" s="109"/>
      <c r="CH16" s="109"/>
      <c r="CI16" s="109"/>
      <c r="CJ16" s="109"/>
      <c r="CK16" s="109"/>
      <c r="CL16" s="109"/>
      <c r="CM16" s="109"/>
      <c r="CN16" s="109"/>
      <c r="CO16" s="109"/>
      <c r="CP16" s="109"/>
      <c r="CQ16" s="60"/>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74"/>
      <c r="AV17" s="174"/>
      <c r="AW17" s="174"/>
      <c r="AX17" s="174"/>
      <c r="AY17" s="174"/>
      <c r="AZ17" s="174"/>
      <c r="BA17" s="174"/>
      <c r="BB17" s="174"/>
      <c r="BC17" s="174"/>
      <c r="BD17" s="174"/>
      <c r="BE17" s="174"/>
      <c r="BF17" s="174"/>
      <c r="BG17" s="174"/>
      <c r="BH17" s="174"/>
      <c r="BI17" s="177"/>
      <c r="BJ17" s="174"/>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58"/>
      <c r="CG17" s="109"/>
      <c r="CH17" s="763"/>
      <c r="CI17" s="764"/>
      <c r="CJ17" s="764"/>
      <c r="CK17" s="764"/>
      <c r="CL17" s="764"/>
      <c r="CM17" s="764"/>
      <c r="CN17" s="764"/>
      <c r="CO17" s="771"/>
      <c r="CP17" s="109"/>
      <c r="CQ17" s="60"/>
      <c r="CR17" s="1039">
        <v>2</v>
      </c>
      <c r="CS17" s="1040"/>
      <c r="CT17" s="1041"/>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74"/>
      <c r="AU18" s="174"/>
      <c r="AV18" s="174"/>
      <c r="AW18" s="174"/>
      <c r="AX18" s="174"/>
      <c r="AY18" s="174"/>
      <c r="AZ18" s="174"/>
      <c r="BA18" s="174"/>
      <c r="BB18" s="174"/>
      <c r="BC18" s="174"/>
      <c r="BD18" s="174"/>
      <c r="BE18" s="174"/>
      <c r="BF18" s="174"/>
      <c r="BG18" s="174"/>
      <c r="BH18" s="174"/>
      <c r="BI18" s="177"/>
      <c r="BJ18" s="174"/>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58"/>
      <c r="CG18" s="109"/>
      <c r="CH18" s="766"/>
      <c r="CI18" s="767"/>
      <c r="CJ18" s="767"/>
      <c r="CK18" s="767"/>
      <c r="CL18" s="767"/>
      <c r="CM18" s="767"/>
      <c r="CN18" s="767"/>
      <c r="CO18" s="772"/>
      <c r="CP18" s="109"/>
      <c r="CQ18" s="60"/>
      <c r="CR18" s="1189">
        <f>DG39+DG42+DG45+CN49</f>
        <v>588</v>
      </c>
      <c r="CS18" s="1190"/>
      <c r="CT18" s="1191"/>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74"/>
      <c r="AU19" s="174"/>
      <c r="AV19" s="174"/>
      <c r="AW19" s="174"/>
      <c r="AX19" s="174"/>
      <c r="AY19" s="174"/>
      <c r="AZ19" s="174"/>
      <c r="BA19" s="174"/>
      <c r="BB19" s="174"/>
      <c r="BC19" s="174"/>
      <c r="BD19" s="174"/>
      <c r="BE19" s="174"/>
      <c r="BF19" s="174"/>
      <c r="BG19" s="174"/>
      <c r="BH19" s="174"/>
      <c r="BI19" s="177"/>
      <c r="BJ19" s="174"/>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58"/>
      <c r="CG19" s="109"/>
      <c r="CH19" s="766"/>
      <c r="CI19" s="767"/>
      <c r="CJ19" s="767"/>
      <c r="CK19" s="767"/>
      <c r="CL19" s="767"/>
      <c r="CM19" s="767"/>
      <c r="CN19" s="767"/>
      <c r="CO19" s="772"/>
      <c r="CP19" s="109"/>
      <c r="CQ19" s="60"/>
      <c r="CR19" s="1065" t="s">
        <v>99</v>
      </c>
      <c r="CS19" s="1066"/>
      <c r="CT19" s="1067"/>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728">
        <f>CH20</f>
        <v>1394.5</v>
      </c>
      <c r="G20" s="861"/>
      <c r="H20" s="861"/>
      <c r="I20" s="861"/>
      <c r="J20" s="861"/>
      <c r="K20" s="861"/>
      <c r="L20" s="861"/>
      <c r="M20" s="861"/>
      <c r="N20" s="861"/>
      <c r="O20" s="862"/>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74"/>
      <c r="AU20" s="174"/>
      <c r="AV20" s="174"/>
      <c r="AW20" s="174"/>
      <c r="AX20" s="174"/>
      <c r="AY20" s="174"/>
      <c r="AZ20" s="174"/>
      <c r="BA20" s="174"/>
      <c r="BB20" s="174"/>
      <c r="BC20" s="174"/>
      <c r="BD20" s="174"/>
      <c r="BE20" s="174"/>
      <c r="BF20" s="174"/>
      <c r="BG20" s="174"/>
      <c r="BH20" s="174"/>
      <c r="BI20" s="177"/>
      <c r="BJ20" s="174"/>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58"/>
      <c r="CG20" s="109"/>
      <c r="CH20" s="833">
        <f>+(CI12/CI13 + CR18/UTAF/CR17)</f>
        <v>1394.5</v>
      </c>
      <c r="CI20" s="834"/>
      <c r="CJ20" s="834"/>
      <c r="CK20" s="834"/>
      <c r="CL20" s="834"/>
      <c r="CM20" s="834"/>
      <c r="CN20" s="834"/>
      <c r="CO20" s="835"/>
      <c r="CP20" s="109"/>
      <c r="CQ20" s="60"/>
      <c r="CR20" s="766"/>
      <c r="CS20" s="767"/>
      <c r="CT20" s="772"/>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863"/>
      <c r="G21" s="864"/>
      <c r="H21" s="864"/>
      <c r="I21" s="864"/>
      <c r="J21" s="864"/>
      <c r="K21" s="864"/>
      <c r="L21" s="864"/>
      <c r="M21" s="864"/>
      <c r="N21" s="864"/>
      <c r="O21" s="865"/>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74"/>
      <c r="AU21" s="174"/>
      <c r="AV21" s="174"/>
      <c r="AW21" s="174"/>
      <c r="AX21" s="174"/>
      <c r="AY21" s="174"/>
      <c r="AZ21" s="174"/>
      <c r="BA21" s="174"/>
      <c r="BB21" s="174"/>
      <c r="BC21" s="174"/>
      <c r="BD21" s="174"/>
      <c r="BE21" s="174"/>
      <c r="BF21" s="174"/>
      <c r="BG21" s="174"/>
      <c r="BH21" s="174"/>
      <c r="BI21" s="177"/>
      <c r="BJ21" s="174"/>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58"/>
      <c r="CG21" s="109"/>
      <c r="CH21" s="833"/>
      <c r="CI21" s="834"/>
      <c r="CJ21" s="834"/>
      <c r="CK21" s="834"/>
      <c r="CL21" s="834"/>
      <c r="CM21" s="834"/>
      <c r="CN21" s="834"/>
      <c r="CO21" s="835"/>
      <c r="CP21" s="109"/>
      <c r="CQ21" s="60"/>
      <c r="CR21" s="766"/>
      <c r="CS21" s="767"/>
      <c r="CT21" s="772"/>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866"/>
      <c r="G22" s="867"/>
      <c r="H22" s="867"/>
      <c r="I22" s="867"/>
      <c r="J22" s="867"/>
      <c r="K22" s="867"/>
      <c r="L22" s="867"/>
      <c r="M22" s="867"/>
      <c r="N22" s="867"/>
      <c r="O22" s="868"/>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74"/>
      <c r="AU22" s="174"/>
      <c r="AV22" s="174"/>
      <c r="AW22" s="174"/>
      <c r="AX22" s="174"/>
      <c r="AY22" s="174"/>
      <c r="AZ22" s="174"/>
      <c r="BA22" s="174"/>
      <c r="BB22" s="174"/>
      <c r="BC22" s="174"/>
      <c r="BD22" s="27"/>
      <c r="BE22" s="27"/>
      <c r="BF22" s="27"/>
      <c r="BG22" s="174"/>
      <c r="BH22" s="174"/>
      <c r="BI22" s="177"/>
      <c r="BJ22" s="174"/>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58"/>
      <c r="CG22" s="109"/>
      <c r="CH22" s="836"/>
      <c r="CI22" s="837"/>
      <c r="CJ22" s="837"/>
      <c r="CK22" s="837"/>
      <c r="CL22" s="837"/>
      <c r="CM22" s="837"/>
      <c r="CN22" s="837"/>
      <c r="CO22" s="838"/>
      <c r="CP22" s="109"/>
      <c r="CQ22" s="60"/>
      <c r="CR22" s="766"/>
      <c r="CS22" s="767"/>
      <c r="CT22" s="772"/>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713">
        <f>ROUND(F20/CLV_Limit,2)</f>
        <v>0.87</v>
      </c>
      <c r="G23" s="714"/>
      <c r="H23" s="714"/>
      <c r="I23" s="714"/>
      <c r="J23" s="715"/>
      <c r="K23" s="722" t="s">
        <v>100</v>
      </c>
      <c r="L23" s="722"/>
      <c r="M23" s="722"/>
      <c r="N23" s="722"/>
      <c r="O23" s="723"/>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74"/>
      <c r="AU23" s="174"/>
      <c r="AV23" s="174"/>
      <c r="AW23" s="174"/>
      <c r="AX23" s="174"/>
      <c r="AY23" s="174"/>
      <c r="AZ23" s="144"/>
      <c r="BA23" s="174"/>
      <c r="BB23" s="174"/>
      <c r="BC23" s="174"/>
      <c r="BD23" s="174"/>
      <c r="BE23" s="174"/>
      <c r="BF23" s="174"/>
      <c r="BG23" s="14"/>
      <c r="BH23" s="174"/>
      <c r="BI23" s="177"/>
      <c r="BJ23" s="174"/>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58"/>
      <c r="CG23" s="109"/>
      <c r="CH23" s="109"/>
      <c r="CI23" s="109"/>
      <c r="CJ23" s="109"/>
      <c r="CK23" s="109"/>
      <c r="CL23" s="109"/>
      <c r="CM23" s="109"/>
      <c r="CN23" s="109"/>
      <c r="CO23" s="109"/>
      <c r="CP23" s="109"/>
      <c r="CQ23" s="60"/>
      <c r="CR23" s="849"/>
      <c r="CS23" s="705"/>
      <c r="CT23" s="852"/>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716"/>
      <c r="G24" s="717"/>
      <c r="H24" s="717"/>
      <c r="I24" s="717"/>
      <c r="J24" s="718"/>
      <c r="K24" s="724"/>
      <c r="L24" s="724"/>
      <c r="M24" s="724"/>
      <c r="N24" s="724"/>
      <c r="O24" s="725"/>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74"/>
      <c r="AN24" s="174"/>
      <c r="AO24" s="174"/>
      <c r="AP24" s="174"/>
      <c r="AQ24" s="174"/>
      <c r="AR24" s="174"/>
      <c r="AS24" s="174"/>
      <c r="AT24" s="174"/>
      <c r="AU24" s="174"/>
      <c r="AV24" s="174"/>
      <c r="AW24" s="174"/>
      <c r="AX24" s="174"/>
      <c r="AY24" s="174"/>
      <c r="AZ24" s="174"/>
      <c r="BA24" s="174"/>
      <c r="BB24" s="174"/>
      <c r="BC24" s="174"/>
      <c r="BD24" s="174"/>
      <c r="BE24" s="174"/>
      <c r="BF24" s="174"/>
      <c r="BG24" s="14"/>
      <c r="BH24" s="174"/>
      <c r="BI24" s="177"/>
      <c r="BJ24" s="174"/>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58"/>
      <c r="CG24" s="109"/>
      <c r="CH24" s="109"/>
      <c r="CI24" s="109"/>
      <c r="CJ24" s="109"/>
      <c r="CK24" s="109"/>
      <c r="CL24" s="109"/>
      <c r="CM24" s="109"/>
      <c r="CN24" s="109"/>
      <c r="CO24" s="109"/>
      <c r="CP24" s="109"/>
      <c r="CQ24" s="60"/>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719"/>
      <c r="G25" s="720"/>
      <c r="H25" s="720"/>
      <c r="I25" s="720"/>
      <c r="J25" s="721"/>
      <c r="K25" s="726"/>
      <c r="L25" s="726"/>
      <c r="M25" s="726"/>
      <c r="N25" s="726"/>
      <c r="O25" s="727"/>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61"/>
      <c r="CG25" s="110"/>
      <c r="CH25" s="110"/>
      <c r="CI25" s="110"/>
      <c r="CJ25" s="110"/>
      <c r="CK25" s="110"/>
      <c r="CL25" s="110"/>
      <c r="CM25" s="110"/>
      <c r="CN25" s="110"/>
      <c r="CO25" s="110"/>
      <c r="CP25" s="110"/>
      <c r="CQ25" s="63"/>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096"/>
      <c r="CG26" s="1097"/>
      <c r="CH26" s="1097"/>
      <c r="CI26" s="1097"/>
      <c r="CJ26" s="1097"/>
      <c r="CK26" s="1097"/>
      <c r="CL26" s="1097"/>
      <c r="CM26" s="1097"/>
      <c r="CN26" s="1097"/>
      <c r="CO26" s="1097"/>
      <c r="CP26" s="1097"/>
      <c r="CQ26" s="1098"/>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099"/>
      <c r="CG27" s="1068"/>
      <c r="CH27" s="1068"/>
      <c r="CI27" s="1068"/>
      <c r="CJ27" s="1068"/>
      <c r="CK27" s="1068"/>
      <c r="CL27" s="1068"/>
      <c r="CM27" s="1068"/>
      <c r="CN27" s="1068"/>
      <c r="CO27" s="1068"/>
      <c r="CP27" s="1068"/>
      <c r="CQ27" s="1069"/>
      <c r="CR27" s="174"/>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74"/>
      <c r="AN28" s="174"/>
      <c r="AO28" s="174"/>
      <c r="AP28" s="174"/>
      <c r="AQ28" s="174"/>
      <c r="AR28" s="174"/>
      <c r="AS28" s="174"/>
      <c r="AT28" s="174"/>
      <c r="AU28" s="174"/>
      <c r="AV28" s="728">
        <f>CV42</f>
        <v>1960.5882352941176</v>
      </c>
      <c r="AW28" s="861"/>
      <c r="AX28" s="861"/>
      <c r="AY28" s="861"/>
      <c r="AZ28" s="861"/>
      <c r="BA28" s="861"/>
      <c r="BB28" s="861"/>
      <c r="BC28" s="861"/>
      <c r="BD28" s="861"/>
      <c r="BE28" s="862"/>
      <c r="BF28" s="174"/>
      <c r="BG28" s="17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099"/>
      <c r="CG28" s="1068"/>
      <c r="CH28" s="1068"/>
      <c r="CI28" s="1068"/>
      <c r="CJ28" s="1068"/>
      <c r="CK28" s="1068"/>
      <c r="CL28" s="1068"/>
      <c r="CM28" s="1068"/>
      <c r="CN28" s="1068"/>
      <c r="CO28" s="1068"/>
      <c r="CP28" s="1068"/>
      <c r="CQ28" s="1069"/>
      <c r="CR28" s="174"/>
      <c r="CS28" s="174"/>
      <c r="CT28" s="174"/>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74"/>
      <c r="AN29" s="174"/>
      <c r="AO29" s="174"/>
      <c r="AP29" s="174"/>
      <c r="AQ29" s="174"/>
      <c r="AR29" s="174"/>
      <c r="AS29" s="174"/>
      <c r="AT29" s="174"/>
      <c r="AU29" s="174"/>
      <c r="AV29" s="863"/>
      <c r="AW29" s="864"/>
      <c r="AX29" s="864"/>
      <c r="AY29" s="864"/>
      <c r="AZ29" s="864"/>
      <c r="BA29" s="864"/>
      <c r="BB29" s="864"/>
      <c r="BC29" s="864"/>
      <c r="BD29" s="864"/>
      <c r="BE29" s="865"/>
      <c r="BF29" s="174"/>
      <c r="BG29" s="17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099"/>
      <c r="CG29" s="1068"/>
      <c r="CH29" s="1068"/>
      <c r="CI29" s="1068"/>
      <c r="CJ29" s="1068"/>
      <c r="CK29" s="1068"/>
      <c r="CL29" s="1068"/>
      <c r="CM29" s="1068"/>
      <c r="CN29" s="1068"/>
      <c r="CO29" s="1068"/>
      <c r="CP29" s="1068"/>
      <c r="CQ29" s="1069"/>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174"/>
      <c r="AS30" s="174"/>
      <c r="AT30" s="174"/>
      <c r="AU30" s="174"/>
      <c r="AV30" s="866"/>
      <c r="AW30" s="867"/>
      <c r="AX30" s="867"/>
      <c r="AY30" s="867"/>
      <c r="AZ30" s="867"/>
      <c r="BA30" s="867"/>
      <c r="BB30" s="867"/>
      <c r="BC30" s="867"/>
      <c r="BD30" s="867"/>
      <c r="BE30" s="868"/>
      <c r="BF30" s="174"/>
      <c r="BG30" s="17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152" t="s">
        <v>99</v>
      </c>
      <c r="CG30" s="1125"/>
      <c r="CH30" s="1125"/>
      <c r="CI30" s="1196" t="s">
        <v>99</v>
      </c>
      <c r="CJ30" s="1196"/>
      <c r="CK30" s="1196"/>
      <c r="CL30" s="1125" t="s">
        <v>99</v>
      </c>
      <c r="CM30" s="1125"/>
      <c r="CN30" s="1125"/>
      <c r="CO30" s="1125" t="s">
        <v>99</v>
      </c>
      <c r="CP30" s="1125"/>
      <c r="CQ30" s="1126"/>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74"/>
      <c r="AT31" s="174"/>
      <c r="AU31" s="174"/>
      <c r="AV31" s="713">
        <f>ROUND(AV28/CLV_Limit,2)</f>
        <v>1.23</v>
      </c>
      <c r="AW31" s="714"/>
      <c r="AX31" s="714"/>
      <c r="AY31" s="714"/>
      <c r="AZ31" s="715"/>
      <c r="BA31" s="722" t="s">
        <v>100</v>
      </c>
      <c r="BB31" s="722"/>
      <c r="BC31" s="722"/>
      <c r="BD31" s="722"/>
      <c r="BE31" s="723"/>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127">
        <f>SBR_Master</f>
        <v>0</v>
      </c>
      <c r="CG31" s="1128"/>
      <c r="CH31" s="1128"/>
      <c r="CI31" s="1192">
        <f>SBT_Master</f>
        <v>1447</v>
      </c>
      <c r="CJ31" s="1192"/>
      <c r="CK31" s="1192"/>
      <c r="CL31" s="1128">
        <f>SBL_Master</f>
        <v>607</v>
      </c>
      <c r="CM31" s="1128"/>
      <c r="CN31" s="1128"/>
      <c r="CO31" s="1128">
        <f>SBU_Master</f>
        <v>0</v>
      </c>
      <c r="CP31" s="1128"/>
      <c r="CQ31" s="1129"/>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74"/>
      <c r="AT32" s="174"/>
      <c r="AU32" s="174"/>
      <c r="AV32" s="716"/>
      <c r="AW32" s="717"/>
      <c r="AX32" s="717"/>
      <c r="AY32" s="717"/>
      <c r="AZ32" s="718"/>
      <c r="BA32" s="724"/>
      <c r="BB32" s="724"/>
      <c r="BC32" s="724"/>
      <c r="BD32" s="724"/>
      <c r="BE32" s="725"/>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928">
        <v>1</v>
      </c>
      <c r="CG32" s="929"/>
      <c r="CH32" s="929"/>
      <c r="CI32" s="1194">
        <f>CI13</f>
        <v>2</v>
      </c>
      <c r="CJ32" s="1194"/>
      <c r="CK32" s="1194"/>
      <c r="CL32" s="929">
        <v>1</v>
      </c>
      <c r="CM32" s="929"/>
      <c r="CN32" s="929"/>
      <c r="CO32" s="1010"/>
      <c r="CP32" s="1010"/>
      <c r="CQ32" s="1011"/>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719"/>
      <c r="AW33" s="720"/>
      <c r="AX33" s="720"/>
      <c r="AY33" s="720"/>
      <c r="AZ33" s="721"/>
      <c r="BA33" s="726"/>
      <c r="BB33" s="726"/>
      <c r="BC33" s="726"/>
      <c r="BD33" s="726"/>
      <c r="BE33" s="727"/>
      <c r="BF33" s="174"/>
      <c r="BG33" s="174"/>
      <c r="BH33" s="174"/>
      <c r="BI33" s="177"/>
      <c r="BJ33" s="174"/>
      <c r="BK33" s="174"/>
      <c r="BL33" s="1"/>
      <c r="BM33" s="174"/>
      <c r="BN33" s="174"/>
      <c r="BO33" s="174"/>
      <c r="BP33" s="174"/>
      <c r="BQ33" s="174"/>
      <c r="BR33" s="174"/>
      <c r="BS33" s="1138"/>
      <c r="BT33" s="1134"/>
      <c r="BU33" s="1134"/>
      <c r="BV33" s="1134"/>
      <c r="BW33" s="1195" t="s">
        <v>99</v>
      </c>
      <c r="BX33" s="1142">
        <f>EBU_Master</f>
        <v>0</v>
      </c>
      <c r="BY33" s="1016"/>
      <c r="BZ33" s="56"/>
      <c r="CA33" s="175"/>
      <c r="CB33" s="175"/>
      <c r="CC33" s="175"/>
      <c r="CD33" s="175"/>
      <c r="CE33" s="175"/>
      <c r="CF33" s="175"/>
      <c r="CG33" s="175"/>
      <c r="CH33" s="175"/>
      <c r="CI33" s="175"/>
      <c r="CJ33" s="175"/>
      <c r="CK33" s="176"/>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139"/>
      <c r="BT34" s="1136"/>
      <c r="BU34" s="1136"/>
      <c r="BV34" s="1136"/>
      <c r="BW34" s="1193"/>
      <c r="BX34" s="1143"/>
      <c r="BY34" s="1013"/>
      <c r="BZ34" s="58"/>
      <c r="CA34" s="109"/>
      <c r="CB34" s="109"/>
      <c r="CC34" s="109"/>
      <c r="CD34" s="109"/>
      <c r="CE34" s="109"/>
      <c r="CF34" s="109"/>
      <c r="CG34" s="109"/>
      <c r="CH34" s="109"/>
      <c r="CI34" s="109"/>
      <c r="CJ34" s="109"/>
      <c r="CK34" s="60"/>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139"/>
      <c r="BT35" s="1136"/>
      <c r="BU35" s="1136"/>
      <c r="BV35" s="1136"/>
      <c r="BW35" s="1193"/>
      <c r="BX35" s="1143"/>
      <c r="BY35" s="1014"/>
      <c r="BZ35" s="58"/>
      <c r="CA35" s="109"/>
      <c r="CB35" s="109"/>
      <c r="CC35" s="109"/>
      <c r="CD35" s="109"/>
      <c r="CE35" s="109"/>
      <c r="CF35" s="109"/>
      <c r="CG35" s="109"/>
      <c r="CH35" s="109"/>
      <c r="CI35" s="109"/>
      <c r="CJ35" s="109"/>
      <c r="CK35" s="60"/>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139"/>
      <c r="BT36" s="1136"/>
      <c r="BU36" s="1136"/>
      <c r="BV36" s="1136"/>
      <c r="BW36" s="1193" t="s">
        <v>99</v>
      </c>
      <c r="BX36" s="1143">
        <f>EBL_Master</f>
        <v>899</v>
      </c>
      <c r="BY36" s="1012"/>
      <c r="BZ36" s="58"/>
      <c r="CA36" s="109"/>
      <c r="CB36" s="763"/>
      <c r="CC36" s="764"/>
      <c r="CD36" s="764"/>
      <c r="CE36" s="764"/>
      <c r="CF36" s="764"/>
      <c r="CG36" s="764"/>
      <c r="CH36" s="764"/>
      <c r="CI36" s="771"/>
      <c r="CJ36" s="109"/>
      <c r="CK36" s="60"/>
      <c r="CL36" s="174"/>
      <c r="CM36" s="174"/>
      <c r="CN36" s="174"/>
      <c r="CO36" s="174"/>
      <c r="CP36" s="174"/>
      <c r="CQ36" s="174"/>
      <c r="CR36" s="174"/>
      <c r="CS36" s="174"/>
      <c r="CT36" s="56"/>
      <c r="CU36" s="175"/>
      <c r="CV36" s="175"/>
      <c r="CW36" s="175"/>
      <c r="CX36" s="175"/>
      <c r="CY36" s="175"/>
      <c r="CZ36" s="175"/>
      <c r="DA36" s="175"/>
      <c r="DB36" s="175"/>
      <c r="DC36" s="175"/>
      <c r="DD36" s="175"/>
      <c r="DE36" s="176"/>
      <c r="DF36" s="910">
        <v>2</v>
      </c>
      <c r="DG36" s="1130">
        <f>WBR_Master</f>
        <v>625</v>
      </c>
      <c r="DH36" s="1198" t="s">
        <v>99</v>
      </c>
      <c r="DI36" s="1134"/>
      <c r="DJ36" s="1134"/>
      <c r="DK36" s="1134"/>
      <c r="DL36" s="1135"/>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139"/>
      <c r="BT37" s="1136"/>
      <c r="BU37" s="1136"/>
      <c r="BV37" s="1136"/>
      <c r="BW37" s="1193"/>
      <c r="BX37" s="1143"/>
      <c r="BY37" s="1013"/>
      <c r="BZ37" s="58"/>
      <c r="CA37" s="109"/>
      <c r="CB37" s="766"/>
      <c r="CC37" s="767"/>
      <c r="CD37" s="767"/>
      <c r="CE37" s="767"/>
      <c r="CF37" s="767"/>
      <c r="CG37" s="767"/>
      <c r="CH37" s="767"/>
      <c r="CI37" s="772"/>
      <c r="CJ37" s="109"/>
      <c r="CK37" s="60"/>
      <c r="CL37" s="174"/>
      <c r="CM37" s="174"/>
      <c r="CN37" s="174"/>
      <c r="CO37" s="174"/>
      <c r="CP37" s="174"/>
      <c r="CQ37" s="174"/>
      <c r="CR37" s="174"/>
      <c r="CS37" s="174"/>
      <c r="CT37" s="58"/>
      <c r="CU37" s="109"/>
      <c r="CV37" s="109"/>
      <c r="CW37" s="109"/>
      <c r="CX37" s="109"/>
      <c r="CY37" s="109"/>
      <c r="CZ37" s="109"/>
      <c r="DA37" s="109"/>
      <c r="DB37" s="109"/>
      <c r="DC37" s="109"/>
      <c r="DD37" s="109"/>
      <c r="DE37" s="60"/>
      <c r="DF37" s="1940"/>
      <c r="DG37" s="1131"/>
      <c r="DH37" s="1199"/>
      <c r="DI37" s="1136"/>
      <c r="DJ37" s="1136"/>
      <c r="DK37" s="1136"/>
      <c r="DL37" s="1137"/>
      <c r="DM37" s="174"/>
      <c r="DN37" s="174"/>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139"/>
      <c r="BT38" s="1136"/>
      <c r="BU38" s="1136"/>
      <c r="BV38" s="1136"/>
      <c r="BW38" s="1193"/>
      <c r="BX38" s="1143"/>
      <c r="BY38" s="1014"/>
      <c r="BZ38" s="58"/>
      <c r="CA38" s="109"/>
      <c r="CB38" s="766"/>
      <c r="CC38" s="767"/>
      <c r="CD38" s="767"/>
      <c r="CE38" s="767"/>
      <c r="CF38" s="767"/>
      <c r="CG38" s="767"/>
      <c r="CH38" s="767"/>
      <c r="CI38" s="772"/>
      <c r="CJ38" s="109"/>
      <c r="CK38" s="60"/>
      <c r="CL38" s="174"/>
      <c r="CM38" s="174"/>
      <c r="CN38" s="174"/>
      <c r="CO38" s="174"/>
      <c r="CP38" s="174"/>
      <c r="CQ38" s="174"/>
      <c r="CR38" s="174"/>
      <c r="CS38" s="174"/>
      <c r="CT38" s="58"/>
      <c r="CU38" s="109"/>
      <c r="CV38" s="109"/>
      <c r="CW38" s="109"/>
      <c r="CX38" s="109"/>
      <c r="CY38" s="109"/>
      <c r="CZ38" s="109"/>
      <c r="DA38" s="109"/>
      <c r="DB38" s="109"/>
      <c r="DC38" s="109"/>
      <c r="DD38" s="109"/>
      <c r="DE38" s="60"/>
      <c r="DF38" s="1941"/>
      <c r="DG38" s="1131"/>
      <c r="DH38" s="1199"/>
      <c r="DI38" s="1136"/>
      <c r="DJ38" s="1136"/>
      <c r="DK38" s="1136"/>
      <c r="DL38" s="1137"/>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139"/>
      <c r="BT39" s="1136"/>
      <c r="BU39" s="1136"/>
      <c r="BV39" s="1136"/>
      <c r="BW39" s="1193" t="s">
        <v>99</v>
      </c>
      <c r="BX39" s="1143">
        <f>EBT_Master</f>
        <v>0</v>
      </c>
      <c r="BY39" s="1012"/>
      <c r="BZ39" s="58"/>
      <c r="CA39" s="109"/>
      <c r="CB39" s="833">
        <f>+(MAX((CI31+CO31+DG42+CN49)/CI32,(CF31+DG39)/RTAF/CF32) + MAX((BX42+BX39+BX36+BX33)/RTAF/BY42, (CQ49+BX33)/LTAF/CQ48))</f>
        <v>1668.6764705882354</v>
      </c>
      <c r="CC39" s="834"/>
      <c r="CD39" s="834"/>
      <c r="CE39" s="834"/>
      <c r="CF39" s="834"/>
      <c r="CG39" s="834"/>
      <c r="CH39" s="834"/>
      <c r="CI39" s="835"/>
      <c r="CJ39" s="109"/>
      <c r="CK39" s="60"/>
      <c r="CL39" s="174"/>
      <c r="CM39" s="174"/>
      <c r="CN39" s="174"/>
      <c r="CO39" s="174"/>
      <c r="CP39" s="174"/>
      <c r="CQ39" s="174"/>
      <c r="CR39" s="174"/>
      <c r="CS39" s="174"/>
      <c r="CT39" s="58"/>
      <c r="CU39" s="109"/>
      <c r="CV39" s="763"/>
      <c r="CW39" s="764"/>
      <c r="CX39" s="764"/>
      <c r="CY39" s="764"/>
      <c r="CZ39" s="764"/>
      <c r="DA39" s="764"/>
      <c r="DB39" s="764"/>
      <c r="DC39" s="771"/>
      <c r="DD39" s="109"/>
      <c r="DE39" s="60"/>
      <c r="DF39" s="1002"/>
      <c r="DG39" s="1131">
        <f>WBT_Master</f>
        <v>0</v>
      </c>
      <c r="DH39" s="1199" t="s">
        <v>99</v>
      </c>
      <c r="DI39" s="1136"/>
      <c r="DJ39" s="1136"/>
      <c r="DK39" s="1136"/>
      <c r="DL39" s="1137"/>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139"/>
      <c r="BT40" s="1136"/>
      <c r="BU40" s="1136"/>
      <c r="BV40" s="1136"/>
      <c r="BW40" s="1193"/>
      <c r="BX40" s="1143"/>
      <c r="BY40" s="1942"/>
      <c r="BZ40" s="58"/>
      <c r="CA40" s="109"/>
      <c r="CB40" s="833"/>
      <c r="CC40" s="834"/>
      <c r="CD40" s="834"/>
      <c r="CE40" s="834"/>
      <c r="CF40" s="834"/>
      <c r="CG40" s="834"/>
      <c r="CH40" s="834"/>
      <c r="CI40" s="835"/>
      <c r="CJ40" s="109"/>
      <c r="CK40" s="60"/>
      <c r="CL40" s="174"/>
      <c r="CM40" s="174"/>
      <c r="CN40" s="174"/>
      <c r="CO40" s="174"/>
      <c r="CP40" s="174"/>
      <c r="CQ40" s="174"/>
      <c r="CR40" s="174"/>
      <c r="CS40" s="174"/>
      <c r="CT40" s="58"/>
      <c r="CU40" s="109"/>
      <c r="CV40" s="766"/>
      <c r="CW40" s="767"/>
      <c r="CX40" s="767"/>
      <c r="CY40" s="767"/>
      <c r="CZ40" s="767"/>
      <c r="DA40" s="767"/>
      <c r="DB40" s="767"/>
      <c r="DC40" s="772"/>
      <c r="DD40" s="109"/>
      <c r="DE40" s="60"/>
      <c r="DF40" s="1943"/>
      <c r="DG40" s="1131"/>
      <c r="DH40" s="1199"/>
      <c r="DI40" s="1136"/>
      <c r="DJ40" s="1136"/>
      <c r="DK40" s="1136"/>
      <c r="DL40" s="1137"/>
      <c r="DM40" s="174"/>
      <c r="DN40" s="174"/>
      <c r="DO40" s="174"/>
      <c r="DP40" s="174"/>
      <c r="DQ40" s="174"/>
      <c r="DR40" s="174"/>
      <c r="DS40" s="177"/>
    </row>
    <row r="41" spans="2:123" ht="9.9499999999999993" customHeight="1" thickBo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139"/>
      <c r="BT41" s="1136"/>
      <c r="BU41" s="1136"/>
      <c r="BV41" s="1136"/>
      <c r="BW41" s="1193"/>
      <c r="BX41" s="1143"/>
      <c r="BY41" s="1944"/>
      <c r="BZ41" s="58"/>
      <c r="CA41" s="109"/>
      <c r="CB41" s="836"/>
      <c r="CC41" s="837"/>
      <c r="CD41" s="837"/>
      <c r="CE41" s="837"/>
      <c r="CF41" s="837"/>
      <c r="CG41" s="837"/>
      <c r="CH41" s="837"/>
      <c r="CI41" s="838"/>
      <c r="CJ41" s="109"/>
      <c r="CK41" s="60"/>
      <c r="CL41" s="174"/>
      <c r="CM41" s="174"/>
      <c r="CN41" s="174"/>
      <c r="CO41" s="174"/>
      <c r="CP41" s="174"/>
      <c r="CQ41" s="174"/>
      <c r="CR41" s="174"/>
      <c r="CS41" s="174"/>
      <c r="CT41" s="58"/>
      <c r="CU41" s="109"/>
      <c r="CV41" s="766"/>
      <c r="CW41" s="767"/>
      <c r="CX41" s="767"/>
      <c r="CY41" s="767"/>
      <c r="CZ41" s="767"/>
      <c r="DA41" s="767"/>
      <c r="DB41" s="767"/>
      <c r="DC41" s="772"/>
      <c r="DD41" s="109"/>
      <c r="DE41" s="60"/>
      <c r="DF41" s="1945"/>
      <c r="DG41" s="1131"/>
      <c r="DH41" s="1199"/>
      <c r="DI41" s="1136"/>
      <c r="DJ41" s="1136"/>
      <c r="DK41" s="1136"/>
      <c r="DL41" s="1137"/>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139"/>
      <c r="BT42" s="1136"/>
      <c r="BU42" s="1136"/>
      <c r="BV42" s="1136"/>
      <c r="BW42" s="1193" t="s">
        <v>99</v>
      </c>
      <c r="BX42" s="1143">
        <f>EBR_Master</f>
        <v>208</v>
      </c>
      <c r="BY42" s="937">
        <v>2</v>
      </c>
      <c r="BZ42" s="58"/>
      <c r="CA42" s="109"/>
      <c r="CB42" s="109"/>
      <c r="CC42" s="109"/>
      <c r="CD42" s="109"/>
      <c r="CE42" s="109"/>
      <c r="CF42" s="109"/>
      <c r="CG42" s="109"/>
      <c r="CH42" s="109"/>
      <c r="CI42" s="109"/>
      <c r="CJ42" s="109"/>
      <c r="CK42" s="60"/>
      <c r="CL42" s="174"/>
      <c r="CM42" s="174"/>
      <c r="CN42" s="174"/>
      <c r="CO42" s="174"/>
      <c r="CP42" s="174"/>
      <c r="CQ42" s="174"/>
      <c r="CR42" s="174"/>
      <c r="CS42" s="174"/>
      <c r="CT42" s="58"/>
      <c r="CU42" s="109"/>
      <c r="CV42" s="833">
        <f>+(MAX((CT49+CN49+BX36+CO31)/CT48,(CW49+BX39)/RTAF/CW48)+MAX((DG36+DG39+DG42+DG45)/RTAF/DF36,(CL31+DG45)/LTAF/CL32))</f>
        <v>1960.5882352941176</v>
      </c>
      <c r="CW42" s="834"/>
      <c r="CX42" s="834"/>
      <c r="CY42" s="834"/>
      <c r="CZ42" s="834"/>
      <c r="DA42" s="834"/>
      <c r="DB42" s="834"/>
      <c r="DC42" s="835"/>
      <c r="DD42" s="109"/>
      <c r="DE42" s="60"/>
      <c r="DF42" s="1002"/>
      <c r="DG42" s="1131">
        <f>WBL_Master</f>
        <v>588</v>
      </c>
      <c r="DH42" s="1199" t="s">
        <v>99</v>
      </c>
      <c r="DI42" s="1136"/>
      <c r="DJ42" s="1136"/>
      <c r="DK42" s="1136"/>
      <c r="DL42" s="1137"/>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139"/>
      <c r="BT43" s="1136"/>
      <c r="BU43" s="1136"/>
      <c r="BV43" s="1136"/>
      <c r="BW43" s="1193"/>
      <c r="BX43" s="1143"/>
      <c r="BY43" s="938"/>
      <c r="BZ43" s="58"/>
      <c r="CA43" s="109"/>
      <c r="CB43" s="109"/>
      <c r="CC43" s="109"/>
      <c r="CD43" s="109"/>
      <c r="CE43" s="109"/>
      <c r="CF43" s="109"/>
      <c r="CG43" s="109"/>
      <c r="CH43" s="109"/>
      <c r="CI43" s="109"/>
      <c r="CJ43" s="109"/>
      <c r="CK43" s="60"/>
      <c r="CL43" s="174"/>
      <c r="CM43" s="174"/>
      <c r="CN43" s="174"/>
      <c r="CO43" s="174"/>
      <c r="CP43" s="174"/>
      <c r="CQ43" s="174"/>
      <c r="CR43" s="174"/>
      <c r="CS43" s="174"/>
      <c r="CT43" s="58"/>
      <c r="CU43" s="109"/>
      <c r="CV43" s="833"/>
      <c r="CW43" s="834"/>
      <c r="CX43" s="834"/>
      <c r="CY43" s="834"/>
      <c r="CZ43" s="834"/>
      <c r="DA43" s="834"/>
      <c r="DB43" s="834"/>
      <c r="DC43" s="835"/>
      <c r="DD43" s="109"/>
      <c r="DE43" s="60"/>
      <c r="DF43" s="1943"/>
      <c r="DG43" s="1131"/>
      <c r="DH43" s="1199"/>
      <c r="DI43" s="1136"/>
      <c r="DJ43" s="1136"/>
      <c r="DK43" s="1136"/>
      <c r="DL43" s="1137"/>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153"/>
      <c r="BT44" s="1150"/>
      <c r="BU44" s="1150"/>
      <c r="BV44" s="1150"/>
      <c r="BW44" s="1197"/>
      <c r="BX44" s="1155"/>
      <c r="BY44" s="965"/>
      <c r="BZ44" s="61"/>
      <c r="CA44" s="110"/>
      <c r="CB44" s="110"/>
      <c r="CC44" s="110"/>
      <c r="CD44" s="110"/>
      <c r="CE44" s="110"/>
      <c r="CF44" s="110"/>
      <c r="CG44" s="110"/>
      <c r="CH44" s="110"/>
      <c r="CI44" s="110"/>
      <c r="CJ44" s="110"/>
      <c r="CK44" s="63"/>
      <c r="CL44" s="174"/>
      <c r="CM44" s="174"/>
      <c r="CN44" s="174"/>
      <c r="CO44" s="174"/>
      <c r="CP44" s="174"/>
      <c r="CQ44" s="174"/>
      <c r="CR44" s="174"/>
      <c r="CS44" s="174"/>
      <c r="CT44" s="58"/>
      <c r="CU44" s="109"/>
      <c r="CV44" s="836"/>
      <c r="CW44" s="837"/>
      <c r="CX44" s="837"/>
      <c r="CY44" s="837"/>
      <c r="CZ44" s="837"/>
      <c r="DA44" s="837"/>
      <c r="DB44" s="837"/>
      <c r="DC44" s="838"/>
      <c r="DD44" s="109"/>
      <c r="DE44" s="60"/>
      <c r="DF44" s="1945"/>
      <c r="DG44" s="1131"/>
      <c r="DH44" s="1199"/>
      <c r="DI44" s="1136"/>
      <c r="DJ44" s="1136"/>
      <c r="DK44" s="1136"/>
      <c r="DL44" s="1137"/>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58"/>
      <c r="CU45" s="109"/>
      <c r="CV45" s="109"/>
      <c r="CW45" s="109"/>
      <c r="CX45" s="109"/>
      <c r="CY45" s="109"/>
      <c r="CZ45" s="109"/>
      <c r="DA45" s="109"/>
      <c r="DB45" s="109"/>
      <c r="DC45" s="109"/>
      <c r="DD45" s="109"/>
      <c r="DE45" s="60"/>
      <c r="DF45" s="1002"/>
      <c r="DG45" s="1131">
        <f>WBU_Master</f>
        <v>0</v>
      </c>
      <c r="DH45" s="1199" t="s">
        <v>99</v>
      </c>
      <c r="DI45" s="1136"/>
      <c r="DJ45" s="1136"/>
      <c r="DK45" s="1136"/>
      <c r="DL45" s="1137"/>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58"/>
      <c r="CU46" s="109"/>
      <c r="CV46" s="109"/>
      <c r="CW46" s="109"/>
      <c r="CX46" s="109"/>
      <c r="CY46" s="109"/>
      <c r="CZ46" s="109"/>
      <c r="DA46" s="109"/>
      <c r="DB46" s="109"/>
      <c r="DC46" s="109"/>
      <c r="DD46" s="109"/>
      <c r="DE46" s="60"/>
      <c r="DF46" s="1943"/>
      <c r="DG46" s="1131"/>
      <c r="DH46" s="1199"/>
      <c r="DI46" s="1136"/>
      <c r="DJ46" s="1136"/>
      <c r="DK46" s="1136"/>
      <c r="DL46" s="1137"/>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61"/>
      <c r="CU47" s="110"/>
      <c r="CV47" s="110"/>
      <c r="CW47" s="110"/>
      <c r="CX47" s="110"/>
      <c r="CY47" s="110"/>
      <c r="CZ47" s="110"/>
      <c r="DA47" s="110"/>
      <c r="DB47" s="110"/>
      <c r="DC47" s="110"/>
      <c r="DD47" s="110"/>
      <c r="DE47" s="63"/>
      <c r="DF47" s="1946"/>
      <c r="DG47" s="1156"/>
      <c r="DH47" s="1200"/>
      <c r="DI47" s="1150"/>
      <c r="DJ47" s="1150"/>
      <c r="DK47" s="1150"/>
      <c r="DL47" s="1151"/>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120"/>
      <c r="CO48" s="1121"/>
      <c r="CP48" s="1121"/>
      <c r="CQ48" s="1040">
        <v>1</v>
      </c>
      <c r="CR48" s="1040"/>
      <c r="CS48" s="1040"/>
      <c r="CT48" s="1201">
        <f>CT67</f>
        <v>2</v>
      </c>
      <c r="CU48" s="1201"/>
      <c r="CV48" s="1201"/>
      <c r="CW48" s="1000">
        <v>1</v>
      </c>
      <c r="CX48" s="1000"/>
      <c r="CY48" s="1001"/>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168">
        <f>NBU_Master</f>
        <v>0</v>
      </c>
      <c r="CO49" s="1169"/>
      <c r="CP49" s="1169"/>
      <c r="CQ49" s="1169">
        <f>NBL_Master</f>
        <v>0</v>
      </c>
      <c r="CR49" s="1169"/>
      <c r="CS49" s="1169"/>
      <c r="CT49" s="1202">
        <f>NBT_Master</f>
        <v>1260</v>
      </c>
      <c r="CU49" s="1202"/>
      <c r="CV49" s="1202"/>
      <c r="CW49" s="1169">
        <f>NBR_Master</f>
        <v>1060</v>
      </c>
      <c r="CX49" s="1169"/>
      <c r="CY49" s="1170"/>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152" t="s">
        <v>99</v>
      </c>
      <c r="CO50" s="1125"/>
      <c r="CP50" s="1125"/>
      <c r="CQ50" s="1125" t="s">
        <v>99</v>
      </c>
      <c r="CR50" s="1125"/>
      <c r="CS50" s="1125"/>
      <c r="CT50" s="1196" t="s">
        <v>99</v>
      </c>
      <c r="CU50" s="1196"/>
      <c r="CV50" s="1196"/>
      <c r="CW50" s="1125" t="s">
        <v>99</v>
      </c>
      <c r="CX50" s="1125"/>
      <c r="CY50" s="1126"/>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099"/>
      <c r="CO51" s="1068"/>
      <c r="CP51" s="1068"/>
      <c r="CQ51" s="1068"/>
      <c r="CR51" s="1068"/>
      <c r="CS51" s="1068"/>
      <c r="CT51" s="1068"/>
      <c r="CU51" s="1068"/>
      <c r="CV51" s="1068"/>
      <c r="CW51" s="1068"/>
      <c r="CX51" s="1068"/>
      <c r="CY51" s="1069"/>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099"/>
      <c r="CO52" s="1068"/>
      <c r="CP52" s="1068"/>
      <c r="CQ52" s="1068"/>
      <c r="CR52" s="1068"/>
      <c r="CS52" s="1068"/>
      <c r="CT52" s="1068"/>
      <c r="CU52" s="1068"/>
      <c r="CV52" s="1068"/>
      <c r="CW52" s="1068"/>
      <c r="CX52" s="1068"/>
      <c r="CY52" s="1069"/>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099"/>
      <c r="CO53" s="1068"/>
      <c r="CP53" s="1068"/>
      <c r="CQ53" s="1068"/>
      <c r="CR53" s="1068"/>
      <c r="CS53" s="1068"/>
      <c r="CT53" s="1068"/>
      <c r="CU53" s="1068"/>
      <c r="CV53" s="1068"/>
      <c r="CW53" s="1068"/>
      <c r="CX53" s="1068"/>
      <c r="CY53" s="1069"/>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thickBo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167"/>
      <c r="CO54" s="1070"/>
      <c r="CP54" s="1070"/>
      <c r="CQ54" s="1070"/>
      <c r="CR54" s="1070"/>
      <c r="CS54" s="1070"/>
      <c r="CT54" s="1070"/>
      <c r="CU54" s="1070"/>
      <c r="CV54" s="1070"/>
      <c r="CW54" s="1070"/>
      <c r="CX54" s="1070"/>
      <c r="CY54" s="1071"/>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56"/>
      <c r="CO55" s="175"/>
      <c r="CP55" s="175"/>
      <c r="CQ55" s="175"/>
      <c r="CR55" s="175"/>
      <c r="CS55" s="175"/>
      <c r="CT55" s="175"/>
      <c r="CU55" s="175"/>
      <c r="CV55" s="175"/>
      <c r="CW55" s="175"/>
      <c r="CX55" s="175"/>
      <c r="CY55" s="176"/>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58"/>
      <c r="CO56" s="109"/>
      <c r="CP56" s="109"/>
      <c r="CQ56" s="109"/>
      <c r="CR56" s="109"/>
      <c r="CS56" s="109"/>
      <c r="CT56" s="109"/>
      <c r="CU56" s="109"/>
      <c r="CV56" s="109"/>
      <c r="CW56" s="109"/>
      <c r="CX56" s="109"/>
      <c r="CY56" s="60"/>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thickBot="1">
      <c r="B57" s="1"/>
      <c r="C57" s="174"/>
      <c r="D57" s="174"/>
      <c r="E57" s="174"/>
      <c r="F57" s="1177">
        <f>CB39</f>
        <v>1668.6764705882354</v>
      </c>
      <c r="G57" s="1178"/>
      <c r="H57" s="1178"/>
      <c r="I57" s="1178"/>
      <c r="J57" s="1178"/>
      <c r="K57" s="1178"/>
      <c r="L57" s="1178"/>
      <c r="M57" s="1178"/>
      <c r="N57" s="1178"/>
      <c r="O57" s="1179"/>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096"/>
      <c r="CL57" s="1097"/>
      <c r="CM57" s="1098"/>
      <c r="CN57" s="58"/>
      <c r="CO57" s="109"/>
      <c r="CP57" s="109"/>
      <c r="CQ57" s="109"/>
      <c r="CR57" s="109"/>
      <c r="CS57" s="109"/>
      <c r="CT57" s="109"/>
      <c r="CU57" s="109"/>
      <c r="CV57" s="109"/>
      <c r="CW57" s="109"/>
      <c r="CX57" s="109"/>
      <c r="CY57" s="60"/>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180"/>
      <c r="G58" s="1181"/>
      <c r="H58" s="1181"/>
      <c r="I58" s="1181"/>
      <c r="J58" s="1181"/>
      <c r="K58" s="1181"/>
      <c r="L58" s="1181"/>
      <c r="M58" s="1181"/>
      <c r="N58" s="1181"/>
      <c r="O58" s="1182"/>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099"/>
      <c r="CL58" s="1068"/>
      <c r="CM58" s="1069"/>
      <c r="CN58" s="58"/>
      <c r="CO58" s="109"/>
      <c r="CP58" s="763"/>
      <c r="CQ58" s="764"/>
      <c r="CR58" s="764"/>
      <c r="CS58" s="764"/>
      <c r="CT58" s="764"/>
      <c r="CU58" s="764"/>
      <c r="CV58" s="764"/>
      <c r="CW58" s="771"/>
      <c r="CX58" s="109"/>
      <c r="CY58" s="60"/>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183"/>
      <c r="G59" s="1184"/>
      <c r="H59" s="1184"/>
      <c r="I59" s="1184"/>
      <c r="J59" s="1184"/>
      <c r="K59" s="1184"/>
      <c r="L59" s="1184"/>
      <c r="M59" s="1184"/>
      <c r="N59" s="1184"/>
      <c r="O59" s="1185"/>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099"/>
      <c r="CL59" s="1068"/>
      <c r="CM59" s="1069"/>
      <c r="CN59" s="58"/>
      <c r="CO59" s="109"/>
      <c r="CP59" s="766"/>
      <c r="CQ59" s="767"/>
      <c r="CR59" s="767"/>
      <c r="CS59" s="767"/>
      <c r="CT59" s="767"/>
      <c r="CU59" s="767"/>
      <c r="CV59" s="767"/>
      <c r="CW59" s="772"/>
      <c r="CX59" s="109"/>
      <c r="CY59" s="60"/>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713">
        <f>ROUND(F57/CLV_Limit,2)</f>
        <v>1.04</v>
      </c>
      <c r="G60" s="714"/>
      <c r="H60" s="714"/>
      <c r="I60" s="714"/>
      <c r="J60" s="715"/>
      <c r="K60" s="722" t="s">
        <v>100</v>
      </c>
      <c r="L60" s="722"/>
      <c r="M60" s="722"/>
      <c r="N60" s="722"/>
      <c r="O60" s="723"/>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099"/>
      <c r="CL60" s="1068"/>
      <c r="CM60" s="1069"/>
      <c r="CN60" s="58"/>
      <c r="CO60" s="109"/>
      <c r="CP60" s="766"/>
      <c r="CQ60" s="767"/>
      <c r="CR60" s="767"/>
      <c r="CS60" s="767"/>
      <c r="CT60" s="767"/>
      <c r="CU60" s="767"/>
      <c r="CV60" s="767"/>
      <c r="CW60" s="772"/>
      <c r="CX60" s="109"/>
      <c r="CY60" s="60"/>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716"/>
      <c r="G61" s="717"/>
      <c r="H61" s="717"/>
      <c r="I61" s="717"/>
      <c r="J61" s="718"/>
      <c r="K61" s="724"/>
      <c r="L61" s="724"/>
      <c r="M61" s="724"/>
      <c r="N61" s="724"/>
      <c r="O61" s="725"/>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065" t="s">
        <v>99</v>
      </c>
      <c r="CL61" s="1066"/>
      <c r="CM61" s="1067"/>
      <c r="CN61" s="58"/>
      <c r="CO61" s="109"/>
      <c r="CP61" s="833">
        <f>+(CT68/CT67 +CK62/UTAF/CK63)</f>
        <v>1721.875</v>
      </c>
      <c r="CQ61" s="834"/>
      <c r="CR61" s="834"/>
      <c r="CS61" s="834"/>
      <c r="CT61" s="834"/>
      <c r="CU61" s="834"/>
      <c r="CV61" s="834"/>
      <c r="CW61" s="835"/>
      <c r="CX61" s="109"/>
      <c r="CY61" s="60"/>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719"/>
      <c r="G62" s="720"/>
      <c r="H62" s="720"/>
      <c r="I62" s="720"/>
      <c r="J62" s="721"/>
      <c r="K62" s="726"/>
      <c r="L62" s="726"/>
      <c r="M62" s="726"/>
      <c r="N62" s="726"/>
      <c r="O62" s="727"/>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31"/>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203">
        <f>CO31+BX36+BX39+BX33</f>
        <v>899</v>
      </c>
      <c r="CL62" s="1204"/>
      <c r="CM62" s="1205"/>
      <c r="CN62" s="58"/>
      <c r="CO62" s="109"/>
      <c r="CP62" s="833"/>
      <c r="CQ62" s="834"/>
      <c r="CR62" s="834"/>
      <c r="CS62" s="834"/>
      <c r="CT62" s="834"/>
      <c r="CU62" s="834"/>
      <c r="CV62" s="834"/>
      <c r="CW62" s="835"/>
      <c r="CX62" s="109"/>
      <c r="CY62" s="60"/>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31"/>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928">
        <v>2</v>
      </c>
      <c r="CL63" s="929"/>
      <c r="CM63" s="930"/>
      <c r="CN63" s="58"/>
      <c r="CO63" s="109"/>
      <c r="CP63" s="836"/>
      <c r="CQ63" s="837"/>
      <c r="CR63" s="837"/>
      <c r="CS63" s="837"/>
      <c r="CT63" s="837"/>
      <c r="CU63" s="837"/>
      <c r="CV63" s="837"/>
      <c r="CW63" s="838"/>
      <c r="CX63" s="109"/>
      <c r="CY63" s="60"/>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31"/>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58"/>
      <c r="CO64" s="109"/>
      <c r="CP64" s="109"/>
      <c r="CQ64" s="109"/>
      <c r="CR64" s="109"/>
      <c r="CS64" s="109"/>
      <c r="CT64" s="109"/>
      <c r="CU64" s="109"/>
      <c r="CV64" s="109"/>
      <c r="CW64" s="109"/>
      <c r="CX64" s="109"/>
      <c r="CY64" s="60"/>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728">
        <f>CP61</f>
        <v>1721.875</v>
      </c>
      <c r="AW65" s="861"/>
      <c r="AX65" s="861"/>
      <c r="AY65" s="861"/>
      <c r="AZ65" s="861"/>
      <c r="BA65" s="861"/>
      <c r="BB65" s="861"/>
      <c r="BC65" s="861"/>
      <c r="BD65" s="861"/>
      <c r="BE65" s="862"/>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58"/>
      <c r="CO65" s="109"/>
      <c r="CP65" s="109"/>
      <c r="CQ65" s="109"/>
      <c r="CR65" s="109"/>
      <c r="CS65" s="109"/>
      <c r="CT65" s="109"/>
      <c r="CU65" s="109"/>
      <c r="CV65" s="109"/>
      <c r="CW65" s="109"/>
      <c r="CX65" s="109"/>
      <c r="CY65" s="60"/>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863"/>
      <c r="AW66" s="864"/>
      <c r="AX66" s="864"/>
      <c r="AY66" s="864"/>
      <c r="AZ66" s="864"/>
      <c r="BA66" s="864"/>
      <c r="BB66" s="864"/>
      <c r="BC66" s="864"/>
      <c r="BD66" s="864"/>
      <c r="BE66" s="865"/>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31"/>
      <c r="CL66" s="174"/>
      <c r="CM66" s="174"/>
      <c r="CN66" s="61"/>
      <c r="CO66" s="110"/>
      <c r="CP66" s="110"/>
      <c r="CQ66" s="110"/>
      <c r="CR66" s="110"/>
      <c r="CS66" s="110"/>
      <c r="CT66" s="110"/>
      <c r="CU66" s="110"/>
      <c r="CV66" s="110"/>
      <c r="CW66" s="110"/>
      <c r="CX66" s="110"/>
      <c r="CY66" s="63"/>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thickBo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866"/>
      <c r="AW67" s="867"/>
      <c r="AX67" s="867"/>
      <c r="AY67" s="867"/>
      <c r="AZ67" s="867"/>
      <c r="BA67" s="867"/>
      <c r="BB67" s="867"/>
      <c r="BC67" s="867"/>
      <c r="BD67" s="867"/>
      <c r="BE67" s="868"/>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31"/>
      <c r="CL67" s="174"/>
      <c r="CM67" s="174"/>
      <c r="CN67" s="174"/>
      <c r="CO67" s="174"/>
      <c r="CP67" s="174"/>
      <c r="CQ67" s="174"/>
      <c r="CR67" s="174"/>
      <c r="CS67" s="174"/>
      <c r="CT67" s="1039">
        <v>2</v>
      </c>
      <c r="CU67" s="1040"/>
      <c r="CV67" s="1041"/>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713">
        <f>ROUND(AV65/CLV_Limit,2)</f>
        <v>1.08</v>
      </c>
      <c r="AW68" s="714"/>
      <c r="AX68" s="714"/>
      <c r="AY68" s="714"/>
      <c r="AZ68" s="715"/>
      <c r="BA68" s="722" t="s">
        <v>100</v>
      </c>
      <c r="BB68" s="722"/>
      <c r="BC68" s="722"/>
      <c r="BD68" s="722"/>
      <c r="BE68" s="723"/>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122">
        <f>CN49+CQ49+CT49+CW49</f>
        <v>2320</v>
      </c>
      <c r="CU68" s="1123"/>
      <c r="CV68" s="112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716"/>
      <c r="AW69" s="717"/>
      <c r="AX69" s="717"/>
      <c r="AY69" s="717"/>
      <c r="AZ69" s="718"/>
      <c r="BA69" s="724"/>
      <c r="BB69" s="724"/>
      <c r="BC69" s="724"/>
      <c r="BD69" s="724"/>
      <c r="BE69" s="725"/>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045" t="s">
        <v>99</v>
      </c>
      <c r="CU69" s="1046"/>
      <c r="CV69" s="1047"/>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thickBot="1">
      <c r="B70" s="1"/>
      <c r="C70" s="174"/>
      <c r="D70" s="174"/>
      <c r="E70" s="174"/>
      <c r="F70" s="174"/>
      <c r="G70" s="174"/>
      <c r="H70" s="174"/>
      <c r="I70" s="174"/>
      <c r="J70" s="174"/>
      <c r="K70" s="174"/>
      <c r="L70" s="174"/>
      <c r="M70" s="174"/>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719"/>
      <c r="AW70" s="720"/>
      <c r="AX70" s="720"/>
      <c r="AY70" s="720"/>
      <c r="AZ70" s="721"/>
      <c r="BA70" s="726"/>
      <c r="BB70" s="726"/>
      <c r="BC70" s="726"/>
      <c r="BD70" s="726"/>
      <c r="BE70" s="727"/>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099"/>
      <c r="CU70" s="1068"/>
      <c r="CV70" s="1069"/>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099"/>
      <c r="CU71" s="1068"/>
      <c r="CV71" s="1069"/>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099"/>
      <c r="CU72" s="1068"/>
      <c r="CV72" s="1069"/>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thickBo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7"/>
      <c r="CT73" s="1167"/>
      <c r="CU73" s="1070"/>
      <c r="CV73" s="1071"/>
      <c r="CW73" s="1"/>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20">
    <mergeCell ref="CT67:CV67"/>
    <mergeCell ref="CT68:CV68"/>
    <mergeCell ref="CT69:CV69"/>
    <mergeCell ref="CT70:CV73"/>
    <mergeCell ref="CK57:CM60"/>
    <mergeCell ref="CP58:CW60"/>
    <mergeCell ref="CK61:CM61"/>
    <mergeCell ref="CP61:CW63"/>
    <mergeCell ref="CK62:CM62"/>
    <mergeCell ref="CK63:CM63"/>
    <mergeCell ref="CN51:CP54"/>
    <mergeCell ref="CQ51:CS54"/>
    <mergeCell ref="CT51:CV54"/>
    <mergeCell ref="CW51:CY54"/>
    <mergeCell ref="CN48:CP48"/>
    <mergeCell ref="CQ48:CS48"/>
    <mergeCell ref="CT48:CV48"/>
    <mergeCell ref="CW48:CY48"/>
    <mergeCell ref="CN49:CP49"/>
    <mergeCell ref="CQ49:CS49"/>
    <mergeCell ref="CT49:CV49"/>
    <mergeCell ref="CW49:CY49"/>
    <mergeCell ref="DI42:DL44"/>
    <mergeCell ref="DF45:DF47"/>
    <mergeCell ref="DG45:DG47"/>
    <mergeCell ref="DH45:DH47"/>
    <mergeCell ref="DI45:DL47"/>
    <mergeCell ref="DG39:DG41"/>
    <mergeCell ref="DH39:DH41"/>
    <mergeCell ref="DI39:DL41"/>
    <mergeCell ref="CN50:CP50"/>
    <mergeCell ref="CQ50:CS50"/>
    <mergeCell ref="CT50:CV50"/>
    <mergeCell ref="CW50:CY50"/>
    <mergeCell ref="BS42:BV44"/>
    <mergeCell ref="BW42:BW44"/>
    <mergeCell ref="BX42:BX44"/>
    <mergeCell ref="BY42:BY44"/>
    <mergeCell ref="CV42:DC44"/>
    <mergeCell ref="DF42:DF44"/>
    <mergeCell ref="DG42:DG44"/>
    <mergeCell ref="DG36:DG38"/>
    <mergeCell ref="DH36:DH38"/>
    <mergeCell ref="DH42:DH44"/>
    <mergeCell ref="BX39:BX41"/>
    <mergeCell ref="BY39:BY41"/>
    <mergeCell ref="CB39:CI41"/>
    <mergeCell ref="CV39:DC41"/>
    <mergeCell ref="DF39:DF41"/>
    <mergeCell ref="BS36:BV38"/>
    <mergeCell ref="BW36:BW38"/>
    <mergeCell ref="BX36:BX38"/>
    <mergeCell ref="BY36:BY38"/>
    <mergeCell ref="CB36:CI38"/>
    <mergeCell ref="DF36:DF38"/>
    <mergeCell ref="AV68:AZ70"/>
    <mergeCell ref="BA68:BE70"/>
    <mergeCell ref="F60:J62"/>
    <mergeCell ref="K60:O62"/>
    <mergeCell ref="O74:AV74"/>
    <mergeCell ref="CH20:CO22"/>
    <mergeCell ref="CR20:CT23"/>
    <mergeCell ref="CF26:CH29"/>
    <mergeCell ref="CI26:CK29"/>
    <mergeCell ref="CL26:CN29"/>
    <mergeCell ref="CO26:CQ29"/>
    <mergeCell ref="CF32:CH32"/>
    <mergeCell ref="CI32:CK32"/>
    <mergeCell ref="CL32:CN32"/>
    <mergeCell ref="CO32:CQ32"/>
    <mergeCell ref="BS33:BV35"/>
    <mergeCell ref="BW33:BW35"/>
    <mergeCell ref="BX33:BX35"/>
    <mergeCell ref="BY33:BY35"/>
    <mergeCell ref="CF30:CH30"/>
    <mergeCell ref="CI30:CK30"/>
    <mergeCell ref="CL30:CN30"/>
    <mergeCell ref="CO30:CQ30"/>
    <mergeCell ref="CF31:CH31"/>
    <mergeCell ref="AV65:BE67"/>
    <mergeCell ref="BL1:DS2"/>
    <mergeCell ref="BL3:DS4"/>
    <mergeCell ref="CI7:CK10"/>
    <mergeCell ref="CI11:CK11"/>
    <mergeCell ref="F20:O22"/>
    <mergeCell ref="AV28:BE30"/>
    <mergeCell ref="F57:O59"/>
    <mergeCell ref="F23:J25"/>
    <mergeCell ref="K23:O25"/>
    <mergeCell ref="AV31:AZ33"/>
    <mergeCell ref="BA31:BE33"/>
    <mergeCell ref="CI12:CK12"/>
    <mergeCell ref="CI13:CK13"/>
    <mergeCell ref="CH17:CO19"/>
    <mergeCell ref="CR17:CT17"/>
    <mergeCell ref="CR18:CT18"/>
    <mergeCell ref="CR19:CT19"/>
    <mergeCell ref="CI31:CK31"/>
    <mergeCell ref="CL31:CN31"/>
    <mergeCell ref="CO31:CQ31"/>
    <mergeCell ref="DI36:DL38"/>
    <mergeCell ref="BS39:BV41"/>
    <mergeCell ref="BW39:BW41"/>
    <mergeCell ref="C8:J9"/>
    <mergeCell ref="K8:AJ9"/>
    <mergeCell ref="C10:J11"/>
    <mergeCell ref="K10:AJ11"/>
    <mergeCell ref="C12:J13"/>
    <mergeCell ref="K12:AJ13"/>
    <mergeCell ref="B1:BI2"/>
    <mergeCell ref="B3:BI4"/>
    <mergeCell ref="C6:J7"/>
    <mergeCell ref="K6:AJ7"/>
    <mergeCell ref="AK6:BH7"/>
    <mergeCell ref="AK8:AP9"/>
    <mergeCell ref="AQ8:AV9"/>
    <mergeCell ref="AW8:BB9"/>
    <mergeCell ref="BC8:BH9"/>
    <mergeCell ref="AK10:AV13"/>
    <mergeCell ref="AW10:BH13"/>
  </mergeCells>
  <conditionalFormatting sqref="F20 CH20 AV28 CB39 CV42 F57 CP61 AV65">
    <cfRule type="cellIs" dxfId="147" priority="21" operator="between">
      <formula>0.75*CLV_Limit</formula>
      <formula>0.875*CLV_Limit-1</formula>
    </cfRule>
    <cfRule type="cellIs" dxfId="146" priority="22" operator="between">
      <formula>0.875*CLV_Limit</formula>
      <formula>CLV_Limit-1</formula>
    </cfRule>
    <cfRule type="cellIs" dxfId="145" priority="23" operator="greaterThanOrEqual">
      <formula>CLV_Limit</formula>
    </cfRule>
  </conditionalFormatting>
  <conditionalFormatting sqref="AW10 F23 AV31 F60 AV68">
    <cfRule type="cellIs" dxfId="144" priority="13" operator="between">
      <formula>0.75</formula>
      <formula>0.875</formula>
    </cfRule>
    <cfRule type="cellIs" dxfId="143" priority="14" operator="between">
      <formula>0.875</formula>
      <formula>1</formula>
    </cfRule>
    <cfRule type="cellIs" dxfId="142" priority="15"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6" tint="-0.249977111117893"/>
  </sheetPr>
  <dimension ref="A1:FE484"/>
  <sheetViews>
    <sheetView showGridLines="0" showRowColHeaders="0" zoomScaleNormal="100" workbookViewId="0">
      <selection activeCell="AM70" sqref="AM70:AO70"/>
    </sheetView>
  </sheetViews>
  <sheetFormatPr defaultColWidth="0" defaultRowHeight="13.15" zeroHeight="1"/>
  <cols>
    <col min="1" max="1" width="0.42578125" customWidth="1"/>
    <col min="2" max="80" width="1.7109375" customWidth="1"/>
    <col min="81" max="81" width="0.42578125" customWidth="1"/>
    <col min="82" max="130" width="1.7109375" hidden="1" customWidth="1"/>
    <col min="131" max="137" width="2.7109375" hidden="1" customWidth="1"/>
    <col min="138" max="160" width="1.7109375" hidden="1" customWidth="1"/>
    <col min="161" max="161" width="0.85546875" hidden="1" customWidth="1"/>
    <col min="162" max="16384" width="9.140625" hidden="1"/>
  </cols>
  <sheetData>
    <row r="1" spans="2:80" ht="9.9499999999999993" customHeight="1">
      <c r="B1" s="571" t="s">
        <v>120</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MAX(ROUND(P17/CLV_Limit,2),ROUND(BG17/CLV_Limit,2),ROUND(N49/CLV_Limit,2),ROUND(BG49/CLV_Limit,2))</f>
        <v>2.0699999999999998</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74"/>
      <c r="G17" s="174"/>
      <c r="H17" s="174"/>
      <c r="I17" s="174"/>
      <c r="J17" s="174"/>
      <c r="K17" s="174"/>
      <c r="L17" s="174"/>
      <c r="M17" s="174"/>
      <c r="N17" s="174"/>
      <c r="O17" s="174"/>
      <c r="P17" s="728">
        <f>AO77</f>
        <v>3155.2941176470586</v>
      </c>
      <c r="Q17" s="729"/>
      <c r="R17" s="729"/>
      <c r="S17" s="729"/>
      <c r="T17" s="729"/>
      <c r="U17" s="729"/>
      <c r="V17" s="729"/>
      <c r="W17" s="729"/>
      <c r="X17" s="729"/>
      <c r="Y17" s="730"/>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728">
        <f>BH83</f>
        <v>1394</v>
      </c>
      <c r="BH17" s="729"/>
      <c r="BI17" s="729"/>
      <c r="BJ17" s="729"/>
      <c r="BK17" s="729"/>
      <c r="BL17" s="729"/>
      <c r="BM17" s="729"/>
      <c r="BN17" s="729"/>
      <c r="BO17" s="729"/>
      <c r="BP17" s="730"/>
      <c r="BQ17" s="174"/>
      <c r="BR17" s="174"/>
      <c r="BS17" s="174"/>
      <c r="BT17" s="174"/>
      <c r="BU17" s="174"/>
      <c r="BV17" s="174"/>
      <c r="BW17" s="174"/>
      <c r="BX17" s="174"/>
      <c r="BY17" s="174"/>
      <c r="BZ17" s="174"/>
      <c r="CA17" s="174"/>
      <c r="CB17" s="177"/>
    </row>
    <row r="18" spans="2:80" ht="9.9499999999999993" customHeight="1">
      <c r="B18" s="1"/>
      <c r="C18" s="174"/>
      <c r="D18" s="174"/>
      <c r="E18" s="174"/>
      <c r="F18" s="174"/>
      <c r="G18" s="174"/>
      <c r="H18" s="174"/>
      <c r="I18" s="174"/>
      <c r="J18" s="174"/>
      <c r="K18" s="174"/>
      <c r="L18" s="174"/>
      <c r="M18" s="174"/>
      <c r="N18" s="174"/>
      <c r="O18" s="174"/>
      <c r="P18" s="731"/>
      <c r="Q18" s="732"/>
      <c r="R18" s="732"/>
      <c r="S18" s="732"/>
      <c r="T18" s="732"/>
      <c r="U18" s="732"/>
      <c r="V18" s="732"/>
      <c r="W18" s="732"/>
      <c r="X18" s="732"/>
      <c r="Y18" s="733"/>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731"/>
      <c r="BH18" s="732"/>
      <c r="BI18" s="732"/>
      <c r="BJ18" s="732"/>
      <c r="BK18" s="732"/>
      <c r="BL18" s="732"/>
      <c r="BM18" s="732"/>
      <c r="BN18" s="732"/>
      <c r="BO18" s="732"/>
      <c r="BP18" s="733"/>
      <c r="BQ18" s="174"/>
      <c r="BR18" s="174"/>
      <c r="BS18" s="174"/>
      <c r="BT18" s="174"/>
      <c r="BU18" s="174"/>
      <c r="BV18" s="174"/>
      <c r="BW18" s="174"/>
      <c r="BX18" s="174"/>
      <c r="BY18" s="174"/>
      <c r="BZ18" s="174"/>
      <c r="CA18" s="174"/>
      <c r="CB18" s="177"/>
    </row>
    <row r="19" spans="2:80" ht="9.9499999999999993" customHeight="1" thickBot="1">
      <c r="B19" s="1"/>
      <c r="C19" s="174"/>
      <c r="D19" s="174"/>
      <c r="E19" s="174"/>
      <c r="F19" s="174"/>
      <c r="G19" s="174"/>
      <c r="H19" s="174"/>
      <c r="I19" s="174"/>
      <c r="J19" s="174"/>
      <c r="K19" s="174"/>
      <c r="L19" s="174"/>
      <c r="M19" s="174"/>
      <c r="N19" s="174"/>
      <c r="O19" s="174"/>
      <c r="P19" s="734"/>
      <c r="Q19" s="735"/>
      <c r="R19" s="735"/>
      <c r="S19" s="735"/>
      <c r="T19" s="735"/>
      <c r="U19" s="735"/>
      <c r="V19" s="735"/>
      <c r="W19" s="735"/>
      <c r="X19" s="735"/>
      <c r="Y19" s="736"/>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734"/>
      <c r="BH19" s="735"/>
      <c r="BI19" s="735"/>
      <c r="BJ19" s="735"/>
      <c r="BK19" s="735"/>
      <c r="BL19" s="735"/>
      <c r="BM19" s="735"/>
      <c r="BN19" s="735"/>
      <c r="BO19" s="735"/>
      <c r="BP19" s="736"/>
      <c r="BQ19" s="174"/>
      <c r="BR19" s="174"/>
      <c r="BS19" s="174"/>
      <c r="BT19" s="174"/>
      <c r="BU19" s="174"/>
      <c r="BV19" s="174"/>
      <c r="BW19" s="174"/>
      <c r="BX19" s="174"/>
      <c r="BY19" s="174"/>
      <c r="BZ19" s="174"/>
      <c r="CA19" s="174"/>
      <c r="CB19" s="177"/>
    </row>
    <row r="20" spans="2:80" ht="9.9499999999999993" customHeight="1">
      <c r="B20" s="1"/>
      <c r="C20" s="174"/>
      <c r="D20" s="173"/>
      <c r="E20" s="174"/>
      <c r="F20" s="174"/>
      <c r="G20" s="174"/>
      <c r="H20" s="174"/>
      <c r="I20" s="174"/>
      <c r="J20" s="174"/>
      <c r="K20" s="174"/>
      <c r="L20" s="174"/>
      <c r="M20" s="174"/>
      <c r="N20" s="174"/>
      <c r="O20" s="174"/>
      <c r="P20" s="713">
        <f>ROUND(P17/CLV_Limit,2)</f>
        <v>1.97</v>
      </c>
      <c r="Q20" s="714"/>
      <c r="R20" s="714"/>
      <c r="S20" s="714"/>
      <c r="T20" s="715"/>
      <c r="U20" s="722" t="s">
        <v>100</v>
      </c>
      <c r="V20" s="722"/>
      <c r="W20" s="722"/>
      <c r="X20" s="722"/>
      <c r="Y20" s="723"/>
      <c r="Z20" s="174"/>
      <c r="AA20" s="174"/>
      <c r="AB20" s="174"/>
      <c r="AC20" s="174"/>
      <c r="AD20" s="174"/>
      <c r="AE20" s="174"/>
      <c r="AF20" s="174"/>
      <c r="AG20" s="174"/>
      <c r="AH20" s="174"/>
      <c r="AI20" s="174"/>
      <c r="AJ20" s="174"/>
      <c r="AK20" s="174"/>
      <c r="AL20" s="174"/>
      <c r="AM20" s="174"/>
      <c r="AN20" s="174"/>
      <c r="AO20" s="174"/>
      <c r="AP20" s="174"/>
      <c r="AQ20" s="174"/>
      <c r="AR20" s="174"/>
      <c r="AS20" s="173"/>
      <c r="AT20" s="174"/>
      <c r="AU20" s="174"/>
      <c r="AV20" s="174"/>
      <c r="AW20" s="174"/>
      <c r="AX20" s="174"/>
      <c r="AY20" s="174"/>
      <c r="AZ20" s="174"/>
      <c r="BA20" s="174"/>
      <c r="BB20" s="174"/>
      <c r="BC20" s="174"/>
      <c r="BD20" s="174"/>
      <c r="BE20" s="174"/>
      <c r="BF20" s="174"/>
      <c r="BG20" s="713">
        <f>ROUND(BG17/CLV_Limit,2)</f>
        <v>0.87</v>
      </c>
      <c r="BH20" s="714"/>
      <c r="BI20" s="714"/>
      <c r="BJ20" s="714"/>
      <c r="BK20" s="715"/>
      <c r="BL20" s="722" t="s">
        <v>100</v>
      </c>
      <c r="BM20" s="722"/>
      <c r="BN20" s="722"/>
      <c r="BO20" s="722"/>
      <c r="BP20" s="723"/>
      <c r="BQ20" s="174"/>
      <c r="BR20" s="174"/>
      <c r="BS20" s="174"/>
      <c r="BT20" s="174"/>
      <c r="BU20" s="174"/>
      <c r="BV20" s="174"/>
      <c r="BW20" s="174"/>
      <c r="BX20" s="174"/>
      <c r="BY20" s="174"/>
      <c r="BZ20" s="174"/>
      <c r="CA20" s="174"/>
      <c r="CB20" s="177"/>
    </row>
    <row r="21" spans="2:80" ht="9.9499999999999993" customHeight="1">
      <c r="B21" s="1"/>
      <c r="C21" s="174"/>
      <c r="D21" s="14"/>
      <c r="E21" s="174"/>
      <c r="F21" s="174"/>
      <c r="G21" s="174"/>
      <c r="H21" s="174"/>
      <c r="I21" s="174"/>
      <c r="J21" s="174"/>
      <c r="K21" s="174"/>
      <c r="L21" s="174"/>
      <c r="M21" s="174"/>
      <c r="N21" s="174"/>
      <c r="O21" s="174"/>
      <c r="P21" s="716"/>
      <c r="Q21" s="717"/>
      <c r="R21" s="717"/>
      <c r="S21" s="717"/>
      <c r="T21" s="718"/>
      <c r="U21" s="724"/>
      <c r="V21" s="724"/>
      <c r="W21" s="724"/>
      <c r="X21" s="724"/>
      <c r="Y21" s="725"/>
      <c r="Z21" s="174"/>
      <c r="AA21" s="174"/>
      <c r="AB21" s="174"/>
      <c r="AC21" s="174"/>
      <c r="AD21" s="174"/>
      <c r="AE21" s="174"/>
      <c r="AF21" s="174"/>
      <c r="AG21" s="174"/>
      <c r="AH21" s="174"/>
      <c r="AI21" s="174"/>
      <c r="AJ21" s="174"/>
      <c r="AK21" s="174"/>
      <c r="AL21" s="174"/>
      <c r="AM21" s="174"/>
      <c r="AN21" s="174"/>
      <c r="AO21" s="174"/>
      <c r="AP21" s="174"/>
      <c r="AQ21" s="174"/>
      <c r="AR21" s="174"/>
      <c r="AS21" s="14"/>
      <c r="AT21" s="174"/>
      <c r="AU21" s="174"/>
      <c r="AV21" s="174"/>
      <c r="AW21" s="174"/>
      <c r="AX21" s="174"/>
      <c r="AY21" s="174"/>
      <c r="AZ21" s="174"/>
      <c r="BA21" s="174"/>
      <c r="BB21" s="174"/>
      <c r="BC21" s="174"/>
      <c r="BD21" s="174"/>
      <c r="BE21" s="174"/>
      <c r="BF21" s="174"/>
      <c r="BG21" s="716"/>
      <c r="BH21" s="717"/>
      <c r="BI21" s="717"/>
      <c r="BJ21" s="717"/>
      <c r="BK21" s="718"/>
      <c r="BL21" s="724"/>
      <c r="BM21" s="724"/>
      <c r="BN21" s="724"/>
      <c r="BO21" s="724"/>
      <c r="BP21" s="725"/>
      <c r="BQ21" s="174"/>
      <c r="BR21" s="174"/>
      <c r="BS21" s="174"/>
      <c r="BT21" s="174"/>
      <c r="BU21" s="174"/>
      <c r="BV21" s="174"/>
      <c r="BW21" s="174"/>
      <c r="BX21" s="174"/>
      <c r="BY21" s="174"/>
      <c r="BZ21" s="174"/>
      <c r="CA21" s="174"/>
      <c r="CB21" s="177"/>
    </row>
    <row r="22" spans="2:80" ht="9.9499999999999993" customHeight="1" thickBot="1">
      <c r="B22" s="1"/>
      <c r="C22" s="174"/>
      <c r="D22" s="174"/>
      <c r="E22" s="174"/>
      <c r="F22" s="174"/>
      <c r="G22" s="174"/>
      <c r="H22" s="174"/>
      <c r="I22" s="174"/>
      <c r="J22" s="174"/>
      <c r="K22" s="174"/>
      <c r="L22" s="174"/>
      <c r="M22" s="174"/>
      <c r="N22" s="174"/>
      <c r="O22" s="174"/>
      <c r="P22" s="719"/>
      <c r="Q22" s="720"/>
      <c r="R22" s="720"/>
      <c r="S22" s="720"/>
      <c r="T22" s="721"/>
      <c r="U22" s="726"/>
      <c r="V22" s="726"/>
      <c r="W22" s="726"/>
      <c r="X22" s="726"/>
      <c r="Y22" s="727"/>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719"/>
      <c r="BH22" s="720"/>
      <c r="BI22" s="720"/>
      <c r="BJ22" s="720"/>
      <c r="BK22" s="721"/>
      <c r="BL22" s="726"/>
      <c r="BM22" s="726"/>
      <c r="BN22" s="726"/>
      <c r="BO22" s="726"/>
      <c r="BP22" s="727"/>
      <c r="BQ22" s="174"/>
      <c r="BR22" s="174"/>
      <c r="BS22" s="174"/>
      <c r="BT22" s="174"/>
      <c r="BU22" s="174"/>
      <c r="BV22" s="174"/>
      <c r="BW22" s="174"/>
      <c r="BX22" s="174"/>
      <c r="BY22" s="174"/>
      <c r="BZ22" s="174"/>
      <c r="CA22" s="174"/>
      <c r="CB22" s="177"/>
    </row>
    <row r="23" spans="2:80"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7"/>
    </row>
    <row r="24" spans="2:80"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7"/>
    </row>
    <row r="25" spans="2:80"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7"/>
    </row>
    <row r="26" spans="2:80"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7"/>
    </row>
    <row r="27" spans="2:80"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728">
        <f>O91</f>
        <v>1837.25</v>
      </c>
      <c r="O49" s="729"/>
      <c r="P49" s="729"/>
      <c r="Q49" s="729"/>
      <c r="R49" s="729"/>
      <c r="S49" s="729"/>
      <c r="T49" s="729"/>
      <c r="U49" s="729"/>
      <c r="V49" s="729"/>
      <c r="W49" s="730"/>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728">
        <f>AH97</f>
        <v>3311.7647058823532</v>
      </c>
      <c r="BH49" s="729"/>
      <c r="BI49" s="729"/>
      <c r="BJ49" s="729"/>
      <c r="BK49" s="729"/>
      <c r="BL49" s="729"/>
      <c r="BM49" s="729"/>
      <c r="BN49" s="729"/>
      <c r="BO49" s="729"/>
      <c r="BP49" s="730"/>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731"/>
      <c r="O50" s="732"/>
      <c r="P50" s="732"/>
      <c r="Q50" s="732"/>
      <c r="R50" s="732"/>
      <c r="S50" s="732"/>
      <c r="T50" s="732"/>
      <c r="U50" s="732"/>
      <c r="V50" s="732"/>
      <c r="W50" s="733"/>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731"/>
      <c r="BH50" s="732"/>
      <c r="BI50" s="732"/>
      <c r="BJ50" s="732"/>
      <c r="BK50" s="732"/>
      <c r="BL50" s="732"/>
      <c r="BM50" s="732"/>
      <c r="BN50" s="732"/>
      <c r="BO50" s="732"/>
      <c r="BP50" s="733"/>
      <c r="BQ50" s="174"/>
      <c r="BR50" s="174"/>
      <c r="BS50" s="174"/>
      <c r="BT50" s="174"/>
      <c r="BU50" s="174"/>
      <c r="BV50" s="174"/>
      <c r="BW50" s="174"/>
      <c r="BX50" s="174"/>
      <c r="BY50" s="174"/>
      <c r="BZ50" s="174"/>
      <c r="CA50" s="174"/>
      <c r="CB50" s="177"/>
    </row>
    <row r="51" spans="2:80" ht="9.9499999999999993" customHeight="1" thickBot="1">
      <c r="B51" s="1"/>
      <c r="C51" s="174"/>
      <c r="D51" s="174"/>
      <c r="E51" s="174"/>
      <c r="F51" s="174"/>
      <c r="G51" s="174"/>
      <c r="H51" s="174"/>
      <c r="I51" s="174"/>
      <c r="J51" s="174"/>
      <c r="K51" s="174"/>
      <c r="L51" s="174"/>
      <c r="M51" s="174"/>
      <c r="N51" s="734"/>
      <c r="O51" s="735"/>
      <c r="P51" s="735"/>
      <c r="Q51" s="735"/>
      <c r="R51" s="735"/>
      <c r="S51" s="735"/>
      <c r="T51" s="735"/>
      <c r="U51" s="735"/>
      <c r="V51" s="735"/>
      <c r="W51" s="736"/>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734"/>
      <c r="BH51" s="735"/>
      <c r="BI51" s="735"/>
      <c r="BJ51" s="735"/>
      <c r="BK51" s="735"/>
      <c r="BL51" s="735"/>
      <c r="BM51" s="735"/>
      <c r="BN51" s="735"/>
      <c r="BO51" s="735"/>
      <c r="BP51" s="736"/>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713">
        <f>ROUND(N49/CLV_Limit,2)</f>
        <v>1.1499999999999999</v>
      </c>
      <c r="O52" s="714"/>
      <c r="P52" s="714"/>
      <c r="Q52" s="714"/>
      <c r="R52" s="715"/>
      <c r="S52" s="722" t="s">
        <v>100</v>
      </c>
      <c r="T52" s="722"/>
      <c r="U52" s="722"/>
      <c r="V52" s="722"/>
      <c r="W52" s="723"/>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713">
        <f>ROUND(BG49/CLV_Limit,2)</f>
        <v>2.0699999999999998</v>
      </c>
      <c r="BH52" s="714"/>
      <c r="BI52" s="714"/>
      <c r="BJ52" s="714"/>
      <c r="BK52" s="715"/>
      <c r="BL52" s="722" t="s">
        <v>100</v>
      </c>
      <c r="BM52" s="722"/>
      <c r="BN52" s="722"/>
      <c r="BO52" s="722"/>
      <c r="BP52" s="723"/>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716"/>
      <c r="O53" s="717"/>
      <c r="P53" s="717"/>
      <c r="Q53" s="717"/>
      <c r="R53" s="718"/>
      <c r="S53" s="724"/>
      <c r="T53" s="724"/>
      <c r="U53" s="724"/>
      <c r="V53" s="724"/>
      <c r="W53" s="725"/>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716"/>
      <c r="BH53" s="717"/>
      <c r="BI53" s="717"/>
      <c r="BJ53" s="717"/>
      <c r="BK53" s="718"/>
      <c r="BL53" s="724"/>
      <c r="BM53" s="724"/>
      <c r="BN53" s="724"/>
      <c r="BO53" s="724"/>
      <c r="BP53" s="725"/>
      <c r="BQ53" s="174"/>
      <c r="BR53" s="174"/>
      <c r="BS53" s="174"/>
      <c r="BT53" s="174"/>
      <c r="BU53" s="174"/>
      <c r="BV53" s="174"/>
      <c r="BW53" s="174"/>
      <c r="BX53" s="174"/>
      <c r="BY53" s="174"/>
      <c r="BZ53" s="174"/>
      <c r="CA53" s="174"/>
      <c r="CB53" s="177"/>
    </row>
    <row r="54" spans="2:80" ht="9.9499999999999993" customHeight="1" thickBot="1">
      <c r="B54" s="1"/>
      <c r="C54" s="174"/>
      <c r="D54" s="174"/>
      <c r="E54" s="174"/>
      <c r="F54" s="174"/>
      <c r="G54" s="174"/>
      <c r="H54" s="174"/>
      <c r="I54" s="174"/>
      <c r="J54" s="174"/>
      <c r="K54" s="174"/>
      <c r="L54" s="174"/>
      <c r="M54" s="174"/>
      <c r="N54" s="719"/>
      <c r="O54" s="720"/>
      <c r="P54" s="720"/>
      <c r="Q54" s="720"/>
      <c r="R54" s="721"/>
      <c r="S54" s="726"/>
      <c r="T54" s="726"/>
      <c r="U54" s="726"/>
      <c r="V54" s="726"/>
      <c r="W54" s="727"/>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719"/>
      <c r="BH54" s="720"/>
      <c r="BI54" s="720"/>
      <c r="BJ54" s="720"/>
      <c r="BK54" s="721"/>
      <c r="BL54" s="726"/>
      <c r="BM54" s="726"/>
      <c r="BN54" s="726"/>
      <c r="BO54" s="726"/>
      <c r="BP54" s="727"/>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168"/>
      <c r="X55" s="705" t="s">
        <v>101</v>
      </c>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705"/>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120</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096"/>
      <c r="AN64" s="1097"/>
      <c r="AO64" s="1097"/>
      <c r="AP64" s="1097"/>
      <c r="AQ64" s="1097"/>
      <c r="AR64" s="1097"/>
      <c r="AS64" s="1097"/>
      <c r="AT64" s="1097"/>
      <c r="AU64" s="1097"/>
      <c r="AV64" s="1097"/>
      <c r="AW64" s="1097"/>
      <c r="AX64" s="1098"/>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099"/>
      <c r="AN65" s="1068"/>
      <c r="AO65" s="1068"/>
      <c r="AP65" s="1068"/>
      <c r="AQ65" s="1068"/>
      <c r="AR65" s="1068"/>
      <c r="AS65" s="1068"/>
      <c r="AT65" s="1068"/>
      <c r="AU65" s="1068"/>
      <c r="AV65" s="1068"/>
      <c r="AW65" s="1068"/>
      <c r="AX65" s="1069"/>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099"/>
      <c r="AN66" s="1068"/>
      <c r="AO66" s="1068"/>
      <c r="AP66" s="1068"/>
      <c r="AQ66" s="1068"/>
      <c r="AR66" s="1068"/>
      <c r="AS66" s="1068"/>
      <c r="AT66" s="1068"/>
      <c r="AU66" s="1068"/>
      <c r="AV66" s="1068"/>
      <c r="AW66" s="1068"/>
      <c r="AX66" s="1069"/>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099"/>
      <c r="AN67" s="1068"/>
      <c r="AO67" s="1068"/>
      <c r="AP67" s="1068"/>
      <c r="AQ67" s="1068"/>
      <c r="AR67" s="1068"/>
      <c r="AS67" s="1068"/>
      <c r="AT67" s="1068"/>
      <c r="AU67" s="1068"/>
      <c r="AV67" s="1068"/>
      <c r="AW67" s="1068"/>
      <c r="AX67" s="1069"/>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152" t="s">
        <v>99</v>
      </c>
      <c r="AN68" s="1125"/>
      <c r="AO68" s="1125"/>
      <c r="AP68" s="1125" t="s">
        <v>99</v>
      </c>
      <c r="AQ68" s="1125"/>
      <c r="AR68" s="1125"/>
      <c r="AS68" s="1125" t="s">
        <v>99</v>
      </c>
      <c r="AT68" s="1125"/>
      <c r="AU68" s="1125"/>
      <c r="AV68" s="1125" t="s">
        <v>99</v>
      </c>
      <c r="AW68" s="1125"/>
      <c r="AX68" s="1126"/>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127">
        <f>SBR_Master</f>
        <v>0</v>
      </c>
      <c r="AN69" s="1128"/>
      <c r="AO69" s="1128"/>
      <c r="AP69" s="1128">
        <f>SBT_Master</f>
        <v>1447</v>
      </c>
      <c r="AQ69" s="1128"/>
      <c r="AR69" s="1128"/>
      <c r="AS69" s="1128">
        <f>SBL_Master</f>
        <v>607</v>
      </c>
      <c r="AT69" s="1128"/>
      <c r="AU69" s="1128"/>
      <c r="AV69" s="1128">
        <f>SBU_Master</f>
        <v>0</v>
      </c>
      <c r="AW69" s="1128"/>
      <c r="AX69" s="1129"/>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thickBo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928">
        <v>2</v>
      </c>
      <c r="AN70" s="929"/>
      <c r="AO70" s="929"/>
      <c r="AP70" s="1213"/>
      <c r="AQ70" s="1213"/>
      <c r="AR70" s="1213"/>
      <c r="AS70" s="1213"/>
      <c r="AT70" s="1213"/>
      <c r="AU70" s="1213"/>
      <c r="AV70" s="1213"/>
      <c r="AW70" s="1213"/>
      <c r="AX70" s="121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56"/>
      <c r="AN71" s="175"/>
      <c r="AO71" s="175"/>
      <c r="AP71" s="175"/>
      <c r="AQ71" s="175"/>
      <c r="AR71" s="175"/>
      <c r="AS71" s="175"/>
      <c r="AT71" s="175"/>
      <c r="AU71" s="175"/>
      <c r="AV71" s="175"/>
      <c r="AW71" s="175"/>
      <c r="AX71" s="176"/>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58"/>
      <c r="AN72" s="109"/>
      <c r="AO72" s="109"/>
      <c r="AP72" s="109"/>
      <c r="AQ72" s="109"/>
      <c r="AR72" s="109"/>
      <c r="AS72" s="109"/>
      <c r="AT72" s="109"/>
      <c r="AU72" s="109"/>
      <c r="AV72" s="109"/>
      <c r="AW72" s="109"/>
      <c r="AX72" s="60"/>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thickBo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58"/>
      <c r="AN73" s="109"/>
      <c r="AO73" s="109"/>
      <c r="AP73" s="109"/>
      <c r="AQ73" s="109"/>
      <c r="AR73" s="109"/>
      <c r="AS73" s="109"/>
      <c r="AT73" s="109"/>
      <c r="AU73" s="109"/>
      <c r="AV73" s="109"/>
      <c r="AW73" s="109"/>
      <c r="AX73" s="60"/>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58"/>
      <c r="AN74" s="109"/>
      <c r="AO74" s="763"/>
      <c r="AP74" s="764"/>
      <c r="AQ74" s="764"/>
      <c r="AR74" s="764"/>
      <c r="AS74" s="764"/>
      <c r="AT74" s="764"/>
      <c r="AU74" s="764"/>
      <c r="AV74" s="771"/>
      <c r="AW74" s="109"/>
      <c r="AX74" s="60"/>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c r="B75" s="1"/>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58"/>
      <c r="AN75" s="109"/>
      <c r="AO75" s="766"/>
      <c r="AP75" s="767"/>
      <c r="AQ75" s="767"/>
      <c r="AR75" s="767"/>
      <c r="AS75" s="767"/>
      <c r="AT75" s="767"/>
      <c r="AU75" s="767"/>
      <c r="AV75" s="772"/>
      <c r="AW75" s="109"/>
      <c r="AX75" s="60"/>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thickBot="1">
      <c r="B76" s="1"/>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58"/>
      <c r="AN76" s="109"/>
      <c r="AO76" s="766"/>
      <c r="AP76" s="767"/>
      <c r="AQ76" s="767"/>
      <c r="AR76" s="767"/>
      <c r="AS76" s="767"/>
      <c r="AT76" s="767"/>
      <c r="AU76" s="767"/>
      <c r="AV76" s="772"/>
      <c r="AW76" s="109"/>
      <c r="AX76" s="60"/>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7"/>
    </row>
    <row r="77" spans="2:80" ht="9.9499999999999993" customHeight="1">
      <c r="B77" s="1"/>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58"/>
      <c r="AN77" s="109"/>
      <c r="AO77" s="833">
        <f>+(MAX((AZ80+AI104+AD85+AZ86)/AY80,(AD94+AP69)/RTAF/AE94) + MAX((AM69+AP69+AS69+AV69)/RTAF/AM70, (AD88+AV69)/LTAF/AE88))</f>
        <v>3155.2941176470586</v>
      </c>
      <c r="AP77" s="834"/>
      <c r="AQ77" s="834"/>
      <c r="AR77" s="834"/>
      <c r="AS77" s="834"/>
      <c r="AT77" s="834"/>
      <c r="AU77" s="834"/>
      <c r="AV77" s="835"/>
      <c r="AW77" s="109"/>
      <c r="AX77" s="60"/>
      <c r="AY77" s="910">
        <v>1</v>
      </c>
      <c r="AZ77" s="1130">
        <f>WBR_Master</f>
        <v>625</v>
      </c>
      <c r="BA77" s="1198" t="s">
        <v>99</v>
      </c>
      <c r="BB77" s="1134"/>
      <c r="BC77" s="1134"/>
      <c r="BD77" s="1134"/>
      <c r="BE77" s="1135"/>
      <c r="BF77" s="56"/>
      <c r="BG77" s="175"/>
      <c r="BH77" s="175"/>
      <c r="BI77" s="175"/>
      <c r="BJ77" s="175"/>
      <c r="BK77" s="175"/>
      <c r="BL77" s="175"/>
      <c r="BM77" s="175"/>
      <c r="BN77" s="175"/>
      <c r="BO77" s="175"/>
      <c r="BP77" s="175"/>
      <c r="BQ77" s="176"/>
      <c r="BR77" s="174"/>
      <c r="BS77" s="174"/>
      <c r="BT77" s="174"/>
      <c r="BU77" s="174"/>
      <c r="BV77" s="174"/>
      <c r="BW77" s="174"/>
      <c r="BX77" s="174"/>
      <c r="BY77" s="174"/>
      <c r="BZ77" s="174"/>
      <c r="CA77" s="174"/>
      <c r="CB77" s="177"/>
    </row>
    <row r="78" spans="2:80" ht="9.9499999999999993" customHeight="1">
      <c r="B78" s="1"/>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58"/>
      <c r="AN78" s="109"/>
      <c r="AO78" s="833"/>
      <c r="AP78" s="834"/>
      <c r="AQ78" s="834"/>
      <c r="AR78" s="834"/>
      <c r="AS78" s="834"/>
      <c r="AT78" s="834"/>
      <c r="AU78" s="834"/>
      <c r="AV78" s="835"/>
      <c r="AW78" s="109"/>
      <c r="AX78" s="60"/>
      <c r="AY78" s="911"/>
      <c r="AZ78" s="1131"/>
      <c r="BA78" s="1199"/>
      <c r="BB78" s="1136"/>
      <c r="BC78" s="1136"/>
      <c r="BD78" s="1136"/>
      <c r="BE78" s="1137"/>
      <c r="BF78" s="58"/>
      <c r="BG78" s="109"/>
      <c r="BH78" s="109"/>
      <c r="BI78" s="109"/>
      <c r="BJ78" s="109"/>
      <c r="BK78" s="109"/>
      <c r="BL78" s="109"/>
      <c r="BM78" s="109"/>
      <c r="BN78" s="109"/>
      <c r="BO78" s="109"/>
      <c r="BP78" s="109"/>
      <c r="BQ78" s="60"/>
      <c r="BR78" s="174"/>
      <c r="BS78" s="174"/>
      <c r="BT78" s="174"/>
      <c r="BU78" s="174"/>
      <c r="BV78" s="174"/>
      <c r="BW78" s="174"/>
      <c r="BX78" s="174"/>
      <c r="BY78" s="174"/>
      <c r="BZ78" s="174"/>
      <c r="CA78" s="174"/>
      <c r="CB78" s="177"/>
    </row>
    <row r="79" spans="2:80" ht="9.9499999999999993" customHeight="1" thickBot="1">
      <c r="B79" s="1"/>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58"/>
      <c r="AN79" s="109"/>
      <c r="AO79" s="836"/>
      <c r="AP79" s="837"/>
      <c r="AQ79" s="837"/>
      <c r="AR79" s="837"/>
      <c r="AS79" s="837"/>
      <c r="AT79" s="837"/>
      <c r="AU79" s="837"/>
      <c r="AV79" s="838"/>
      <c r="AW79" s="109"/>
      <c r="AX79" s="60"/>
      <c r="AY79" s="912"/>
      <c r="AZ79" s="1131"/>
      <c r="BA79" s="1199"/>
      <c r="BB79" s="1136"/>
      <c r="BC79" s="1136"/>
      <c r="BD79" s="1136"/>
      <c r="BE79" s="1137"/>
      <c r="BF79" s="58"/>
      <c r="BG79" s="109"/>
      <c r="BH79" s="109"/>
      <c r="BI79" s="109"/>
      <c r="BJ79" s="109"/>
      <c r="BK79" s="109"/>
      <c r="BL79" s="109"/>
      <c r="BM79" s="109"/>
      <c r="BN79" s="109"/>
      <c r="BO79" s="109"/>
      <c r="BP79" s="109"/>
      <c r="BQ79" s="60"/>
      <c r="BR79" s="174"/>
      <c r="BS79" s="174"/>
      <c r="BT79" s="174"/>
      <c r="BU79" s="174"/>
      <c r="BV79" s="174"/>
      <c r="BW79" s="174"/>
      <c r="BX79" s="174"/>
      <c r="BY79" s="174"/>
      <c r="BZ79" s="174"/>
      <c r="CA79" s="174"/>
      <c r="CB79" s="177"/>
    </row>
    <row r="80" spans="2:80" ht="9.9499999999999993" customHeight="1">
      <c r="B80" s="1"/>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58"/>
      <c r="AN80" s="109"/>
      <c r="AO80" s="109"/>
      <c r="AP80" s="109"/>
      <c r="AQ80" s="109"/>
      <c r="AR80" s="109"/>
      <c r="AS80" s="109"/>
      <c r="AT80" s="109"/>
      <c r="AU80" s="109"/>
      <c r="AV80" s="109"/>
      <c r="AW80" s="109"/>
      <c r="AX80" s="60"/>
      <c r="AY80" s="1228">
        <f>BR80</f>
        <v>2</v>
      </c>
      <c r="AZ80" s="1216">
        <f>WBT_Master</f>
        <v>0</v>
      </c>
      <c r="BA80" s="1219" t="s">
        <v>99</v>
      </c>
      <c r="BB80" s="1136"/>
      <c r="BC80" s="1136"/>
      <c r="BD80" s="1136"/>
      <c r="BE80" s="1137"/>
      <c r="BF80" s="58"/>
      <c r="BG80" s="109"/>
      <c r="BH80" s="763"/>
      <c r="BI80" s="764"/>
      <c r="BJ80" s="764"/>
      <c r="BK80" s="764"/>
      <c r="BL80" s="764"/>
      <c r="BM80" s="764"/>
      <c r="BN80" s="764"/>
      <c r="BO80" s="771"/>
      <c r="BP80" s="109"/>
      <c r="BQ80" s="60"/>
      <c r="BR80" s="1090">
        <v>2</v>
      </c>
      <c r="BS80" s="1215">
        <f>AZ86+AZ83+AZ80+AZ77</f>
        <v>1213</v>
      </c>
      <c r="BT80" s="1218" t="s">
        <v>99</v>
      </c>
      <c r="BU80" s="1134"/>
      <c r="BV80" s="1134"/>
      <c r="BW80" s="1134"/>
      <c r="BX80" s="1135"/>
      <c r="BY80" s="174"/>
      <c r="BZ80" s="174"/>
      <c r="CA80" s="174"/>
      <c r="CB80" s="177"/>
    </row>
    <row r="81" spans="2:80" ht="9.9499999999999993" customHeight="1" thickBot="1">
      <c r="B81" s="1"/>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58"/>
      <c r="AN81" s="109"/>
      <c r="AO81" s="109"/>
      <c r="AP81" s="109"/>
      <c r="AQ81" s="109"/>
      <c r="AR81" s="109"/>
      <c r="AS81" s="109"/>
      <c r="AT81" s="109"/>
      <c r="AU81" s="109"/>
      <c r="AV81" s="109"/>
      <c r="AW81" s="109"/>
      <c r="AX81" s="60"/>
      <c r="AY81" s="1229"/>
      <c r="AZ81" s="1216"/>
      <c r="BA81" s="1219"/>
      <c r="BB81" s="1136"/>
      <c r="BC81" s="1136"/>
      <c r="BD81" s="1136"/>
      <c r="BE81" s="1137"/>
      <c r="BF81" s="58"/>
      <c r="BG81" s="109"/>
      <c r="BH81" s="766"/>
      <c r="BI81" s="767"/>
      <c r="BJ81" s="767"/>
      <c r="BK81" s="767"/>
      <c r="BL81" s="767"/>
      <c r="BM81" s="767"/>
      <c r="BN81" s="767"/>
      <c r="BO81" s="772"/>
      <c r="BP81" s="109"/>
      <c r="BQ81" s="60"/>
      <c r="BR81" s="1082"/>
      <c r="BS81" s="1216"/>
      <c r="BT81" s="1219"/>
      <c r="BU81" s="1136"/>
      <c r="BV81" s="1136"/>
      <c r="BW81" s="1136"/>
      <c r="BX81" s="1137"/>
      <c r="BY81" s="174"/>
      <c r="BZ81" s="174"/>
      <c r="CA81" s="174"/>
      <c r="CB81" s="177"/>
    </row>
    <row r="82" spans="2:80" ht="9.9499999999999993" customHeight="1" thickBot="1">
      <c r="B82" s="1"/>
      <c r="C82" s="174"/>
      <c r="D82" s="174"/>
      <c r="E82" s="174"/>
      <c r="F82" s="174"/>
      <c r="G82" s="174"/>
      <c r="H82" s="174"/>
      <c r="I82" s="174"/>
      <c r="J82" s="174"/>
      <c r="K82" s="174"/>
      <c r="L82" s="174"/>
      <c r="M82" s="174"/>
      <c r="N82" s="174"/>
      <c r="O82" s="1090">
        <v>2</v>
      </c>
      <c r="P82" s="1222">
        <f>AP69+AS69+AV69+AZ86</f>
        <v>2054</v>
      </c>
      <c r="Q82" s="1225" t="s">
        <v>99</v>
      </c>
      <c r="R82" s="1134"/>
      <c r="S82" s="1134"/>
      <c r="T82" s="1134"/>
      <c r="U82" s="1135"/>
      <c r="V82" s="174"/>
      <c r="W82" s="174"/>
      <c r="X82" s="174"/>
      <c r="Y82" s="174"/>
      <c r="Z82" s="174"/>
      <c r="AA82" s="174"/>
      <c r="AB82" s="174"/>
      <c r="AC82" s="174"/>
      <c r="AD82" s="174"/>
      <c r="AE82" s="174"/>
      <c r="AF82" s="174"/>
      <c r="AG82" s="174"/>
      <c r="AH82" s="174"/>
      <c r="AI82" s="174"/>
      <c r="AJ82" s="174"/>
      <c r="AK82" s="174"/>
      <c r="AL82" s="174"/>
      <c r="AM82" s="61"/>
      <c r="AN82" s="110"/>
      <c r="AO82" s="110"/>
      <c r="AP82" s="110"/>
      <c r="AQ82" s="110"/>
      <c r="AR82" s="110"/>
      <c r="AS82" s="110"/>
      <c r="AT82" s="110"/>
      <c r="AU82" s="110"/>
      <c r="AV82" s="110"/>
      <c r="AW82" s="110"/>
      <c r="AX82" s="63"/>
      <c r="AY82" s="1230"/>
      <c r="AZ82" s="1216"/>
      <c r="BA82" s="1219"/>
      <c r="BB82" s="1136"/>
      <c r="BC82" s="1136"/>
      <c r="BD82" s="1136"/>
      <c r="BE82" s="1137"/>
      <c r="BF82" s="58"/>
      <c r="BG82" s="109"/>
      <c r="BH82" s="766"/>
      <c r="BI82" s="767"/>
      <c r="BJ82" s="767"/>
      <c r="BK82" s="767"/>
      <c r="BL82" s="767"/>
      <c r="BM82" s="767"/>
      <c r="BN82" s="767"/>
      <c r="BO82" s="772"/>
      <c r="BP82" s="109"/>
      <c r="BQ82" s="60"/>
      <c r="BR82" s="1221"/>
      <c r="BS82" s="1217"/>
      <c r="BT82" s="1220"/>
      <c r="BU82" s="1150"/>
      <c r="BV82" s="1150"/>
      <c r="BW82" s="1150"/>
      <c r="BX82" s="1151"/>
      <c r="BY82" s="174"/>
      <c r="BZ82" s="174"/>
      <c r="CA82" s="174"/>
      <c r="CB82" s="177"/>
    </row>
    <row r="83" spans="2:80" ht="9.9499999999999993" customHeight="1">
      <c r="B83" s="1"/>
      <c r="C83" s="174"/>
      <c r="D83" s="174"/>
      <c r="E83" s="174"/>
      <c r="F83" s="174"/>
      <c r="G83" s="174"/>
      <c r="H83" s="174"/>
      <c r="I83" s="174"/>
      <c r="J83" s="174"/>
      <c r="K83" s="174"/>
      <c r="L83" s="174"/>
      <c r="M83" s="174"/>
      <c r="N83" s="174"/>
      <c r="O83" s="1082"/>
      <c r="P83" s="1223"/>
      <c r="Q83" s="1226"/>
      <c r="R83" s="1136"/>
      <c r="S83" s="1136"/>
      <c r="T83" s="1136"/>
      <c r="U83" s="1137"/>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951">
        <v>2</v>
      </c>
      <c r="AZ83" s="1131">
        <f>WBL_Master</f>
        <v>588</v>
      </c>
      <c r="BA83" s="1199" t="s">
        <v>99</v>
      </c>
      <c r="BB83" s="1136"/>
      <c r="BC83" s="1136"/>
      <c r="BD83" s="1136"/>
      <c r="BE83" s="1137"/>
      <c r="BF83" s="58"/>
      <c r="BG83" s="109"/>
      <c r="BH83" s="833">
        <f>+(BS80/BR80 + BN89/UTAF/BO89)</f>
        <v>1394</v>
      </c>
      <c r="BI83" s="834"/>
      <c r="BJ83" s="834"/>
      <c r="BK83" s="834"/>
      <c r="BL83" s="834"/>
      <c r="BM83" s="834"/>
      <c r="BN83" s="834"/>
      <c r="BO83" s="835"/>
      <c r="BP83" s="109"/>
      <c r="BQ83" s="60"/>
      <c r="BR83" s="174"/>
      <c r="BS83" s="174"/>
      <c r="BT83" s="174"/>
      <c r="BU83" s="174"/>
      <c r="BV83" s="174"/>
      <c r="BW83" s="174"/>
      <c r="BX83" s="174"/>
      <c r="BY83" s="174"/>
      <c r="BZ83" s="174"/>
      <c r="CA83" s="174"/>
      <c r="CB83" s="177"/>
    </row>
    <row r="84" spans="2:80" ht="9.9499999999999993" customHeight="1" thickBot="1">
      <c r="B84" s="1"/>
      <c r="C84" s="174"/>
      <c r="D84" s="174"/>
      <c r="E84" s="174"/>
      <c r="F84" s="174"/>
      <c r="G84" s="174"/>
      <c r="H84" s="174"/>
      <c r="I84" s="174"/>
      <c r="J84" s="174"/>
      <c r="K84" s="174"/>
      <c r="L84" s="174"/>
      <c r="M84" s="174"/>
      <c r="N84" s="174"/>
      <c r="O84" s="1221"/>
      <c r="P84" s="1224"/>
      <c r="Q84" s="1227"/>
      <c r="R84" s="1150"/>
      <c r="S84" s="1150"/>
      <c r="T84" s="1150"/>
      <c r="U84" s="1151"/>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911"/>
      <c r="AZ84" s="1131"/>
      <c r="BA84" s="1199"/>
      <c r="BB84" s="1136"/>
      <c r="BC84" s="1136"/>
      <c r="BD84" s="1136"/>
      <c r="BE84" s="1137"/>
      <c r="BF84" s="58"/>
      <c r="BG84" s="109"/>
      <c r="BH84" s="833"/>
      <c r="BI84" s="834"/>
      <c r="BJ84" s="834"/>
      <c r="BK84" s="834"/>
      <c r="BL84" s="834"/>
      <c r="BM84" s="834"/>
      <c r="BN84" s="834"/>
      <c r="BO84" s="835"/>
      <c r="BP84" s="109"/>
      <c r="BQ84" s="60"/>
      <c r="BR84" s="174"/>
      <c r="BS84" s="174"/>
      <c r="BT84" s="174"/>
      <c r="BU84" s="174"/>
      <c r="BV84" s="174"/>
      <c r="BW84" s="174"/>
      <c r="BX84" s="174"/>
      <c r="BY84" s="174"/>
      <c r="BZ84" s="174"/>
      <c r="CA84" s="174"/>
      <c r="CB84" s="177"/>
    </row>
    <row r="85" spans="2:80" ht="9.9499999999999993" customHeight="1" thickBot="1">
      <c r="B85" s="1"/>
      <c r="C85" s="174"/>
      <c r="D85" s="174"/>
      <c r="E85" s="174"/>
      <c r="F85" s="174"/>
      <c r="G85" s="174"/>
      <c r="H85" s="174"/>
      <c r="I85" s="174"/>
      <c r="J85" s="174"/>
      <c r="K85" s="174"/>
      <c r="L85" s="174"/>
      <c r="M85" s="56"/>
      <c r="N85" s="175"/>
      <c r="O85" s="175"/>
      <c r="P85" s="175"/>
      <c r="Q85" s="175"/>
      <c r="R85" s="175"/>
      <c r="S85" s="175"/>
      <c r="T85" s="175"/>
      <c r="U85" s="175"/>
      <c r="V85" s="175"/>
      <c r="W85" s="175"/>
      <c r="X85" s="176"/>
      <c r="Y85" s="1138"/>
      <c r="Z85" s="1134"/>
      <c r="AA85" s="1134"/>
      <c r="AB85" s="1134"/>
      <c r="AC85" s="1195" t="s">
        <v>99</v>
      </c>
      <c r="AD85" s="1142">
        <f>EBU_Master</f>
        <v>0</v>
      </c>
      <c r="AE85" s="1088"/>
      <c r="AF85" s="174"/>
      <c r="AG85" s="174"/>
      <c r="AH85" s="174"/>
      <c r="AI85" s="174"/>
      <c r="AJ85" s="174"/>
      <c r="AK85" s="174"/>
      <c r="AL85" s="174"/>
      <c r="AM85" s="174"/>
      <c r="AN85" s="174"/>
      <c r="AO85" s="174"/>
      <c r="AP85" s="174"/>
      <c r="AQ85" s="174"/>
      <c r="AR85" s="174"/>
      <c r="AS85" s="174"/>
      <c r="AT85" s="174"/>
      <c r="AU85" s="174"/>
      <c r="AV85" s="174"/>
      <c r="AW85" s="174"/>
      <c r="AX85" s="174"/>
      <c r="AY85" s="912"/>
      <c r="AZ85" s="1131"/>
      <c r="BA85" s="1199"/>
      <c r="BB85" s="1136"/>
      <c r="BC85" s="1136"/>
      <c r="BD85" s="1136"/>
      <c r="BE85" s="1137"/>
      <c r="BF85" s="58"/>
      <c r="BG85" s="109"/>
      <c r="BH85" s="836"/>
      <c r="BI85" s="837"/>
      <c r="BJ85" s="837"/>
      <c r="BK85" s="837"/>
      <c r="BL85" s="837"/>
      <c r="BM85" s="837"/>
      <c r="BN85" s="837"/>
      <c r="BO85" s="838"/>
      <c r="BP85" s="109"/>
      <c r="BQ85" s="60"/>
      <c r="BR85" s="174"/>
      <c r="BS85" s="174"/>
      <c r="BT85" s="174"/>
      <c r="BU85" s="174"/>
      <c r="BV85" s="174"/>
      <c r="BW85" s="174"/>
      <c r="BX85" s="174"/>
      <c r="BY85" s="174"/>
      <c r="BZ85" s="174"/>
      <c r="CA85" s="174"/>
      <c r="CB85" s="177"/>
    </row>
    <row r="86" spans="2:80" ht="9.9499999999999993" customHeight="1">
      <c r="B86" s="1"/>
      <c r="C86" s="174"/>
      <c r="D86" s="174"/>
      <c r="E86" s="174"/>
      <c r="F86" s="174"/>
      <c r="G86" s="174"/>
      <c r="H86" s="174"/>
      <c r="I86" s="174"/>
      <c r="J86" s="174"/>
      <c r="K86" s="174"/>
      <c r="L86" s="174"/>
      <c r="M86" s="58"/>
      <c r="N86" s="109"/>
      <c r="O86" s="109"/>
      <c r="P86" s="109"/>
      <c r="Q86" s="109"/>
      <c r="R86" s="109"/>
      <c r="S86" s="109"/>
      <c r="T86" s="109"/>
      <c r="U86" s="109"/>
      <c r="V86" s="109"/>
      <c r="W86" s="109"/>
      <c r="X86" s="60"/>
      <c r="Y86" s="1139"/>
      <c r="Z86" s="1136"/>
      <c r="AA86" s="1136"/>
      <c r="AB86" s="1136"/>
      <c r="AC86" s="1193"/>
      <c r="AD86" s="1143"/>
      <c r="AE86" s="1089"/>
      <c r="AF86" s="174"/>
      <c r="AG86" s="174"/>
      <c r="AH86" s="174"/>
      <c r="AI86" s="174"/>
      <c r="AJ86" s="174"/>
      <c r="AK86" s="174"/>
      <c r="AL86" s="174"/>
      <c r="AM86" s="174"/>
      <c r="AN86" s="174"/>
      <c r="AO86" s="174"/>
      <c r="AP86" s="174"/>
      <c r="AQ86" s="174"/>
      <c r="AR86" s="174"/>
      <c r="AS86" s="174"/>
      <c r="AT86" s="174"/>
      <c r="AU86" s="174"/>
      <c r="AV86" s="174"/>
      <c r="AW86" s="174"/>
      <c r="AX86" s="174"/>
      <c r="AY86" s="1002"/>
      <c r="AZ86" s="1131">
        <f>WBU_Master</f>
        <v>0</v>
      </c>
      <c r="BA86" s="1199" t="s">
        <v>99</v>
      </c>
      <c r="BB86" s="1136"/>
      <c r="BC86" s="1136"/>
      <c r="BD86" s="1136"/>
      <c r="BE86" s="1137"/>
      <c r="BF86" s="58"/>
      <c r="BG86" s="109"/>
      <c r="BH86" s="109"/>
      <c r="BI86" s="109"/>
      <c r="BJ86" s="109"/>
      <c r="BK86" s="109"/>
      <c r="BL86" s="109"/>
      <c r="BM86" s="109"/>
      <c r="BN86" s="109"/>
      <c r="BO86" s="109"/>
      <c r="BP86" s="109"/>
      <c r="BQ86" s="60"/>
      <c r="BR86" s="174"/>
      <c r="BS86" s="174"/>
      <c r="BT86" s="174"/>
      <c r="BU86" s="174"/>
      <c r="BV86" s="174"/>
      <c r="BW86" s="174"/>
      <c r="BX86" s="174"/>
      <c r="BY86" s="174"/>
      <c r="BZ86" s="174"/>
      <c r="CA86" s="174"/>
      <c r="CB86" s="177"/>
    </row>
    <row r="87" spans="2:80" ht="9.9499999999999993" customHeight="1" thickBot="1">
      <c r="B87" s="1"/>
      <c r="C87" s="174"/>
      <c r="D87" s="174"/>
      <c r="E87" s="174"/>
      <c r="F87" s="174"/>
      <c r="G87" s="174"/>
      <c r="H87" s="174"/>
      <c r="I87" s="174"/>
      <c r="J87" s="174"/>
      <c r="K87" s="174"/>
      <c r="L87" s="174"/>
      <c r="M87" s="58"/>
      <c r="N87" s="109"/>
      <c r="O87" s="109"/>
      <c r="P87" s="109"/>
      <c r="Q87" s="109"/>
      <c r="R87" s="109"/>
      <c r="S87" s="109"/>
      <c r="T87" s="109"/>
      <c r="U87" s="109"/>
      <c r="V87" s="109"/>
      <c r="W87" s="109"/>
      <c r="X87" s="60"/>
      <c r="Y87" s="1139"/>
      <c r="Z87" s="1136"/>
      <c r="AA87" s="1136"/>
      <c r="AB87" s="1136"/>
      <c r="AC87" s="1193"/>
      <c r="AD87" s="1143"/>
      <c r="AE87" s="1089"/>
      <c r="AF87" s="174"/>
      <c r="AG87" s="174"/>
      <c r="AH87" s="174"/>
      <c r="AI87" s="174"/>
      <c r="AJ87" s="174"/>
      <c r="AK87" s="174"/>
      <c r="AL87" s="174"/>
      <c r="AM87" s="174"/>
      <c r="AN87" s="174"/>
      <c r="AO87" s="174"/>
      <c r="AP87" s="174"/>
      <c r="AQ87" s="174"/>
      <c r="AR87" s="174"/>
      <c r="AS87" s="174"/>
      <c r="AT87" s="174"/>
      <c r="AU87" s="174"/>
      <c r="AV87" s="174"/>
      <c r="AW87" s="174"/>
      <c r="AX87" s="174"/>
      <c r="AY87" s="1003"/>
      <c r="AZ87" s="1131"/>
      <c r="BA87" s="1199"/>
      <c r="BB87" s="1136"/>
      <c r="BC87" s="1136"/>
      <c r="BD87" s="1136"/>
      <c r="BE87" s="1137"/>
      <c r="BF87" s="58"/>
      <c r="BG87" s="109"/>
      <c r="BH87" s="109"/>
      <c r="BI87" s="109"/>
      <c r="BJ87" s="109"/>
      <c r="BK87" s="109"/>
      <c r="BL87" s="109"/>
      <c r="BM87" s="109"/>
      <c r="BN87" s="109"/>
      <c r="BO87" s="109"/>
      <c r="BP87" s="109"/>
      <c r="BQ87" s="60"/>
      <c r="BR87" s="174"/>
      <c r="BS87" s="174"/>
      <c r="BT87" s="174"/>
      <c r="BU87" s="174"/>
      <c r="BV87" s="174"/>
      <c r="BW87" s="174"/>
      <c r="BX87" s="174"/>
      <c r="BY87" s="174"/>
      <c r="BZ87" s="174"/>
      <c r="CA87" s="174"/>
      <c r="CB87" s="177"/>
    </row>
    <row r="88" spans="2:80" ht="9.9499999999999993" customHeight="1" thickBot="1">
      <c r="B88" s="1"/>
      <c r="C88" s="174"/>
      <c r="D88" s="174"/>
      <c r="E88" s="174"/>
      <c r="F88" s="174"/>
      <c r="G88" s="174"/>
      <c r="H88" s="174"/>
      <c r="I88" s="174"/>
      <c r="J88" s="174"/>
      <c r="K88" s="174"/>
      <c r="L88" s="174"/>
      <c r="M88" s="58"/>
      <c r="N88" s="109"/>
      <c r="O88" s="763"/>
      <c r="P88" s="764"/>
      <c r="Q88" s="764"/>
      <c r="R88" s="764"/>
      <c r="S88" s="764"/>
      <c r="T88" s="764"/>
      <c r="U88" s="764"/>
      <c r="V88" s="771"/>
      <c r="W88" s="109"/>
      <c r="X88" s="60"/>
      <c r="Y88" s="1139"/>
      <c r="Z88" s="1136"/>
      <c r="AA88" s="1136"/>
      <c r="AB88" s="1136"/>
      <c r="AC88" s="1231" t="s">
        <v>99</v>
      </c>
      <c r="AD88" s="1232">
        <f>EBL_Master</f>
        <v>899</v>
      </c>
      <c r="AE88" s="1081">
        <v>2</v>
      </c>
      <c r="AF88" s="174"/>
      <c r="AG88" s="174"/>
      <c r="AH88" s="174"/>
      <c r="AI88" s="174"/>
      <c r="AJ88" s="174"/>
      <c r="AK88" s="174"/>
      <c r="AL88" s="174"/>
      <c r="AM88" s="174"/>
      <c r="AN88" s="174"/>
      <c r="AO88" s="174"/>
      <c r="AP88" s="174"/>
      <c r="AQ88" s="174"/>
      <c r="AR88" s="174"/>
      <c r="AS88" s="174"/>
      <c r="AT88" s="174"/>
      <c r="AU88" s="174"/>
      <c r="AV88" s="174"/>
      <c r="AW88" s="174"/>
      <c r="AX88" s="174"/>
      <c r="AY88" s="1004"/>
      <c r="AZ88" s="1156"/>
      <c r="BA88" s="1200"/>
      <c r="BB88" s="1150"/>
      <c r="BC88" s="1150"/>
      <c r="BD88" s="1150"/>
      <c r="BE88" s="1151"/>
      <c r="BF88" s="61"/>
      <c r="BG88" s="110"/>
      <c r="BH88" s="110"/>
      <c r="BI88" s="110"/>
      <c r="BJ88" s="110"/>
      <c r="BK88" s="110"/>
      <c r="BL88" s="110"/>
      <c r="BM88" s="110"/>
      <c r="BN88" s="110"/>
      <c r="BO88" s="110"/>
      <c r="BP88" s="110"/>
      <c r="BQ88" s="63"/>
      <c r="BR88" s="174"/>
      <c r="BS88" s="174"/>
      <c r="BT88" s="174"/>
      <c r="BU88" s="174"/>
      <c r="BV88" s="174"/>
      <c r="BW88" s="174"/>
      <c r="BX88" s="174"/>
      <c r="BY88" s="174"/>
      <c r="BZ88" s="174"/>
      <c r="CA88" s="174"/>
      <c r="CB88" s="177"/>
    </row>
    <row r="89" spans="2:80" ht="9.9499999999999993" customHeight="1">
      <c r="B89" s="1"/>
      <c r="C89" s="174"/>
      <c r="D89" s="174"/>
      <c r="E89" s="174"/>
      <c r="F89" s="174"/>
      <c r="G89" s="174"/>
      <c r="H89" s="174"/>
      <c r="I89" s="174"/>
      <c r="J89" s="174"/>
      <c r="K89" s="174"/>
      <c r="L89" s="174"/>
      <c r="M89" s="58"/>
      <c r="N89" s="109"/>
      <c r="O89" s="766"/>
      <c r="P89" s="767"/>
      <c r="Q89" s="767"/>
      <c r="R89" s="767"/>
      <c r="S89" s="767"/>
      <c r="T89" s="767"/>
      <c r="U89" s="767"/>
      <c r="V89" s="772"/>
      <c r="W89" s="109"/>
      <c r="X89" s="60"/>
      <c r="Y89" s="1139"/>
      <c r="Z89" s="1136"/>
      <c r="AA89" s="1136"/>
      <c r="AB89" s="1136"/>
      <c r="AC89" s="1231"/>
      <c r="AD89" s="1232"/>
      <c r="AE89" s="1081"/>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138"/>
      <c r="BJ89" s="1134"/>
      <c r="BK89" s="1134"/>
      <c r="BL89" s="1134"/>
      <c r="BM89" s="1233" t="s">
        <v>99</v>
      </c>
      <c r="BN89" s="1236">
        <f>AL104+AI104+AF104+AD85</f>
        <v>1260</v>
      </c>
      <c r="BO89" s="1239">
        <v>2</v>
      </c>
      <c r="BP89" s="174"/>
      <c r="BQ89" s="174"/>
      <c r="BR89" s="174"/>
      <c r="BS89" s="174"/>
      <c r="BT89" s="174"/>
      <c r="BU89" s="174"/>
      <c r="BV89" s="174"/>
      <c r="BW89" s="174"/>
      <c r="BX89" s="174"/>
      <c r="BY89" s="174"/>
      <c r="BZ89" s="174"/>
      <c r="CA89" s="174"/>
      <c r="CB89" s="177"/>
    </row>
    <row r="90" spans="2:80" ht="9.9499999999999993" customHeight="1" thickBot="1">
      <c r="B90" s="1"/>
      <c r="C90" s="174"/>
      <c r="D90" s="174"/>
      <c r="E90" s="174"/>
      <c r="F90" s="174"/>
      <c r="G90" s="174"/>
      <c r="H90" s="174"/>
      <c r="I90" s="174"/>
      <c r="J90" s="174"/>
      <c r="K90" s="174"/>
      <c r="L90" s="174"/>
      <c r="M90" s="58"/>
      <c r="N90" s="109"/>
      <c r="O90" s="766"/>
      <c r="P90" s="767"/>
      <c r="Q90" s="767"/>
      <c r="R90" s="767"/>
      <c r="S90" s="767"/>
      <c r="T90" s="767"/>
      <c r="U90" s="767"/>
      <c r="V90" s="772"/>
      <c r="W90" s="109"/>
      <c r="X90" s="60"/>
      <c r="Y90" s="1139"/>
      <c r="Z90" s="1136"/>
      <c r="AA90" s="1136"/>
      <c r="AB90" s="1136"/>
      <c r="AC90" s="1231"/>
      <c r="AD90" s="1232"/>
      <c r="AE90" s="1081"/>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139"/>
      <c r="BJ90" s="1136"/>
      <c r="BK90" s="1136"/>
      <c r="BL90" s="1136"/>
      <c r="BM90" s="1234"/>
      <c r="BN90" s="1237"/>
      <c r="BO90" s="1081"/>
      <c r="BP90" s="174"/>
      <c r="BQ90" s="174"/>
      <c r="BR90" s="174"/>
      <c r="BS90" s="174"/>
      <c r="BT90" s="174"/>
      <c r="BU90" s="174"/>
      <c r="BV90" s="174"/>
      <c r="BW90" s="174"/>
      <c r="BX90" s="174"/>
      <c r="BY90" s="174"/>
      <c r="BZ90" s="174"/>
      <c r="CA90" s="174"/>
      <c r="CB90" s="177"/>
    </row>
    <row r="91" spans="2:80" ht="9.9499999999999993" customHeight="1" thickBot="1">
      <c r="B91" s="1"/>
      <c r="C91" s="174"/>
      <c r="D91" s="174"/>
      <c r="E91" s="174"/>
      <c r="F91" s="1138"/>
      <c r="G91" s="1134"/>
      <c r="H91" s="1134"/>
      <c r="I91" s="1134"/>
      <c r="J91" s="1240" t="s">
        <v>99</v>
      </c>
      <c r="K91" s="1242">
        <f>AD94+AD91+AD88+AD85</f>
        <v>1107</v>
      </c>
      <c r="L91" s="1239">
        <v>2</v>
      </c>
      <c r="M91" s="58"/>
      <c r="N91" s="109"/>
      <c r="O91" s="833">
        <f>+(K91/L91 +P82/UTAF/O82)</f>
        <v>1837.25</v>
      </c>
      <c r="P91" s="834"/>
      <c r="Q91" s="834"/>
      <c r="R91" s="834"/>
      <c r="S91" s="834"/>
      <c r="T91" s="834"/>
      <c r="U91" s="834"/>
      <c r="V91" s="835"/>
      <c r="W91" s="109"/>
      <c r="X91" s="60"/>
      <c r="Y91" s="1139"/>
      <c r="Z91" s="1136"/>
      <c r="AA91" s="1136"/>
      <c r="AB91" s="1136"/>
      <c r="AC91" s="1231" t="s">
        <v>99</v>
      </c>
      <c r="AD91" s="1232">
        <f>EBT_Master</f>
        <v>0</v>
      </c>
      <c r="AE91" s="1246">
        <f>L91</f>
        <v>2</v>
      </c>
      <c r="AF91" s="56"/>
      <c r="AG91" s="175"/>
      <c r="AH91" s="175"/>
      <c r="AI91" s="175"/>
      <c r="AJ91" s="175"/>
      <c r="AK91" s="175"/>
      <c r="AL91" s="175"/>
      <c r="AM91" s="175"/>
      <c r="AN91" s="175"/>
      <c r="AO91" s="175"/>
      <c r="AP91" s="175"/>
      <c r="AQ91" s="176"/>
      <c r="AR91" s="174"/>
      <c r="AS91" s="174"/>
      <c r="AT91" s="174"/>
      <c r="AU91" s="174"/>
      <c r="AV91" s="174"/>
      <c r="AW91" s="174"/>
      <c r="AX91" s="174"/>
      <c r="AY91" s="174"/>
      <c r="AZ91" s="174"/>
      <c r="BA91" s="174"/>
      <c r="BB91" s="174"/>
      <c r="BC91" s="174"/>
      <c r="BD91" s="174"/>
      <c r="BE91" s="174"/>
      <c r="BF91" s="174"/>
      <c r="BG91" s="174"/>
      <c r="BH91" s="174"/>
      <c r="BI91" s="1153"/>
      <c r="BJ91" s="1150"/>
      <c r="BK91" s="1150"/>
      <c r="BL91" s="1150"/>
      <c r="BM91" s="1235"/>
      <c r="BN91" s="1238"/>
      <c r="BO91" s="1110"/>
      <c r="BP91" s="174"/>
      <c r="BQ91" s="174"/>
      <c r="BR91" s="174"/>
      <c r="BS91" s="174"/>
      <c r="BT91" s="174"/>
      <c r="BU91" s="174"/>
      <c r="BV91" s="174"/>
      <c r="BW91" s="174"/>
      <c r="BX91" s="174"/>
      <c r="BY91" s="174"/>
      <c r="BZ91" s="174"/>
      <c r="CA91" s="174"/>
      <c r="CB91" s="177"/>
    </row>
    <row r="92" spans="2:80" ht="9.9499999999999993" customHeight="1">
      <c r="B92" s="1"/>
      <c r="C92" s="174"/>
      <c r="D92" s="174"/>
      <c r="E92" s="174"/>
      <c r="F92" s="1139"/>
      <c r="G92" s="1136"/>
      <c r="H92" s="1136"/>
      <c r="I92" s="1136"/>
      <c r="J92" s="1231"/>
      <c r="K92" s="1232"/>
      <c r="L92" s="1081"/>
      <c r="M92" s="58"/>
      <c r="N92" s="109"/>
      <c r="O92" s="833"/>
      <c r="P92" s="834"/>
      <c r="Q92" s="834"/>
      <c r="R92" s="834"/>
      <c r="S92" s="834"/>
      <c r="T92" s="834"/>
      <c r="U92" s="834"/>
      <c r="V92" s="835"/>
      <c r="W92" s="109"/>
      <c r="X92" s="60"/>
      <c r="Y92" s="1139"/>
      <c r="Z92" s="1136"/>
      <c r="AA92" s="1136"/>
      <c r="AB92" s="1136"/>
      <c r="AC92" s="1231"/>
      <c r="AD92" s="1232"/>
      <c r="AE92" s="1247"/>
      <c r="AF92" s="58"/>
      <c r="AG92" s="109"/>
      <c r="AH92" s="109"/>
      <c r="AI92" s="109"/>
      <c r="AJ92" s="109"/>
      <c r="AK92" s="109"/>
      <c r="AL92" s="109"/>
      <c r="AM92" s="109"/>
      <c r="AN92" s="109"/>
      <c r="AO92" s="109"/>
      <c r="AP92" s="109"/>
      <c r="AQ92" s="60"/>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174"/>
      <c r="CB92" s="177"/>
    </row>
    <row r="93" spans="2:80" ht="9.9499999999999993" customHeight="1" thickBot="1">
      <c r="B93" s="1"/>
      <c r="C93" s="174"/>
      <c r="D93" s="174"/>
      <c r="E93" s="174"/>
      <c r="F93" s="1153"/>
      <c r="G93" s="1150"/>
      <c r="H93" s="1150"/>
      <c r="I93" s="1150"/>
      <c r="J93" s="1241"/>
      <c r="K93" s="1243"/>
      <c r="L93" s="1110"/>
      <c r="M93" s="58"/>
      <c r="N93" s="109"/>
      <c r="O93" s="836"/>
      <c r="P93" s="837"/>
      <c r="Q93" s="837"/>
      <c r="R93" s="837"/>
      <c r="S93" s="837"/>
      <c r="T93" s="837"/>
      <c r="U93" s="837"/>
      <c r="V93" s="838"/>
      <c r="W93" s="109"/>
      <c r="X93" s="60"/>
      <c r="Y93" s="1139"/>
      <c r="Z93" s="1136"/>
      <c r="AA93" s="1136"/>
      <c r="AB93" s="1136"/>
      <c r="AC93" s="1231"/>
      <c r="AD93" s="1232"/>
      <c r="AE93" s="1248"/>
      <c r="AF93" s="58"/>
      <c r="AG93" s="109"/>
      <c r="AH93" s="109"/>
      <c r="AI93" s="109"/>
      <c r="AJ93" s="109"/>
      <c r="AK93" s="109"/>
      <c r="AL93" s="109"/>
      <c r="AM93" s="109"/>
      <c r="AN93" s="109"/>
      <c r="AO93" s="109"/>
      <c r="AP93" s="109"/>
      <c r="AQ93" s="60"/>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7"/>
    </row>
    <row r="94" spans="2:80" ht="9.9499999999999993" customHeight="1">
      <c r="B94" s="1"/>
      <c r="C94" s="174"/>
      <c r="D94" s="174"/>
      <c r="E94" s="174"/>
      <c r="F94" s="174"/>
      <c r="G94" s="174"/>
      <c r="H94" s="174"/>
      <c r="I94" s="174"/>
      <c r="J94" s="174"/>
      <c r="K94" s="174"/>
      <c r="L94" s="174"/>
      <c r="M94" s="58"/>
      <c r="N94" s="109"/>
      <c r="O94" s="109"/>
      <c r="P94" s="109"/>
      <c r="Q94" s="109"/>
      <c r="R94" s="109"/>
      <c r="S94" s="109"/>
      <c r="T94" s="109"/>
      <c r="U94" s="109"/>
      <c r="V94" s="109"/>
      <c r="W94" s="109"/>
      <c r="X94" s="60"/>
      <c r="Y94" s="1139"/>
      <c r="Z94" s="1136"/>
      <c r="AA94" s="1136"/>
      <c r="AB94" s="1136"/>
      <c r="AC94" s="1193" t="s">
        <v>99</v>
      </c>
      <c r="AD94" s="1143">
        <f>EBR_Master</f>
        <v>208</v>
      </c>
      <c r="AE94" s="1081">
        <v>1</v>
      </c>
      <c r="AF94" s="58"/>
      <c r="AG94" s="109"/>
      <c r="AH94" s="763"/>
      <c r="AI94" s="764"/>
      <c r="AJ94" s="764"/>
      <c r="AK94" s="764"/>
      <c r="AL94" s="764"/>
      <c r="AM94" s="764"/>
      <c r="AN94" s="764"/>
      <c r="AO94" s="771"/>
      <c r="AP94" s="109"/>
      <c r="AQ94" s="60"/>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7"/>
    </row>
    <row r="95" spans="2:80" ht="9.9499999999999993" customHeight="1">
      <c r="B95" s="1"/>
      <c r="C95" s="174"/>
      <c r="D95" s="174"/>
      <c r="E95" s="174"/>
      <c r="F95" s="174"/>
      <c r="G95" s="174"/>
      <c r="H95" s="174"/>
      <c r="I95" s="174"/>
      <c r="J95" s="174"/>
      <c r="K95" s="174"/>
      <c r="L95" s="174"/>
      <c r="M95" s="58"/>
      <c r="N95" s="109"/>
      <c r="O95" s="109"/>
      <c r="P95" s="109"/>
      <c r="Q95" s="109"/>
      <c r="R95" s="109"/>
      <c r="S95" s="109"/>
      <c r="T95" s="109"/>
      <c r="U95" s="109"/>
      <c r="V95" s="109"/>
      <c r="W95" s="109"/>
      <c r="X95" s="60"/>
      <c r="Y95" s="1139"/>
      <c r="Z95" s="1136"/>
      <c r="AA95" s="1136"/>
      <c r="AB95" s="1136"/>
      <c r="AC95" s="1193"/>
      <c r="AD95" s="1143"/>
      <c r="AE95" s="1081"/>
      <c r="AF95" s="58"/>
      <c r="AG95" s="109"/>
      <c r="AH95" s="766"/>
      <c r="AI95" s="767"/>
      <c r="AJ95" s="767"/>
      <c r="AK95" s="767"/>
      <c r="AL95" s="767"/>
      <c r="AM95" s="767"/>
      <c r="AN95" s="767"/>
      <c r="AO95" s="772"/>
      <c r="AP95" s="109"/>
      <c r="AQ95" s="60"/>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7"/>
    </row>
    <row r="96" spans="2:80" ht="9.9499999999999993" customHeight="1" thickBot="1">
      <c r="B96" s="1"/>
      <c r="C96" s="174"/>
      <c r="D96" s="174"/>
      <c r="E96" s="174"/>
      <c r="F96" s="174"/>
      <c r="G96" s="174"/>
      <c r="H96" s="174"/>
      <c r="I96" s="174"/>
      <c r="J96" s="174"/>
      <c r="K96" s="174"/>
      <c r="L96" s="174"/>
      <c r="M96" s="61"/>
      <c r="N96" s="110"/>
      <c r="O96" s="110"/>
      <c r="P96" s="110"/>
      <c r="Q96" s="110"/>
      <c r="R96" s="110"/>
      <c r="S96" s="110"/>
      <c r="T96" s="110"/>
      <c r="U96" s="110"/>
      <c r="V96" s="110"/>
      <c r="W96" s="110"/>
      <c r="X96" s="63"/>
      <c r="Y96" s="1153"/>
      <c r="Z96" s="1150"/>
      <c r="AA96" s="1150"/>
      <c r="AB96" s="1150"/>
      <c r="AC96" s="1197"/>
      <c r="AD96" s="1155"/>
      <c r="AE96" s="1110"/>
      <c r="AF96" s="58"/>
      <c r="AG96" s="109"/>
      <c r="AH96" s="766"/>
      <c r="AI96" s="767"/>
      <c r="AJ96" s="767"/>
      <c r="AK96" s="767"/>
      <c r="AL96" s="767"/>
      <c r="AM96" s="767"/>
      <c r="AN96" s="767"/>
      <c r="AO96" s="772"/>
      <c r="AP96" s="109"/>
      <c r="AQ96" s="60"/>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58"/>
      <c r="AG97" s="109"/>
      <c r="AH97" s="833">
        <f>+(MAX((AD91+AS69+AZ86+AV69)/AE91,(AD94+AP69)/RTAF/AE94)+MAX((AO104+AF104+AI104+AL104)/RTAF/AO103,(AZ83+AF104)/LTAF/AY83))</f>
        <v>3311.7647058823532</v>
      </c>
      <c r="AI97" s="834"/>
      <c r="AJ97" s="834"/>
      <c r="AK97" s="834"/>
      <c r="AL97" s="834"/>
      <c r="AM97" s="834"/>
      <c r="AN97" s="834"/>
      <c r="AO97" s="835"/>
      <c r="AP97" s="109"/>
      <c r="AQ97" s="60"/>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58"/>
      <c r="AG98" s="109"/>
      <c r="AH98" s="833"/>
      <c r="AI98" s="834"/>
      <c r="AJ98" s="834"/>
      <c r="AK98" s="834"/>
      <c r="AL98" s="834"/>
      <c r="AM98" s="834"/>
      <c r="AN98" s="834"/>
      <c r="AO98" s="835"/>
      <c r="AP98" s="109"/>
      <c r="AQ98" s="60"/>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7"/>
    </row>
    <row r="99" spans="2:80" ht="9.9499999999999993" customHeight="1" thickBo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58"/>
      <c r="AG99" s="109"/>
      <c r="AH99" s="836"/>
      <c r="AI99" s="837"/>
      <c r="AJ99" s="837"/>
      <c r="AK99" s="837"/>
      <c r="AL99" s="837"/>
      <c r="AM99" s="837"/>
      <c r="AN99" s="837"/>
      <c r="AO99" s="838"/>
      <c r="AP99" s="109"/>
      <c r="AQ99" s="60"/>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58"/>
      <c r="AG100" s="109"/>
      <c r="AH100" s="109"/>
      <c r="AI100" s="109"/>
      <c r="AJ100" s="109"/>
      <c r="AK100" s="109"/>
      <c r="AL100" s="109"/>
      <c r="AM100" s="109"/>
      <c r="AN100" s="109"/>
      <c r="AO100" s="109"/>
      <c r="AP100" s="109"/>
      <c r="AQ100" s="60"/>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58"/>
      <c r="AG101" s="109"/>
      <c r="AH101" s="109"/>
      <c r="AI101" s="109"/>
      <c r="AJ101" s="109"/>
      <c r="AK101" s="109"/>
      <c r="AL101" s="109"/>
      <c r="AM101" s="109"/>
      <c r="AN101" s="109"/>
      <c r="AO101" s="109"/>
      <c r="AP101" s="109"/>
      <c r="AQ101" s="60"/>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7"/>
    </row>
    <row r="102" spans="2:80" ht="9.9499999999999993" customHeight="1" thickBo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61"/>
      <c r="AG102" s="110"/>
      <c r="AH102" s="110"/>
      <c r="AI102" s="110"/>
      <c r="AJ102" s="110"/>
      <c r="AK102" s="110"/>
      <c r="AL102" s="110"/>
      <c r="AM102" s="110"/>
      <c r="AN102" s="110"/>
      <c r="AO102" s="110"/>
      <c r="AP102" s="110"/>
      <c r="AQ102" s="63"/>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244"/>
      <c r="AG103" s="1245"/>
      <c r="AH103" s="1245"/>
      <c r="AI103" s="1245"/>
      <c r="AJ103" s="1245"/>
      <c r="AK103" s="1245"/>
      <c r="AL103" s="1245"/>
      <c r="AM103" s="1245"/>
      <c r="AN103" s="1245"/>
      <c r="AO103" s="1040">
        <v>2</v>
      </c>
      <c r="AP103" s="1040"/>
      <c r="AQ103" s="1041"/>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168">
        <f>NBU_Master</f>
        <v>0</v>
      </c>
      <c r="AG104" s="1169"/>
      <c r="AH104" s="1169"/>
      <c r="AI104" s="1169">
        <f>NBL_Master</f>
        <v>0</v>
      </c>
      <c r="AJ104" s="1169"/>
      <c r="AK104" s="1169"/>
      <c r="AL104" s="1169">
        <f>NBT_Master</f>
        <v>1260</v>
      </c>
      <c r="AM104" s="1169"/>
      <c r="AN104" s="1169"/>
      <c r="AO104" s="1169">
        <f>NBR_Master</f>
        <v>1060</v>
      </c>
      <c r="AP104" s="1169"/>
      <c r="AQ104" s="1170"/>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152" t="s">
        <v>99</v>
      </c>
      <c r="AG105" s="1125"/>
      <c r="AH105" s="1125"/>
      <c r="AI105" s="1125" t="s">
        <v>99</v>
      </c>
      <c r="AJ105" s="1125"/>
      <c r="AK105" s="1125"/>
      <c r="AL105" s="1125" t="s">
        <v>99</v>
      </c>
      <c r="AM105" s="1125"/>
      <c r="AN105" s="1125"/>
      <c r="AO105" s="1125" t="s">
        <v>99</v>
      </c>
      <c r="AP105" s="1125"/>
      <c r="AQ105" s="1126"/>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099"/>
      <c r="AG106" s="1068"/>
      <c r="AH106" s="1068"/>
      <c r="AI106" s="1068"/>
      <c r="AJ106" s="1068"/>
      <c r="AK106" s="1068"/>
      <c r="AL106" s="1068"/>
      <c r="AM106" s="1068"/>
      <c r="AN106" s="1068"/>
      <c r="AO106" s="1068"/>
      <c r="AP106" s="1068"/>
      <c r="AQ106" s="1069"/>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099"/>
      <c r="AG107" s="1068"/>
      <c r="AH107" s="1068"/>
      <c r="AI107" s="1068"/>
      <c r="AJ107" s="1068"/>
      <c r="AK107" s="1068"/>
      <c r="AL107" s="1068"/>
      <c r="AM107" s="1068"/>
      <c r="AN107" s="1068"/>
      <c r="AO107" s="1068"/>
      <c r="AP107" s="1068"/>
      <c r="AQ107" s="1069"/>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099"/>
      <c r="AG108" s="1068"/>
      <c r="AH108" s="1068"/>
      <c r="AI108" s="1068"/>
      <c r="AJ108" s="1068"/>
      <c r="AK108" s="1068"/>
      <c r="AL108" s="1068"/>
      <c r="AM108" s="1068"/>
      <c r="AN108" s="1068"/>
      <c r="AO108" s="1068"/>
      <c r="AP108" s="1068"/>
      <c r="AQ108" s="1069"/>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thickBo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167"/>
      <c r="AG109" s="1070"/>
      <c r="AH109" s="1070"/>
      <c r="AI109" s="1070"/>
      <c r="AJ109" s="1070"/>
      <c r="AK109" s="1070"/>
      <c r="AL109" s="1070"/>
      <c r="AM109" s="1070"/>
      <c r="AN109" s="1070"/>
      <c r="AO109" s="1070"/>
      <c r="AP109" s="1070"/>
      <c r="AQ109" s="1071"/>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120">
    <mergeCell ref="AH97:AO99"/>
    <mergeCell ref="AF103:AH103"/>
    <mergeCell ref="AI103:AK103"/>
    <mergeCell ref="AL103:AN103"/>
    <mergeCell ref="AO103:AQ103"/>
    <mergeCell ref="AC91:AC93"/>
    <mergeCell ref="AD91:AD93"/>
    <mergeCell ref="AE91:AE93"/>
    <mergeCell ref="AF106:AH109"/>
    <mergeCell ref="AI106:AK109"/>
    <mergeCell ref="AL106:AN109"/>
    <mergeCell ref="AO106:AQ109"/>
    <mergeCell ref="AF104:AH104"/>
    <mergeCell ref="AI104:AK104"/>
    <mergeCell ref="AL104:AN104"/>
    <mergeCell ref="AO104:AQ104"/>
    <mergeCell ref="AF105:AH105"/>
    <mergeCell ref="AI105:AK105"/>
    <mergeCell ref="AL105:AN105"/>
    <mergeCell ref="AO105:AQ105"/>
    <mergeCell ref="Y94:AB96"/>
    <mergeCell ref="AC94:AC96"/>
    <mergeCell ref="AD94:AD96"/>
    <mergeCell ref="AE94:AE96"/>
    <mergeCell ref="BI89:BL91"/>
    <mergeCell ref="BM89:BM91"/>
    <mergeCell ref="BN89:BN91"/>
    <mergeCell ref="BO89:BO91"/>
    <mergeCell ref="F91:I93"/>
    <mergeCell ref="J91:J93"/>
    <mergeCell ref="K91:K93"/>
    <mergeCell ref="L91:L93"/>
    <mergeCell ref="O91:V93"/>
    <mergeCell ref="Y91:AB93"/>
    <mergeCell ref="AH94:AO96"/>
    <mergeCell ref="BR80:BR82"/>
    <mergeCell ref="BA86:BA88"/>
    <mergeCell ref="BB86:BE88"/>
    <mergeCell ref="O88:V90"/>
    <mergeCell ref="Y88:AB90"/>
    <mergeCell ref="AC88:AC90"/>
    <mergeCell ref="AD88:AD90"/>
    <mergeCell ref="AE88:AE90"/>
    <mergeCell ref="AZ83:AZ85"/>
    <mergeCell ref="BA83:BA85"/>
    <mergeCell ref="BB83:BE85"/>
    <mergeCell ref="BS80:BS82"/>
    <mergeCell ref="BT80:BT82"/>
    <mergeCell ref="BU80:BX82"/>
    <mergeCell ref="O82:O84"/>
    <mergeCell ref="P82:P84"/>
    <mergeCell ref="Q82:Q84"/>
    <mergeCell ref="R82:U84"/>
    <mergeCell ref="AY83:AY85"/>
    <mergeCell ref="AY77:AY79"/>
    <mergeCell ref="AZ77:AZ79"/>
    <mergeCell ref="BA77:BA79"/>
    <mergeCell ref="BB77:BE79"/>
    <mergeCell ref="AY80:AY82"/>
    <mergeCell ref="AZ80:AZ82"/>
    <mergeCell ref="BA80:BA82"/>
    <mergeCell ref="BB80:BE82"/>
    <mergeCell ref="BH83:BO85"/>
    <mergeCell ref="Y85:AB87"/>
    <mergeCell ref="AC85:AC87"/>
    <mergeCell ref="AD85:AD87"/>
    <mergeCell ref="AE85:AE87"/>
    <mergeCell ref="AY86:AY88"/>
    <mergeCell ref="AZ86:AZ88"/>
    <mergeCell ref="BH80:BO82"/>
    <mergeCell ref="B57:CB58"/>
    <mergeCell ref="B59:CB60"/>
    <mergeCell ref="AM64:AO67"/>
    <mergeCell ref="AP64:AR67"/>
    <mergeCell ref="AS64:AU67"/>
    <mergeCell ref="AV64:AX67"/>
    <mergeCell ref="P20:T22"/>
    <mergeCell ref="U20:Y22"/>
    <mergeCell ref="BG20:BK22"/>
    <mergeCell ref="BL20:BP22"/>
    <mergeCell ref="AM70:AO70"/>
    <mergeCell ref="AP70:AR70"/>
    <mergeCell ref="AS70:AU70"/>
    <mergeCell ref="AV70:AX70"/>
    <mergeCell ref="AO74:AV76"/>
    <mergeCell ref="AO77:AV79"/>
    <mergeCell ref="AM68:AO68"/>
    <mergeCell ref="AP68:AR68"/>
    <mergeCell ref="AS68:AU68"/>
    <mergeCell ref="AV68:AX68"/>
    <mergeCell ref="AM69:AO69"/>
    <mergeCell ref="AP69:AR69"/>
    <mergeCell ref="AS69:AU69"/>
    <mergeCell ref="AV69:AX69"/>
    <mergeCell ref="B1:CB2"/>
    <mergeCell ref="B3:CB4"/>
    <mergeCell ref="C6:J7"/>
    <mergeCell ref="K6:BC7"/>
    <mergeCell ref="BD6:CA7"/>
    <mergeCell ref="BD8:BI9"/>
    <mergeCell ref="BJ8:BO9"/>
    <mergeCell ref="BP8:BU9"/>
    <mergeCell ref="BV8:CA9"/>
    <mergeCell ref="BG17:BP19"/>
    <mergeCell ref="N49:W51"/>
    <mergeCell ref="BG49:BP51"/>
    <mergeCell ref="X55:BF55"/>
    <mergeCell ref="C8:J9"/>
    <mergeCell ref="K8:BC9"/>
    <mergeCell ref="C10:J11"/>
    <mergeCell ref="K10:BC11"/>
    <mergeCell ref="C12:J13"/>
    <mergeCell ref="K12:BC13"/>
    <mergeCell ref="BD10:BO13"/>
    <mergeCell ref="BP10:CA13"/>
    <mergeCell ref="P17:Y19"/>
    <mergeCell ref="BG52:BK54"/>
    <mergeCell ref="BL52:BP54"/>
    <mergeCell ref="N52:R54"/>
    <mergeCell ref="S52:W54"/>
  </mergeCells>
  <conditionalFormatting sqref="P17 BG17 N49 BG49 AO77 BH83 O91 AH97">
    <cfRule type="cellIs" dxfId="141" priority="21" operator="between">
      <formula>CLV_Limit</formula>
      <formula>0.75*CLV_Limit-1</formula>
    </cfRule>
  </conditionalFormatting>
  <conditionalFormatting sqref="P17 BG17 N49 BG49 AO77:AV79 BH83:BO85 O91:V93 AH97:AO99">
    <cfRule type="cellIs" dxfId="140" priority="16" operator="greaterThanOrEqual">
      <formula>CLV_Limit</formula>
    </cfRule>
    <cfRule type="cellIs" dxfId="139" priority="17" operator="between">
      <formula>0.875*CLV_Limit</formula>
      <formula>CLV_Limit-1</formula>
    </cfRule>
  </conditionalFormatting>
  <conditionalFormatting sqref="P20 BG20 N52 BG52">
    <cfRule type="cellIs" dxfId="138" priority="22" stopIfTrue="1" operator="equal">
      <formula>"FURTHER ANALYSIS"</formula>
    </cfRule>
  </conditionalFormatting>
  <conditionalFormatting sqref="BD10">
    <cfRule type="cellIs" dxfId="137" priority="20" operator="equal">
      <formula>"FURTHER ANALYSIS SUGGESTED"</formula>
    </cfRule>
  </conditionalFormatting>
  <conditionalFormatting sqref="BP10 P20 BG20 N52 BG52">
    <cfRule type="cellIs" dxfId="136" priority="10" operator="between">
      <formula>0.75</formula>
      <formula>0.875</formula>
    </cfRule>
    <cfRule type="cellIs" dxfId="135" priority="11" operator="between">
      <formula>0.875</formula>
      <formula>1</formula>
    </cfRule>
    <cfRule type="cellIs" dxfId="134" priority="12"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249977111117893"/>
  </sheetPr>
  <dimension ref="A1:HL157"/>
  <sheetViews>
    <sheetView showGridLines="0" showRowColHeaders="0" topLeftCell="B1" zoomScale="90" zoomScaleNormal="90" zoomScalePageLayoutView="85" workbookViewId="0">
      <selection activeCell="CK13" sqref="CK13:CM13"/>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7109375" customWidth="1"/>
    <col min="125" max="220" width="1.7109375" hidden="1" customWidth="1"/>
    <col min="221" max="16384" width="9.140625" hidden="1"/>
  </cols>
  <sheetData>
    <row r="1" spans="2:123" ht="9.9499999999999993" customHeight="1">
      <c r="B1" s="571" t="s">
        <v>121</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121</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2"/>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2"/>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096"/>
      <c r="CL7" s="1097"/>
      <c r="CM7" s="1098"/>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099"/>
      <c r="CL8" s="1068"/>
      <c r="CM8" s="1069"/>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099"/>
      <c r="CL9" s="1068"/>
      <c r="CM9" s="1069"/>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MAX(ROUND(AM24/CLV_Limit,2),ROUND(AT41/CLV_Limit,2),ROUND(AM59/CLV_Limit,2))</f>
        <v>2.12</v>
      </c>
      <c r="AX10" s="706"/>
      <c r="AY10" s="706"/>
      <c r="AZ10" s="706"/>
      <c r="BA10" s="706"/>
      <c r="BB10" s="706"/>
      <c r="BC10" s="706"/>
      <c r="BD10" s="706"/>
      <c r="BE10" s="706"/>
      <c r="BF10" s="706"/>
      <c r="BG10" s="706"/>
      <c r="BH10" s="707"/>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099"/>
      <c r="CL10" s="1068"/>
      <c r="CM10" s="1069"/>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065" t="s">
        <v>99</v>
      </c>
      <c r="CL11" s="1066"/>
      <c r="CM11" s="1067"/>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203">
        <f>CH32+CK32+CN32+CQ32</f>
        <v>2054</v>
      </c>
      <c r="CL12" s="1204"/>
      <c r="CM12" s="1205"/>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928">
        <v>2</v>
      </c>
      <c r="CL13" s="929"/>
      <c r="CM13" s="930"/>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56"/>
      <c r="CI14" s="175"/>
      <c r="CJ14" s="175"/>
      <c r="CK14" s="175"/>
      <c r="CL14" s="175"/>
      <c r="CM14" s="175"/>
      <c r="CN14" s="175"/>
      <c r="CO14" s="175"/>
      <c r="CP14" s="175"/>
      <c r="CQ14" s="175"/>
      <c r="CR14" s="175"/>
      <c r="CS14" s="176"/>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58"/>
      <c r="CI15" s="109"/>
      <c r="CJ15" s="109"/>
      <c r="CK15" s="109"/>
      <c r="CL15" s="109"/>
      <c r="CM15" s="109"/>
      <c r="CN15" s="109"/>
      <c r="CO15" s="109"/>
      <c r="CP15" s="109"/>
      <c r="CQ15" s="109"/>
      <c r="CR15" s="109"/>
      <c r="CS15" s="60"/>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J16" s="174"/>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58"/>
      <c r="CI16" s="109"/>
      <c r="CJ16" s="109"/>
      <c r="CK16" s="109"/>
      <c r="CL16" s="109"/>
      <c r="CM16" s="109"/>
      <c r="CN16" s="109"/>
      <c r="CO16" s="109"/>
      <c r="CP16" s="109"/>
      <c r="CQ16" s="109"/>
      <c r="CR16" s="109"/>
      <c r="CS16" s="60"/>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74"/>
      <c r="AV17" s="174"/>
      <c r="AW17" s="174"/>
      <c r="AX17" s="174"/>
      <c r="AY17" s="174"/>
      <c r="AZ17" s="174"/>
      <c r="BA17" s="174"/>
      <c r="BB17" s="174"/>
      <c r="BC17" s="174"/>
      <c r="BD17" s="174"/>
      <c r="BE17" s="174"/>
      <c r="BF17" s="174"/>
      <c r="BG17" s="174"/>
      <c r="BH17" s="174"/>
      <c r="BI17" s="177"/>
      <c r="BJ17" s="174"/>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58"/>
      <c r="CI17" s="109"/>
      <c r="CJ17" s="763"/>
      <c r="CK17" s="764"/>
      <c r="CL17" s="764"/>
      <c r="CM17" s="764"/>
      <c r="CN17" s="764"/>
      <c r="CO17" s="764"/>
      <c r="CP17" s="764"/>
      <c r="CQ17" s="771"/>
      <c r="CR17" s="109"/>
      <c r="CS17" s="60"/>
      <c r="CT17" s="1039">
        <v>2</v>
      </c>
      <c r="CU17" s="1040"/>
      <c r="CV17" s="1041"/>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74"/>
      <c r="AU18" s="174"/>
      <c r="AV18" s="174"/>
      <c r="AW18" s="174"/>
      <c r="AX18" s="174"/>
      <c r="AY18" s="174"/>
      <c r="AZ18" s="174"/>
      <c r="BA18" s="174"/>
      <c r="BB18" s="174"/>
      <c r="BC18" s="174"/>
      <c r="BD18" s="174"/>
      <c r="BE18" s="174"/>
      <c r="BF18" s="174"/>
      <c r="BG18" s="174"/>
      <c r="BH18" s="174"/>
      <c r="BI18" s="177"/>
      <c r="BJ18" s="174"/>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58"/>
      <c r="CI18" s="109"/>
      <c r="CJ18" s="766"/>
      <c r="CK18" s="767"/>
      <c r="CL18" s="767"/>
      <c r="CM18" s="767"/>
      <c r="CN18" s="767"/>
      <c r="CO18" s="767"/>
      <c r="CP18" s="767"/>
      <c r="CQ18" s="772"/>
      <c r="CR18" s="109"/>
      <c r="CS18" s="60"/>
      <c r="CT18" s="1189">
        <f>CU40+CF34+CU43+CK47+CH47</f>
        <v>588</v>
      </c>
      <c r="CU18" s="1190"/>
      <c r="CV18" s="1191"/>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74"/>
      <c r="AU19" s="174"/>
      <c r="AV19" s="174"/>
      <c r="AW19" s="174"/>
      <c r="AX19" s="174"/>
      <c r="AY19" s="174"/>
      <c r="AZ19" s="174"/>
      <c r="BA19" s="174"/>
      <c r="BB19" s="174"/>
      <c r="BC19" s="174"/>
      <c r="BD19" s="174"/>
      <c r="BE19" s="174"/>
      <c r="BF19" s="174"/>
      <c r="BG19" s="174"/>
      <c r="BH19" s="174"/>
      <c r="BI19" s="177"/>
      <c r="BJ19" s="174"/>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58"/>
      <c r="CI19" s="109"/>
      <c r="CJ19" s="766"/>
      <c r="CK19" s="767"/>
      <c r="CL19" s="767"/>
      <c r="CM19" s="767"/>
      <c r="CN19" s="767"/>
      <c r="CO19" s="767"/>
      <c r="CP19" s="767"/>
      <c r="CQ19" s="772"/>
      <c r="CR19" s="109"/>
      <c r="CS19" s="60"/>
      <c r="CT19" s="1065" t="s">
        <v>99</v>
      </c>
      <c r="CU19" s="1066"/>
      <c r="CV19" s="1067"/>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74"/>
      <c r="AU20" s="174"/>
      <c r="AV20" s="174"/>
      <c r="AW20" s="174"/>
      <c r="AX20" s="174"/>
      <c r="AY20" s="174"/>
      <c r="AZ20" s="174"/>
      <c r="BA20" s="174"/>
      <c r="BB20" s="174"/>
      <c r="BC20" s="174"/>
      <c r="BD20" s="174"/>
      <c r="BE20" s="174"/>
      <c r="BF20" s="174"/>
      <c r="BG20" s="174"/>
      <c r="BH20" s="174"/>
      <c r="BI20" s="177"/>
      <c r="BJ20" s="174"/>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58"/>
      <c r="CI20" s="109"/>
      <c r="CJ20" s="833">
        <f>+(CK12/CK13 + CT18/UTAF/CT17)</f>
        <v>1394.5</v>
      </c>
      <c r="CK20" s="834"/>
      <c r="CL20" s="834"/>
      <c r="CM20" s="834"/>
      <c r="CN20" s="834"/>
      <c r="CO20" s="834"/>
      <c r="CP20" s="834"/>
      <c r="CQ20" s="835"/>
      <c r="CR20" s="109"/>
      <c r="CS20" s="60"/>
      <c r="CT20" s="766"/>
      <c r="CU20" s="767"/>
      <c r="CV20" s="772"/>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74"/>
      <c r="AU21" s="174"/>
      <c r="AV21" s="174"/>
      <c r="AW21" s="174"/>
      <c r="AX21" s="174"/>
      <c r="AY21" s="174"/>
      <c r="AZ21" s="174"/>
      <c r="BA21" s="174"/>
      <c r="BB21" s="174"/>
      <c r="BC21" s="174"/>
      <c r="BD21" s="174"/>
      <c r="BE21" s="174"/>
      <c r="BF21" s="174"/>
      <c r="BG21" s="174"/>
      <c r="BH21" s="174"/>
      <c r="BI21" s="177"/>
      <c r="BJ21" s="174"/>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58"/>
      <c r="CI21" s="109"/>
      <c r="CJ21" s="833"/>
      <c r="CK21" s="834"/>
      <c r="CL21" s="834"/>
      <c r="CM21" s="834"/>
      <c r="CN21" s="834"/>
      <c r="CO21" s="834"/>
      <c r="CP21" s="834"/>
      <c r="CQ21" s="835"/>
      <c r="CR21" s="109"/>
      <c r="CS21" s="60"/>
      <c r="CT21" s="766"/>
      <c r="CU21" s="767"/>
      <c r="CV21" s="772"/>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74"/>
      <c r="AU22" s="174"/>
      <c r="AV22" s="174"/>
      <c r="AW22" s="174"/>
      <c r="AX22" s="174"/>
      <c r="AY22" s="174"/>
      <c r="AZ22" s="174"/>
      <c r="BA22" s="174"/>
      <c r="BB22" s="174"/>
      <c r="BC22" s="174"/>
      <c r="BD22" s="27"/>
      <c r="BE22" s="27"/>
      <c r="BF22" s="27"/>
      <c r="BG22" s="174"/>
      <c r="BH22" s="174"/>
      <c r="BI22" s="177"/>
      <c r="BJ22" s="174"/>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58"/>
      <c r="CI22" s="109"/>
      <c r="CJ22" s="836"/>
      <c r="CK22" s="837"/>
      <c r="CL22" s="837"/>
      <c r="CM22" s="837"/>
      <c r="CN22" s="837"/>
      <c r="CO22" s="837"/>
      <c r="CP22" s="837"/>
      <c r="CQ22" s="838"/>
      <c r="CR22" s="109"/>
      <c r="CS22" s="60"/>
      <c r="CT22" s="766"/>
      <c r="CU22" s="767"/>
      <c r="CV22" s="772"/>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74"/>
      <c r="AU23" s="174"/>
      <c r="AV23" s="174"/>
      <c r="AW23" s="174"/>
      <c r="AX23" s="174"/>
      <c r="AY23" s="174"/>
      <c r="AZ23" s="174"/>
      <c r="BA23" s="174"/>
      <c r="BB23" s="174"/>
      <c r="BC23" s="174"/>
      <c r="BD23" s="174"/>
      <c r="BE23" s="174"/>
      <c r="BF23" s="174"/>
      <c r="BG23" s="14"/>
      <c r="BH23" s="174"/>
      <c r="BI23" s="177"/>
      <c r="BJ23" s="174"/>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58"/>
      <c r="CI23" s="109"/>
      <c r="CJ23" s="109"/>
      <c r="CK23" s="109"/>
      <c r="CL23" s="109"/>
      <c r="CM23" s="109"/>
      <c r="CN23" s="109"/>
      <c r="CO23" s="109"/>
      <c r="CP23" s="109"/>
      <c r="CQ23" s="109"/>
      <c r="CR23" s="109"/>
      <c r="CS23" s="60"/>
      <c r="CT23" s="849"/>
      <c r="CU23" s="705"/>
      <c r="CV23" s="852"/>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728">
        <f>CJ20</f>
        <v>1394.5</v>
      </c>
      <c r="AN24" s="861"/>
      <c r="AO24" s="861"/>
      <c r="AP24" s="861"/>
      <c r="AQ24" s="861"/>
      <c r="AR24" s="861"/>
      <c r="AS24" s="861"/>
      <c r="AT24" s="861"/>
      <c r="AU24" s="861"/>
      <c r="AV24" s="862"/>
      <c r="AW24" s="174"/>
      <c r="AX24" s="174"/>
      <c r="AY24" s="174"/>
      <c r="AZ24" s="174"/>
      <c r="BA24" s="174"/>
      <c r="BB24" s="174"/>
      <c r="BC24" s="174"/>
      <c r="BD24" s="174"/>
      <c r="BE24" s="174"/>
      <c r="BF24" s="174"/>
      <c r="BG24" s="14"/>
      <c r="BH24" s="174"/>
      <c r="BI24" s="177"/>
      <c r="BJ24" s="174"/>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58"/>
      <c r="CI24" s="109"/>
      <c r="CJ24" s="109"/>
      <c r="CK24" s="109"/>
      <c r="CL24" s="109"/>
      <c r="CM24" s="109"/>
      <c r="CN24" s="109"/>
      <c r="CO24" s="109"/>
      <c r="CP24" s="109"/>
      <c r="CQ24" s="109"/>
      <c r="CR24" s="109"/>
      <c r="CS24" s="60"/>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863"/>
      <c r="AN25" s="864"/>
      <c r="AO25" s="864"/>
      <c r="AP25" s="864"/>
      <c r="AQ25" s="864"/>
      <c r="AR25" s="864"/>
      <c r="AS25" s="864"/>
      <c r="AT25" s="864"/>
      <c r="AU25" s="864"/>
      <c r="AV25" s="865"/>
      <c r="AW25" s="174"/>
      <c r="AX25" s="174"/>
      <c r="AY25" s="174"/>
      <c r="AZ25" s="174"/>
      <c r="BA25" s="174"/>
      <c r="BB25" s="174"/>
      <c r="BC25" s="174"/>
      <c r="BD25" s="174"/>
      <c r="BE25" s="174"/>
      <c r="BF25" s="174"/>
      <c r="BG25" s="17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61"/>
      <c r="CI25" s="110"/>
      <c r="CJ25" s="110"/>
      <c r="CK25" s="110"/>
      <c r="CL25" s="110"/>
      <c r="CM25" s="110"/>
      <c r="CN25" s="110"/>
      <c r="CO25" s="110"/>
      <c r="CP25" s="110"/>
      <c r="CQ25" s="110"/>
      <c r="CR25" s="110"/>
      <c r="CS25" s="63"/>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866"/>
      <c r="AN26" s="867"/>
      <c r="AO26" s="867"/>
      <c r="AP26" s="867"/>
      <c r="AQ26" s="867"/>
      <c r="AR26" s="867"/>
      <c r="AS26" s="867"/>
      <c r="AT26" s="867"/>
      <c r="AU26" s="867"/>
      <c r="AV26" s="868"/>
      <c r="AW26" s="174"/>
      <c r="AX26" s="174"/>
      <c r="AY26" s="174"/>
      <c r="AZ26" s="174"/>
      <c r="BA26" s="174"/>
      <c r="BB26" s="174"/>
      <c r="BC26" s="174"/>
      <c r="BD26" s="174"/>
      <c r="BE26" s="174"/>
      <c r="BF26" s="174"/>
      <c r="BG26" s="17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713">
        <f>ROUND(AM24/CLV_Limit,2)</f>
        <v>0.87</v>
      </c>
      <c r="AN27" s="714"/>
      <c r="AO27" s="714"/>
      <c r="AP27" s="714"/>
      <c r="AQ27" s="715"/>
      <c r="AR27" s="722" t="s">
        <v>100</v>
      </c>
      <c r="AS27" s="722"/>
      <c r="AT27" s="722"/>
      <c r="AU27" s="722"/>
      <c r="AV27" s="723"/>
      <c r="AW27" s="174"/>
      <c r="AX27" s="174"/>
      <c r="AY27" s="174"/>
      <c r="AZ27" s="174"/>
      <c r="BA27" s="174"/>
      <c r="BB27" s="174"/>
      <c r="BC27" s="174"/>
      <c r="BD27" s="174"/>
      <c r="BE27" s="174"/>
      <c r="BF27" s="174"/>
      <c r="BG27" s="17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096"/>
      <c r="CI27" s="1097"/>
      <c r="CJ27" s="1097"/>
      <c r="CK27" s="1097"/>
      <c r="CL27" s="1097"/>
      <c r="CM27" s="1097"/>
      <c r="CN27" s="1097"/>
      <c r="CO27" s="1097"/>
      <c r="CP27" s="1097"/>
      <c r="CQ27" s="1097"/>
      <c r="CR27" s="1097"/>
      <c r="CS27" s="1098"/>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716"/>
      <c r="AN28" s="717"/>
      <c r="AO28" s="717"/>
      <c r="AP28" s="717"/>
      <c r="AQ28" s="718"/>
      <c r="AR28" s="724"/>
      <c r="AS28" s="724"/>
      <c r="AT28" s="724"/>
      <c r="AU28" s="724"/>
      <c r="AV28" s="725"/>
      <c r="AW28" s="174"/>
      <c r="AX28" s="174"/>
      <c r="AY28" s="174"/>
      <c r="AZ28" s="174"/>
      <c r="BA28" s="174"/>
      <c r="BB28" s="174"/>
      <c r="BC28" s="174"/>
      <c r="BD28" s="174"/>
      <c r="BE28" s="174"/>
      <c r="BF28" s="174"/>
      <c r="BG28" s="17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099"/>
      <c r="CI28" s="1068"/>
      <c r="CJ28" s="1068"/>
      <c r="CK28" s="1068"/>
      <c r="CL28" s="1068"/>
      <c r="CM28" s="1068"/>
      <c r="CN28" s="1068"/>
      <c r="CO28" s="1068"/>
      <c r="CP28" s="1068"/>
      <c r="CQ28" s="1068"/>
      <c r="CR28" s="1068"/>
      <c r="CS28" s="1069"/>
      <c r="CT28" s="174"/>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719"/>
      <c r="AN29" s="720"/>
      <c r="AO29" s="720"/>
      <c r="AP29" s="720"/>
      <c r="AQ29" s="721"/>
      <c r="AR29" s="726"/>
      <c r="AS29" s="726"/>
      <c r="AT29" s="726"/>
      <c r="AU29" s="726"/>
      <c r="AV29" s="727"/>
      <c r="AW29" s="174"/>
      <c r="AX29" s="174"/>
      <c r="AY29" s="174"/>
      <c r="AZ29" s="174"/>
      <c r="BA29" s="174"/>
      <c r="BB29" s="174"/>
      <c r="BC29" s="174"/>
      <c r="BD29" s="174"/>
      <c r="BE29" s="174"/>
      <c r="BF29" s="174"/>
      <c r="BG29" s="17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099"/>
      <c r="CI29" s="1068"/>
      <c r="CJ29" s="1068"/>
      <c r="CK29" s="1068"/>
      <c r="CL29" s="1068"/>
      <c r="CM29" s="1068"/>
      <c r="CN29" s="1068"/>
      <c r="CO29" s="1068"/>
      <c r="CP29" s="1068"/>
      <c r="CQ29" s="1068"/>
      <c r="CR29" s="1068"/>
      <c r="CS29" s="1069"/>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099"/>
      <c r="CI30" s="1068"/>
      <c r="CJ30" s="1068"/>
      <c r="CK30" s="1068"/>
      <c r="CL30" s="1068"/>
      <c r="CM30" s="1068"/>
      <c r="CN30" s="1068"/>
      <c r="CO30" s="1068"/>
      <c r="CP30" s="1068"/>
      <c r="CQ30" s="1068"/>
      <c r="CR30" s="1068"/>
      <c r="CS30" s="1069"/>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74"/>
      <c r="AU31" s="174"/>
      <c r="AV31" s="174"/>
      <c r="AW31" s="174"/>
      <c r="AX31" s="174"/>
      <c r="AY31" s="174"/>
      <c r="AZ31" s="174"/>
      <c r="BA31" s="174"/>
      <c r="BB31" s="174"/>
      <c r="BC31" s="174"/>
      <c r="BD31" s="14"/>
      <c r="BE31" s="14"/>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152" t="s">
        <v>99</v>
      </c>
      <c r="CI31" s="1125"/>
      <c r="CJ31" s="1125"/>
      <c r="CK31" s="1125" t="s">
        <v>99</v>
      </c>
      <c r="CL31" s="1125"/>
      <c r="CM31" s="1125"/>
      <c r="CN31" s="1125" t="s">
        <v>99</v>
      </c>
      <c r="CO31" s="1125"/>
      <c r="CP31" s="1125"/>
      <c r="CQ31" s="1125" t="s">
        <v>99</v>
      </c>
      <c r="CR31" s="1125"/>
      <c r="CS31" s="1126"/>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74"/>
      <c r="AU32" s="174"/>
      <c r="AV32" s="17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127">
        <f>SBR_Master</f>
        <v>0</v>
      </c>
      <c r="CI32" s="1128"/>
      <c r="CJ32" s="1128"/>
      <c r="CK32" s="1128">
        <f>SBT_Master</f>
        <v>1447</v>
      </c>
      <c r="CL32" s="1128"/>
      <c r="CM32" s="1128"/>
      <c r="CN32" s="1128">
        <f>SBL_Master</f>
        <v>607</v>
      </c>
      <c r="CO32" s="1128"/>
      <c r="CP32" s="1128"/>
      <c r="CQ32" s="1128">
        <f>SBU_Master</f>
        <v>0</v>
      </c>
      <c r="CR32" s="1128"/>
      <c r="CS32" s="1129"/>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928">
        <v>1</v>
      </c>
      <c r="CI33" s="929"/>
      <c r="CJ33" s="929"/>
      <c r="CK33" s="1194">
        <f>CK13</f>
        <v>2</v>
      </c>
      <c r="CL33" s="1194"/>
      <c r="CM33" s="1194"/>
      <c r="CN33" s="1010"/>
      <c r="CO33" s="1010"/>
      <c r="CP33" s="1010"/>
      <c r="CQ33" s="1010"/>
      <c r="CR33" s="1010"/>
      <c r="CS33" s="1011"/>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138"/>
      <c r="CB34" s="1134"/>
      <c r="CC34" s="1134"/>
      <c r="CD34" s="1134"/>
      <c r="CE34" s="1195" t="s">
        <v>99</v>
      </c>
      <c r="CF34" s="1142">
        <f>EBU_Master</f>
        <v>0</v>
      </c>
      <c r="CG34" s="1088"/>
      <c r="CH34" s="56"/>
      <c r="CI34" s="175"/>
      <c r="CJ34" s="175"/>
      <c r="CK34" s="175"/>
      <c r="CL34" s="175"/>
      <c r="CM34" s="175"/>
      <c r="CN34" s="175"/>
      <c r="CO34" s="175"/>
      <c r="CP34" s="175"/>
      <c r="CQ34" s="175"/>
      <c r="CR34" s="175"/>
      <c r="CS34" s="176"/>
      <c r="CT34" s="910">
        <v>1</v>
      </c>
      <c r="CU34" s="1130">
        <f>WBR_Master</f>
        <v>625</v>
      </c>
      <c r="CV34" s="1198" t="s">
        <v>99</v>
      </c>
      <c r="CW34" s="1134"/>
      <c r="CX34" s="1134"/>
      <c r="CY34" s="1134"/>
      <c r="CZ34" s="1135"/>
      <c r="DA34" s="174"/>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139"/>
      <c r="CB35" s="1136"/>
      <c r="CC35" s="1136"/>
      <c r="CD35" s="1136"/>
      <c r="CE35" s="1193"/>
      <c r="CF35" s="1143"/>
      <c r="CG35" s="1089"/>
      <c r="CH35" s="58"/>
      <c r="CI35" s="109"/>
      <c r="CJ35" s="109"/>
      <c r="CK35" s="109"/>
      <c r="CL35" s="109"/>
      <c r="CM35" s="109"/>
      <c r="CN35" s="109"/>
      <c r="CO35" s="109"/>
      <c r="CP35" s="109"/>
      <c r="CQ35" s="109"/>
      <c r="CR35" s="109"/>
      <c r="CS35" s="60"/>
      <c r="CT35" s="911"/>
      <c r="CU35" s="1131"/>
      <c r="CV35" s="1199"/>
      <c r="CW35" s="1136"/>
      <c r="CX35" s="1136"/>
      <c r="CY35" s="1136"/>
      <c r="CZ35" s="1137"/>
      <c r="DA35" s="174"/>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139"/>
      <c r="CB36" s="1136"/>
      <c r="CC36" s="1136"/>
      <c r="CD36" s="1136"/>
      <c r="CE36" s="1193"/>
      <c r="CF36" s="1143"/>
      <c r="CG36" s="1089"/>
      <c r="CH36" s="58"/>
      <c r="CI36" s="109"/>
      <c r="CJ36" s="109"/>
      <c r="CK36" s="109"/>
      <c r="CL36" s="109"/>
      <c r="CM36" s="109"/>
      <c r="CN36" s="109"/>
      <c r="CO36" s="109"/>
      <c r="CP36" s="109"/>
      <c r="CQ36" s="109"/>
      <c r="CR36" s="109"/>
      <c r="CS36" s="60"/>
      <c r="CT36" s="912"/>
      <c r="CU36" s="1131"/>
      <c r="CV36" s="1199"/>
      <c r="CW36" s="1136"/>
      <c r="CX36" s="1136"/>
      <c r="CY36" s="1136"/>
      <c r="CZ36" s="1137"/>
      <c r="DA36" s="174"/>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139"/>
      <c r="CB37" s="1136"/>
      <c r="CC37" s="1136"/>
      <c r="CD37" s="1136"/>
      <c r="CE37" s="1193" t="s">
        <v>99</v>
      </c>
      <c r="CF37" s="1143">
        <f>EBL_Master</f>
        <v>899</v>
      </c>
      <c r="CG37" s="1089"/>
      <c r="CH37" s="58"/>
      <c r="CI37" s="109"/>
      <c r="CJ37" s="763"/>
      <c r="CK37" s="764"/>
      <c r="CL37" s="764"/>
      <c r="CM37" s="764"/>
      <c r="CN37" s="764"/>
      <c r="CO37" s="764"/>
      <c r="CP37" s="764"/>
      <c r="CQ37" s="771"/>
      <c r="CR37" s="109"/>
      <c r="CS37" s="60"/>
      <c r="CT37" s="951">
        <v>3</v>
      </c>
      <c r="CU37" s="1131">
        <f>WBT_Master</f>
        <v>0</v>
      </c>
      <c r="CV37" s="1199" t="s">
        <v>99</v>
      </c>
      <c r="CW37" s="1136"/>
      <c r="CX37" s="1136"/>
      <c r="CY37" s="1136"/>
      <c r="CZ37" s="1137"/>
      <c r="DA37" s="174"/>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139"/>
      <c r="CB38" s="1136"/>
      <c r="CC38" s="1136"/>
      <c r="CD38" s="1136"/>
      <c r="CE38" s="1193"/>
      <c r="CF38" s="1143"/>
      <c r="CG38" s="1089"/>
      <c r="CH38" s="58"/>
      <c r="CI38" s="109"/>
      <c r="CJ38" s="766"/>
      <c r="CK38" s="767"/>
      <c r="CL38" s="767"/>
      <c r="CM38" s="767"/>
      <c r="CN38" s="767"/>
      <c r="CO38" s="767"/>
      <c r="CP38" s="767"/>
      <c r="CQ38" s="772"/>
      <c r="CR38" s="109"/>
      <c r="CS38" s="60"/>
      <c r="CT38" s="911"/>
      <c r="CU38" s="1131"/>
      <c r="CV38" s="1199"/>
      <c r="CW38" s="1136"/>
      <c r="CX38" s="1136"/>
      <c r="CY38" s="1136"/>
      <c r="CZ38" s="1137"/>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139"/>
      <c r="CB39" s="1136"/>
      <c r="CC39" s="1136"/>
      <c r="CD39" s="1136"/>
      <c r="CE39" s="1193"/>
      <c r="CF39" s="1143"/>
      <c r="CG39" s="1089"/>
      <c r="CH39" s="58"/>
      <c r="CI39" s="109"/>
      <c r="CJ39" s="766"/>
      <c r="CK39" s="767"/>
      <c r="CL39" s="767"/>
      <c r="CM39" s="767"/>
      <c r="CN39" s="767"/>
      <c r="CO39" s="767"/>
      <c r="CP39" s="767"/>
      <c r="CQ39" s="772"/>
      <c r="CR39" s="109"/>
      <c r="CS39" s="60"/>
      <c r="CT39" s="912"/>
      <c r="CU39" s="1131"/>
      <c r="CV39" s="1199"/>
      <c r="CW39" s="1136"/>
      <c r="CX39" s="1136"/>
      <c r="CY39" s="1136"/>
      <c r="CZ39" s="1137"/>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174"/>
      <c r="BW40" s="174"/>
      <c r="BX40" s="174"/>
      <c r="BY40" s="174"/>
      <c r="BZ40" s="174"/>
      <c r="CA40" s="1139"/>
      <c r="CB40" s="1136"/>
      <c r="CC40" s="1136"/>
      <c r="CD40" s="1136"/>
      <c r="CE40" s="1193" t="s">
        <v>99</v>
      </c>
      <c r="CF40" s="1143">
        <f>EBT_Master</f>
        <v>0</v>
      </c>
      <c r="CG40" s="937">
        <v>3</v>
      </c>
      <c r="CH40" s="58"/>
      <c r="CI40" s="109"/>
      <c r="CJ40" s="833">
        <f>MAX((CN47+CK47+CH47)/CN46, (CQ47+CN32+CU43)/RTAF/CQ46, (CK32+CN32+CQ32)/CK33, (CH32+CK47+CF34)/RTAF/CH33) +MAX(CU37/CT37, (CU34+CU40+CU43)/RTAF/CT34, CF40/CG40, (CF43+CF37+CF34)/RTAF/CG43)</f>
        <v>3388.2352941176468</v>
      </c>
      <c r="CK40" s="834"/>
      <c r="CL40" s="834"/>
      <c r="CM40" s="834"/>
      <c r="CN40" s="834"/>
      <c r="CO40" s="834"/>
      <c r="CP40" s="834"/>
      <c r="CQ40" s="835"/>
      <c r="CR40" s="109"/>
      <c r="CS40" s="60"/>
      <c r="CT40" s="1111"/>
      <c r="CU40" s="1131">
        <f>WBL_Master</f>
        <v>588</v>
      </c>
      <c r="CV40" s="1199" t="s">
        <v>99</v>
      </c>
      <c r="CW40" s="1136"/>
      <c r="CX40" s="1136"/>
      <c r="CY40" s="1136"/>
      <c r="CZ40" s="1137"/>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728">
        <f>CJ40</f>
        <v>3388.2352941176468</v>
      </c>
      <c r="AU41" s="861"/>
      <c r="AV41" s="861"/>
      <c r="AW41" s="861"/>
      <c r="AX41" s="861"/>
      <c r="AY41" s="861"/>
      <c r="AZ41" s="861"/>
      <c r="BA41" s="861"/>
      <c r="BB41" s="861"/>
      <c r="BC41" s="862"/>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139"/>
      <c r="CB41" s="1136"/>
      <c r="CC41" s="1136"/>
      <c r="CD41" s="1136"/>
      <c r="CE41" s="1193"/>
      <c r="CF41" s="1143"/>
      <c r="CG41" s="938"/>
      <c r="CH41" s="58"/>
      <c r="CI41" s="109"/>
      <c r="CJ41" s="833"/>
      <c r="CK41" s="834"/>
      <c r="CL41" s="834"/>
      <c r="CM41" s="834"/>
      <c r="CN41" s="834"/>
      <c r="CO41" s="834"/>
      <c r="CP41" s="834"/>
      <c r="CQ41" s="835"/>
      <c r="CR41" s="109"/>
      <c r="CS41" s="60"/>
      <c r="CT41" s="1111"/>
      <c r="CU41" s="1131"/>
      <c r="CV41" s="1199"/>
      <c r="CW41" s="1136"/>
      <c r="CX41" s="1136"/>
      <c r="CY41" s="1136"/>
      <c r="CZ41" s="1137"/>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863"/>
      <c r="AU42" s="864"/>
      <c r="AV42" s="864"/>
      <c r="AW42" s="864"/>
      <c r="AX42" s="864"/>
      <c r="AY42" s="864"/>
      <c r="AZ42" s="864"/>
      <c r="BA42" s="864"/>
      <c r="BB42" s="864"/>
      <c r="BC42" s="865"/>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139"/>
      <c r="CB42" s="1136"/>
      <c r="CC42" s="1136"/>
      <c r="CD42" s="1136"/>
      <c r="CE42" s="1193"/>
      <c r="CF42" s="1143"/>
      <c r="CG42" s="939"/>
      <c r="CH42" s="58"/>
      <c r="CI42" s="109"/>
      <c r="CJ42" s="836"/>
      <c r="CK42" s="837"/>
      <c r="CL42" s="837"/>
      <c r="CM42" s="837"/>
      <c r="CN42" s="837"/>
      <c r="CO42" s="837"/>
      <c r="CP42" s="837"/>
      <c r="CQ42" s="838"/>
      <c r="CR42" s="109"/>
      <c r="CS42" s="60"/>
      <c r="CT42" s="1111"/>
      <c r="CU42" s="1131"/>
      <c r="CV42" s="1199"/>
      <c r="CW42" s="1136"/>
      <c r="CX42" s="1136"/>
      <c r="CY42" s="1136"/>
      <c r="CZ42" s="1137"/>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866"/>
      <c r="AU43" s="867"/>
      <c r="AV43" s="867"/>
      <c r="AW43" s="867"/>
      <c r="AX43" s="867"/>
      <c r="AY43" s="867"/>
      <c r="AZ43" s="867"/>
      <c r="BA43" s="867"/>
      <c r="BB43" s="867"/>
      <c r="BC43" s="868"/>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139"/>
      <c r="CB43" s="1136"/>
      <c r="CC43" s="1136"/>
      <c r="CD43" s="1136"/>
      <c r="CE43" s="1193" t="s">
        <v>99</v>
      </c>
      <c r="CF43" s="1143">
        <f>EBR_Master</f>
        <v>208</v>
      </c>
      <c r="CG43" s="1081">
        <v>1</v>
      </c>
      <c r="CH43" s="58"/>
      <c r="CI43" s="109"/>
      <c r="CJ43" s="109"/>
      <c r="CK43" s="109"/>
      <c r="CL43" s="109"/>
      <c r="CM43" s="109"/>
      <c r="CN43" s="109"/>
      <c r="CO43" s="109"/>
      <c r="CP43" s="109"/>
      <c r="CQ43" s="109"/>
      <c r="CR43" s="109"/>
      <c r="CS43" s="60"/>
      <c r="CT43" s="1111"/>
      <c r="CU43" s="1131">
        <f>WBU_Master</f>
        <v>0</v>
      </c>
      <c r="CV43" s="1199" t="s">
        <v>99</v>
      </c>
      <c r="CW43" s="1136"/>
      <c r="CX43" s="1136"/>
      <c r="CY43" s="1136"/>
      <c r="CZ43" s="1137"/>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713">
        <f>ROUND(AT41/CLV_Limit,2)</f>
        <v>2.12</v>
      </c>
      <c r="AU44" s="714"/>
      <c r="AV44" s="714"/>
      <c r="AW44" s="714"/>
      <c r="AX44" s="715"/>
      <c r="AY44" s="722" t="s">
        <v>100</v>
      </c>
      <c r="AZ44" s="722"/>
      <c r="BA44" s="722"/>
      <c r="BB44" s="722"/>
      <c r="BC44" s="723"/>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139"/>
      <c r="CB44" s="1136"/>
      <c r="CC44" s="1136"/>
      <c r="CD44" s="1136"/>
      <c r="CE44" s="1193"/>
      <c r="CF44" s="1143"/>
      <c r="CG44" s="1081"/>
      <c r="CH44" s="58"/>
      <c r="CI44" s="109"/>
      <c r="CJ44" s="109"/>
      <c r="CK44" s="109"/>
      <c r="CL44" s="109"/>
      <c r="CM44" s="109"/>
      <c r="CN44" s="109"/>
      <c r="CO44" s="109"/>
      <c r="CP44" s="109"/>
      <c r="CQ44" s="109"/>
      <c r="CR44" s="109"/>
      <c r="CS44" s="60"/>
      <c r="CT44" s="1111"/>
      <c r="CU44" s="1131"/>
      <c r="CV44" s="1199"/>
      <c r="CW44" s="1136"/>
      <c r="CX44" s="1136"/>
      <c r="CY44" s="1136"/>
      <c r="CZ44" s="1137"/>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716"/>
      <c r="AU45" s="717"/>
      <c r="AV45" s="717"/>
      <c r="AW45" s="717"/>
      <c r="AX45" s="718"/>
      <c r="AY45" s="724"/>
      <c r="AZ45" s="724"/>
      <c r="BA45" s="724"/>
      <c r="BB45" s="724"/>
      <c r="BC45" s="725"/>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153"/>
      <c r="CB45" s="1150"/>
      <c r="CC45" s="1150"/>
      <c r="CD45" s="1150"/>
      <c r="CE45" s="1197"/>
      <c r="CF45" s="1155"/>
      <c r="CG45" s="1110"/>
      <c r="CH45" s="61"/>
      <c r="CI45" s="110"/>
      <c r="CJ45" s="110"/>
      <c r="CK45" s="110"/>
      <c r="CL45" s="110"/>
      <c r="CM45" s="110"/>
      <c r="CN45" s="110"/>
      <c r="CO45" s="110"/>
      <c r="CP45" s="110"/>
      <c r="CQ45" s="110"/>
      <c r="CR45" s="110"/>
      <c r="CS45" s="63"/>
      <c r="CT45" s="1112"/>
      <c r="CU45" s="1156"/>
      <c r="CV45" s="1200"/>
      <c r="CW45" s="1150"/>
      <c r="CX45" s="1150"/>
      <c r="CY45" s="1150"/>
      <c r="CZ45" s="1151"/>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719"/>
      <c r="AU46" s="720"/>
      <c r="AV46" s="720"/>
      <c r="AW46" s="720"/>
      <c r="AX46" s="721"/>
      <c r="AY46" s="726"/>
      <c r="AZ46" s="726"/>
      <c r="BA46" s="726"/>
      <c r="BB46" s="726"/>
      <c r="BC46" s="727"/>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120"/>
      <c r="CI46" s="1121"/>
      <c r="CJ46" s="1121"/>
      <c r="CK46" s="1121"/>
      <c r="CL46" s="1121"/>
      <c r="CM46" s="1121"/>
      <c r="CN46" s="1249">
        <f>CN66</f>
        <v>2</v>
      </c>
      <c r="CO46" s="1249"/>
      <c r="CP46" s="1249"/>
      <c r="CQ46" s="1040">
        <v>1</v>
      </c>
      <c r="CR46" s="1040"/>
      <c r="CS46" s="1041"/>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168">
        <f>NBU_Master</f>
        <v>0</v>
      </c>
      <c r="CI47" s="1169"/>
      <c r="CJ47" s="1169"/>
      <c r="CK47" s="1169">
        <f>NBL_Master</f>
        <v>0</v>
      </c>
      <c r="CL47" s="1169"/>
      <c r="CM47" s="1169"/>
      <c r="CN47" s="1169">
        <f>NBT_Master</f>
        <v>1260</v>
      </c>
      <c r="CO47" s="1169"/>
      <c r="CP47" s="1169"/>
      <c r="CQ47" s="1169">
        <f>NBR_Master</f>
        <v>1060</v>
      </c>
      <c r="CR47" s="1169"/>
      <c r="CS47" s="1170"/>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152" t="s">
        <v>99</v>
      </c>
      <c r="CI48" s="1125"/>
      <c r="CJ48" s="1125"/>
      <c r="CK48" s="1125" t="s">
        <v>99</v>
      </c>
      <c r="CL48" s="1125"/>
      <c r="CM48" s="1125"/>
      <c r="CN48" s="1125" t="s">
        <v>99</v>
      </c>
      <c r="CO48" s="1125"/>
      <c r="CP48" s="1125"/>
      <c r="CQ48" s="1125" t="s">
        <v>99</v>
      </c>
      <c r="CR48" s="1125"/>
      <c r="CS48" s="1126"/>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099"/>
      <c r="CI49" s="1068"/>
      <c r="CJ49" s="1068"/>
      <c r="CK49" s="1068"/>
      <c r="CL49" s="1068"/>
      <c r="CM49" s="1068"/>
      <c r="CN49" s="1068"/>
      <c r="CO49" s="1068"/>
      <c r="CP49" s="1068"/>
      <c r="CQ49" s="1068"/>
      <c r="CR49" s="1068"/>
      <c r="CS49" s="1069"/>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099"/>
      <c r="CI50" s="1068"/>
      <c r="CJ50" s="1068"/>
      <c r="CK50" s="1068"/>
      <c r="CL50" s="1068"/>
      <c r="CM50" s="1068"/>
      <c r="CN50" s="1068"/>
      <c r="CO50" s="1068"/>
      <c r="CP50" s="1068"/>
      <c r="CQ50" s="1068"/>
      <c r="CR50" s="1068"/>
      <c r="CS50" s="1069"/>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099"/>
      <c r="CI51" s="1068"/>
      <c r="CJ51" s="1068"/>
      <c r="CK51" s="1068"/>
      <c r="CL51" s="1068"/>
      <c r="CM51" s="1068"/>
      <c r="CN51" s="1068"/>
      <c r="CO51" s="1068"/>
      <c r="CP51" s="1068"/>
      <c r="CQ51" s="1068"/>
      <c r="CR51" s="1068"/>
      <c r="CS51" s="1069"/>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167"/>
      <c r="CI52" s="1070"/>
      <c r="CJ52" s="1070"/>
      <c r="CK52" s="1070"/>
      <c r="CL52" s="1070"/>
      <c r="CM52" s="1070"/>
      <c r="CN52" s="1070"/>
      <c r="CO52" s="1070"/>
      <c r="CP52" s="1070"/>
      <c r="CQ52" s="1070"/>
      <c r="CR52" s="1070"/>
      <c r="CS52" s="1071"/>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56"/>
      <c r="CI54" s="175"/>
      <c r="CJ54" s="175"/>
      <c r="CK54" s="175"/>
      <c r="CL54" s="175"/>
      <c r="CM54" s="175"/>
      <c r="CN54" s="175"/>
      <c r="CO54" s="175"/>
      <c r="CP54" s="175"/>
      <c r="CQ54" s="175"/>
      <c r="CR54" s="175"/>
      <c r="CS54" s="176"/>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58"/>
      <c r="CI55" s="109"/>
      <c r="CJ55" s="109"/>
      <c r="CK55" s="109"/>
      <c r="CL55" s="109"/>
      <c r="CM55" s="109"/>
      <c r="CN55" s="109"/>
      <c r="CO55" s="109"/>
      <c r="CP55" s="109"/>
      <c r="CQ55" s="109"/>
      <c r="CR55" s="109"/>
      <c r="CS55" s="60"/>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096"/>
      <c r="CF56" s="1097"/>
      <c r="CG56" s="1098"/>
      <c r="CH56" s="58"/>
      <c r="CI56" s="109"/>
      <c r="CJ56" s="109"/>
      <c r="CK56" s="109"/>
      <c r="CL56" s="109"/>
      <c r="CM56" s="109"/>
      <c r="CN56" s="109"/>
      <c r="CO56" s="109"/>
      <c r="CP56" s="109"/>
      <c r="CQ56" s="109"/>
      <c r="CR56" s="109"/>
      <c r="CS56" s="60"/>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099"/>
      <c r="CF57" s="1068"/>
      <c r="CG57" s="1069"/>
      <c r="CH57" s="58"/>
      <c r="CI57" s="109"/>
      <c r="CJ57" s="763"/>
      <c r="CK57" s="764"/>
      <c r="CL57" s="764"/>
      <c r="CM57" s="764"/>
      <c r="CN57" s="764"/>
      <c r="CO57" s="764"/>
      <c r="CP57" s="764"/>
      <c r="CQ57" s="771"/>
      <c r="CR57" s="109"/>
      <c r="CS57" s="60"/>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099"/>
      <c r="CF58" s="1068"/>
      <c r="CG58" s="1069"/>
      <c r="CH58" s="58"/>
      <c r="CI58" s="109"/>
      <c r="CJ58" s="766"/>
      <c r="CK58" s="767"/>
      <c r="CL58" s="767"/>
      <c r="CM58" s="767"/>
      <c r="CN58" s="767"/>
      <c r="CO58" s="767"/>
      <c r="CP58" s="767"/>
      <c r="CQ58" s="772"/>
      <c r="CR58" s="109"/>
      <c r="CS58" s="60"/>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728">
        <f>CJ60</f>
        <v>2101.25</v>
      </c>
      <c r="AN59" s="729"/>
      <c r="AO59" s="729"/>
      <c r="AP59" s="729"/>
      <c r="AQ59" s="729"/>
      <c r="AR59" s="729"/>
      <c r="AS59" s="729"/>
      <c r="AT59" s="729"/>
      <c r="AU59" s="729"/>
      <c r="AV59" s="730"/>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099"/>
      <c r="CF59" s="1068"/>
      <c r="CG59" s="1069"/>
      <c r="CH59" s="58"/>
      <c r="CI59" s="109"/>
      <c r="CJ59" s="766"/>
      <c r="CK59" s="767"/>
      <c r="CL59" s="767"/>
      <c r="CM59" s="767"/>
      <c r="CN59" s="767"/>
      <c r="CO59" s="767"/>
      <c r="CP59" s="767"/>
      <c r="CQ59" s="772"/>
      <c r="CR59" s="109"/>
      <c r="CS59" s="60"/>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731"/>
      <c r="AN60" s="732"/>
      <c r="AO60" s="732"/>
      <c r="AP60" s="732"/>
      <c r="AQ60" s="732"/>
      <c r="AR60" s="732"/>
      <c r="AS60" s="732"/>
      <c r="AT60" s="732"/>
      <c r="AU60" s="732"/>
      <c r="AV60" s="733"/>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065" t="s">
        <v>99</v>
      </c>
      <c r="CF60" s="1066"/>
      <c r="CG60" s="1067"/>
      <c r="CH60" s="58"/>
      <c r="CI60" s="109"/>
      <c r="CJ60" s="833">
        <f>+(CN67/CN66 +CE61/UTAF/CE62)</f>
        <v>2101.25</v>
      </c>
      <c r="CK60" s="834"/>
      <c r="CL60" s="834"/>
      <c r="CM60" s="834"/>
      <c r="CN60" s="834"/>
      <c r="CO60" s="834"/>
      <c r="CP60" s="834"/>
      <c r="CQ60" s="835"/>
      <c r="CR60" s="109"/>
      <c r="CS60" s="60"/>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734"/>
      <c r="AN61" s="735"/>
      <c r="AO61" s="735"/>
      <c r="AP61" s="735"/>
      <c r="AQ61" s="735"/>
      <c r="AR61" s="735"/>
      <c r="AS61" s="735"/>
      <c r="AT61" s="735"/>
      <c r="AU61" s="735"/>
      <c r="AV61" s="736"/>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203">
        <f>CF34+CF37+CN32+CQ32+CU43</f>
        <v>1506</v>
      </c>
      <c r="CF61" s="1204"/>
      <c r="CG61" s="1205"/>
      <c r="CH61" s="58"/>
      <c r="CI61" s="109"/>
      <c r="CJ61" s="833"/>
      <c r="CK61" s="834"/>
      <c r="CL61" s="834"/>
      <c r="CM61" s="834"/>
      <c r="CN61" s="834"/>
      <c r="CO61" s="834"/>
      <c r="CP61" s="834"/>
      <c r="CQ61" s="835"/>
      <c r="CR61" s="109"/>
      <c r="CS61" s="60"/>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713">
        <f>ROUND(AM59/CLV_Limit,2)</f>
        <v>1.31</v>
      </c>
      <c r="AN62" s="714"/>
      <c r="AO62" s="714"/>
      <c r="AP62" s="714"/>
      <c r="AQ62" s="715"/>
      <c r="AR62" s="722" t="s">
        <v>100</v>
      </c>
      <c r="AS62" s="722"/>
      <c r="AT62" s="722"/>
      <c r="AU62" s="722"/>
      <c r="AV62" s="723"/>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928">
        <v>2</v>
      </c>
      <c r="CF62" s="929"/>
      <c r="CG62" s="930"/>
      <c r="CH62" s="58"/>
      <c r="CI62" s="109"/>
      <c r="CJ62" s="836"/>
      <c r="CK62" s="837"/>
      <c r="CL62" s="837"/>
      <c r="CM62" s="837"/>
      <c r="CN62" s="837"/>
      <c r="CO62" s="837"/>
      <c r="CP62" s="837"/>
      <c r="CQ62" s="838"/>
      <c r="CR62" s="109"/>
      <c r="CS62" s="60"/>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716"/>
      <c r="AN63" s="717"/>
      <c r="AO63" s="717"/>
      <c r="AP63" s="717"/>
      <c r="AQ63" s="718"/>
      <c r="AR63" s="724"/>
      <c r="AS63" s="724"/>
      <c r="AT63" s="724"/>
      <c r="AU63" s="724"/>
      <c r="AV63" s="725"/>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58"/>
      <c r="CI63" s="109"/>
      <c r="CJ63" s="109"/>
      <c r="CK63" s="109"/>
      <c r="CL63" s="109"/>
      <c r="CM63" s="109"/>
      <c r="CN63" s="109"/>
      <c r="CO63" s="109"/>
      <c r="CP63" s="109"/>
      <c r="CQ63" s="109"/>
      <c r="CR63" s="109"/>
      <c r="CS63" s="60"/>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719"/>
      <c r="AN64" s="720"/>
      <c r="AO64" s="720"/>
      <c r="AP64" s="720"/>
      <c r="AQ64" s="721"/>
      <c r="AR64" s="726"/>
      <c r="AS64" s="726"/>
      <c r="AT64" s="726"/>
      <c r="AU64" s="726"/>
      <c r="AV64" s="727"/>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58"/>
      <c r="CI64" s="109"/>
      <c r="CJ64" s="109"/>
      <c r="CK64" s="109"/>
      <c r="CL64" s="109"/>
      <c r="CM64" s="109"/>
      <c r="CN64" s="109"/>
      <c r="CO64" s="109"/>
      <c r="CP64" s="109"/>
      <c r="CQ64" s="109"/>
      <c r="CR64" s="109"/>
      <c r="CS64" s="60"/>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61"/>
      <c r="CI65" s="110"/>
      <c r="CJ65" s="110"/>
      <c r="CK65" s="110"/>
      <c r="CL65" s="110"/>
      <c r="CM65" s="110"/>
      <c r="CN65" s="110"/>
      <c r="CO65" s="110"/>
      <c r="CP65" s="110"/>
      <c r="CQ65" s="110"/>
      <c r="CR65" s="110"/>
      <c r="CS65" s="63"/>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29"/>
      <c r="F66" s="28"/>
      <c r="G66" s="28"/>
      <c r="H66" s="28"/>
      <c r="I66" s="28"/>
      <c r="J66" s="28"/>
      <c r="K66" s="28"/>
      <c r="L66" s="28"/>
      <c r="M66" s="28"/>
      <c r="N66" s="28"/>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31"/>
      <c r="CE66" s="174"/>
      <c r="CF66" s="174"/>
      <c r="CG66" s="174"/>
      <c r="CH66" s="174"/>
      <c r="CI66" s="174"/>
      <c r="CJ66" s="174"/>
      <c r="CK66" s="174"/>
      <c r="CL66" s="174"/>
      <c r="CM66" s="174"/>
      <c r="CN66" s="968">
        <v>2</v>
      </c>
      <c r="CO66" s="969"/>
      <c r="CP66" s="972"/>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28"/>
      <c r="F67" s="28"/>
      <c r="G67" s="28"/>
      <c r="H67" s="28"/>
      <c r="I67" s="28"/>
      <c r="J67" s="28"/>
      <c r="K67" s="28"/>
      <c r="L67" s="28"/>
      <c r="M67" s="28"/>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189">
        <f>CH47+CK47+CN47+CQ47</f>
        <v>2320</v>
      </c>
      <c r="CO67" s="1190"/>
      <c r="CP67" s="1191"/>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28"/>
      <c r="F68" s="28"/>
      <c r="G68" s="28"/>
      <c r="H68" s="28"/>
      <c r="I68" s="28"/>
      <c r="J68" s="28"/>
      <c r="K68" s="28"/>
      <c r="L68" s="28"/>
      <c r="M68" s="28"/>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065" t="s">
        <v>99</v>
      </c>
      <c r="CO68" s="1066"/>
      <c r="CP68" s="1067"/>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099"/>
      <c r="CO69" s="1068"/>
      <c r="CP69" s="1069"/>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099"/>
      <c r="CO70" s="1068"/>
      <c r="CP70" s="1069"/>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099"/>
      <c r="CO71" s="1068"/>
      <c r="CP71" s="1069"/>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27"/>
      <c r="F72" s="27"/>
      <c r="G72" s="27"/>
      <c r="H72" s="27"/>
      <c r="I72" s="27"/>
      <c r="J72" s="27"/>
      <c r="K72" s="27"/>
      <c r="L72" s="27"/>
      <c r="M72" s="27"/>
      <c r="N72" s="27"/>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167"/>
      <c r="CO72" s="1070"/>
      <c r="CP72" s="1071"/>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15">
    <mergeCell ref="CN68:CP68"/>
    <mergeCell ref="CN69:CP72"/>
    <mergeCell ref="CE60:CG60"/>
    <mergeCell ref="CJ60:CQ62"/>
    <mergeCell ref="CE61:CG61"/>
    <mergeCell ref="CE62:CG62"/>
    <mergeCell ref="CN66:CP66"/>
    <mergeCell ref="CN67:CP67"/>
    <mergeCell ref="CH49:CJ52"/>
    <mergeCell ref="CK49:CM52"/>
    <mergeCell ref="CN49:CP52"/>
    <mergeCell ref="CQ49:CS52"/>
    <mergeCell ref="CE56:CG59"/>
    <mergeCell ref="CJ57:CQ59"/>
    <mergeCell ref="CH47:CJ47"/>
    <mergeCell ref="CK47:CM47"/>
    <mergeCell ref="CN47:CP47"/>
    <mergeCell ref="CQ47:CS47"/>
    <mergeCell ref="CH48:CJ48"/>
    <mergeCell ref="CK48:CM48"/>
    <mergeCell ref="CN48:CP48"/>
    <mergeCell ref="CQ48:CS48"/>
    <mergeCell ref="CV43:CV45"/>
    <mergeCell ref="CW43:CZ45"/>
    <mergeCell ref="CH46:CJ46"/>
    <mergeCell ref="CK46:CM46"/>
    <mergeCell ref="CN46:CP46"/>
    <mergeCell ref="CQ46:CS46"/>
    <mergeCell ref="CA43:CD45"/>
    <mergeCell ref="CE43:CE45"/>
    <mergeCell ref="CF43:CF45"/>
    <mergeCell ref="CG43:CG45"/>
    <mergeCell ref="CT43:CT45"/>
    <mergeCell ref="CU43:CU45"/>
    <mergeCell ref="CA40:CD42"/>
    <mergeCell ref="CE40:CE42"/>
    <mergeCell ref="CF40:CF42"/>
    <mergeCell ref="CG40:CG42"/>
    <mergeCell ref="CJ40:CQ42"/>
    <mergeCell ref="CT40:CT42"/>
    <mergeCell ref="CU40:CU42"/>
    <mergeCell ref="CV40:CV42"/>
    <mergeCell ref="CW40:CZ42"/>
    <mergeCell ref="CV34:CV36"/>
    <mergeCell ref="CW34:CZ36"/>
    <mergeCell ref="CA37:CD39"/>
    <mergeCell ref="CE37:CE39"/>
    <mergeCell ref="CF37:CF39"/>
    <mergeCell ref="CG37:CG39"/>
    <mergeCell ref="CJ37:CQ39"/>
    <mergeCell ref="CT37:CT39"/>
    <mergeCell ref="CU37:CU39"/>
    <mergeCell ref="CV37:CV39"/>
    <mergeCell ref="CA34:CD36"/>
    <mergeCell ref="CE34:CE36"/>
    <mergeCell ref="CF34:CF36"/>
    <mergeCell ref="CG34:CG36"/>
    <mergeCell ref="CT34:CT36"/>
    <mergeCell ref="CU34:CU36"/>
    <mergeCell ref="CW37:CZ39"/>
    <mergeCell ref="CH32:CJ32"/>
    <mergeCell ref="CK32:CM32"/>
    <mergeCell ref="CN32:CP32"/>
    <mergeCell ref="CQ32:CS32"/>
    <mergeCell ref="CH33:CJ33"/>
    <mergeCell ref="CK33:CM33"/>
    <mergeCell ref="CN33:CP33"/>
    <mergeCell ref="CQ33:CS33"/>
    <mergeCell ref="CH27:CJ30"/>
    <mergeCell ref="CK27:CM30"/>
    <mergeCell ref="CN27:CP30"/>
    <mergeCell ref="CQ27:CS30"/>
    <mergeCell ref="CH31:CJ31"/>
    <mergeCell ref="CK31:CM31"/>
    <mergeCell ref="CN31:CP31"/>
    <mergeCell ref="CQ31:CS31"/>
    <mergeCell ref="CJ17:CQ19"/>
    <mergeCell ref="CT17:CV17"/>
    <mergeCell ref="CT18:CV18"/>
    <mergeCell ref="CT19:CV19"/>
    <mergeCell ref="CJ20:CQ22"/>
    <mergeCell ref="CT20:CV23"/>
    <mergeCell ref="BL1:DS2"/>
    <mergeCell ref="BL3:DS4"/>
    <mergeCell ref="CK7:CM10"/>
    <mergeCell ref="CK11:CM11"/>
    <mergeCell ref="CK12:CM12"/>
    <mergeCell ref="CK13:CM13"/>
    <mergeCell ref="B1:BI2"/>
    <mergeCell ref="B3:BI4"/>
    <mergeCell ref="C6:J7"/>
    <mergeCell ref="K6:AJ7"/>
    <mergeCell ref="AM24:AV26"/>
    <mergeCell ref="AT41:BC43"/>
    <mergeCell ref="AM59:AV61"/>
    <mergeCell ref="C8:J9"/>
    <mergeCell ref="K8:AJ9"/>
    <mergeCell ref="C10:J11"/>
    <mergeCell ref="K10:AJ11"/>
    <mergeCell ref="C12:J13"/>
    <mergeCell ref="K12:AJ13"/>
    <mergeCell ref="AK6:BH7"/>
    <mergeCell ref="AM62:AQ64"/>
    <mergeCell ref="AR62:AV64"/>
    <mergeCell ref="O74:AW74"/>
    <mergeCell ref="AK8:AP9"/>
    <mergeCell ref="AQ8:AV9"/>
    <mergeCell ref="AW8:BB9"/>
    <mergeCell ref="BC8:BH9"/>
    <mergeCell ref="AK10:AV13"/>
    <mergeCell ref="AW10:BH13"/>
    <mergeCell ref="AM27:AQ29"/>
    <mergeCell ref="AR27:AV29"/>
    <mergeCell ref="AT44:AX46"/>
    <mergeCell ref="AY44:BC46"/>
  </mergeCells>
  <conditionalFormatting sqref="AW10 AM27 AT44 AM62">
    <cfRule type="cellIs" dxfId="133" priority="10" operator="between">
      <formula>0.75</formula>
      <formula>0.875</formula>
    </cfRule>
    <cfRule type="cellIs" dxfId="132" priority="11" operator="between">
      <formula>0.875</formula>
      <formula>1</formula>
    </cfRule>
    <cfRule type="cellIs" dxfId="131" priority="12" operator="greaterThan">
      <formula>1</formula>
    </cfRule>
  </conditionalFormatting>
  <conditionalFormatting sqref="CJ20 AM24 CJ40 AT41 AM59 CJ60">
    <cfRule type="cellIs" dxfId="130" priority="19" operator="between">
      <formula>0.75*CLV_Limit</formula>
      <formula>0.875*CLV_Limit-1</formula>
    </cfRule>
    <cfRule type="cellIs" dxfId="129" priority="20" operator="between">
      <formula>0.875*CLV_Limit</formula>
      <formula>CLV_Limit-1</formula>
    </cfRule>
    <cfRule type="cellIs" dxfId="128" priority="21" operator="greaterThanOrEqual">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249977111117893"/>
  </sheetPr>
  <dimension ref="A1:FE484"/>
  <sheetViews>
    <sheetView showGridLines="0" showRowColHeaders="0" zoomScaleNormal="100" workbookViewId="0">
      <selection activeCell="R78" sqref="R78:R80"/>
    </sheetView>
  </sheetViews>
  <sheetFormatPr defaultColWidth="0" defaultRowHeight="13.15" zeroHeight="1"/>
  <cols>
    <col min="1" max="1" width="0.42578125" customWidth="1"/>
    <col min="2" max="80" width="1.7109375" customWidth="1"/>
    <col min="81" max="81" width="0.42578125" customWidth="1"/>
    <col min="82" max="130" width="1.7109375" hidden="1" customWidth="1"/>
    <col min="131" max="137" width="2.7109375" hidden="1" customWidth="1"/>
    <col min="138" max="160" width="1.7109375" hidden="1" customWidth="1"/>
    <col min="161" max="161" width="0.5703125" hidden="1" customWidth="1"/>
    <col min="162" max="16384" width="1.7109375" hidden="1"/>
  </cols>
  <sheetData>
    <row r="1" spans="2:80" ht="9.9499999999999993" customHeight="1">
      <c r="B1" s="571" t="s">
        <v>122</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MAX(ROUND(F22/CLV_Limit,2),ROUND(AK22/CLV_Limit,2),ROUND(BP22/CLV_Limit,2))</f>
        <v>1.9</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3"/>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7"/>
    </row>
    <row r="18" spans="2:80"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7"/>
    </row>
    <row r="19" spans="2:80"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26"/>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7"/>
    </row>
    <row r="20" spans="2:80" ht="9.9499999999999993" customHeight="1">
      <c r="B20" s="1"/>
      <c r="C20" s="174"/>
      <c r="D20" s="173"/>
      <c r="E20" s="173"/>
      <c r="F20" s="173"/>
      <c r="G20" s="173"/>
      <c r="H20" s="173"/>
      <c r="I20" s="173"/>
      <c r="J20" s="173"/>
      <c r="K20" s="173"/>
      <c r="L20" s="173"/>
      <c r="M20" s="174"/>
      <c r="N20" s="174"/>
      <c r="O20" s="174"/>
      <c r="P20" s="174"/>
      <c r="Q20" s="174"/>
      <c r="R20" s="174"/>
      <c r="S20" s="174"/>
      <c r="T20" s="174"/>
      <c r="U20" s="174"/>
      <c r="V20" s="174"/>
      <c r="W20" s="26"/>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3"/>
      <c r="BP20" s="173"/>
      <c r="BQ20" s="173"/>
      <c r="BR20" s="173"/>
      <c r="BS20" s="173"/>
      <c r="BT20" s="173"/>
      <c r="BU20" s="173"/>
      <c r="BV20" s="173"/>
      <c r="BW20" s="173"/>
      <c r="BX20" s="174"/>
      <c r="BY20" s="174"/>
      <c r="BZ20" s="174"/>
      <c r="CA20" s="174"/>
      <c r="CB20" s="177"/>
    </row>
    <row r="21" spans="2:80" ht="9.9499999999999993" customHeight="1" thickBot="1">
      <c r="B21" s="1"/>
      <c r="C21" s="174"/>
      <c r="D21" s="14"/>
      <c r="E21" s="14"/>
      <c r="F21" s="174"/>
      <c r="G21" s="174"/>
      <c r="H21" s="174"/>
      <c r="I21" s="174"/>
      <c r="J21" s="174"/>
      <c r="K21" s="174"/>
      <c r="L21" s="174"/>
      <c r="M21" s="174"/>
      <c r="N21" s="174"/>
      <c r="O21" s="174"/>
      <c r="P21" s="174"/>
      <c r="Q21" s="174"/>
      <c r="R21" s="174"/>
      <c r="S21" s="174"/>
      <c r="T21" s="174"/>
      <c r="U21" s="174"/>
      <c r="V21" s="174"/>
      <c r="W21" s="26"/>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4"/>
      <c r="BP21" s="14"/>
      <c r="BQ21" s="14"/>
      <c r="BR21" s="14"/>
      <c r="BS21" s="14"/>
      <c r="BT21" s="14"/>
      <c r="BU21" s="14"/>
      <c r="BV21" s="14"/>
      <c r="BW21" s="14"/>
      <c r="BX21" s="174"/>
      <c r="BY21" s="174"/>
      <c r="BZ21" s="174"/>
      <c r="CA21" s="174"/>
      <c r="CB21" s="177"/>
    </row>
    <row r="22" spans="2:80" ht="9.9499999999999993" customHeight="1">
      <c r="B22" s="1"/>
      <c r="C22" s="174"/>
      <c r="D22" s="174"/>
      <c r="E22" s="174"/>
      <c r="F22" s="728">
        <f>R87</f>
        <v>1300.375</v>
      </c>
      <c r="G22" s="729"/>
      <c r="H22" s="729"/>
      <c r="I22" s="729"/>
      <c r="J22" s="729"/>
      <c r="K22" s="729"/>
      <c r="L22" s="729"/>
      <c r="M22" s="729"/>
      <c r="N22" s="729"/>
      <c r="O22" s="730"/>
      <c r="P22" s="174"/>
      <c r="Q22" s="174"/>
      <c r="R22" s="174"/>
      <c r="S22" s="174"/>
      <c r="T22" s="174"/>
      <c r="U22" s="174"/>
      <c r="V22" s="174"/>
      <c r="W22" s="174"/>
      <c r="X22" s="174"/>
      <c r="Y22" s="174"/>
      <c r="Z22" s="174"/>
      <c r="AA22" s="174"/>
      <c r="AB22" s="174"/>
      <c r="AC22" s="174"/>
      <c r="AD22" s="174"/>
      <c r="AE22" s="174"/>
      <c r="AF22" s="174"/>
      <c r="AG22" s="174"/>
      <c r="AH22" s="174"/>
      <c r="AI22" s="174"/>
      <c r="AJ22" s="174"/>
      <c r="AK22" s="728">
        <f>AL87</f>
        <v>3040</v>
      </c>
      <c r="AL22" s="729"/>
      <c r="AM22" s="729"/>
      <c r="AN22" s="729"/>
      <c r="AO22" s="729"/>
      <c r="AP22" s="729"/>
      <c r="AQ22" s="729"/>
      <c r="AR22" s="729"/>
      <c r="AS22" s="729"/>
      <c r="AT22" s="730"/>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265">
        <f>BF87</f>
        <v>1168.375</v>
      </c>
      <c r="BQ22" s="1266"/>
      <c r="BR22" s="1266"/>
      <c r="BS22" s="1266"/>
      <c r="BT22" s="1266"/>
      <c r="BU22" s="1266"/>
      <c r="BV22" s="1266"/>
      <c r="BW22" s="1266"/>
      <c r="BX22" s="1266"/>
      <c r="BY22" s="1267"/>
      <c r="BZ22" s="174"/>
      <c r="CA22" s="174"/>
      <c r="CB22" s="177"/>
    </row>
    <row r="23" spans="2:80" ht="9.9499999999999993" customHeight="1">
      <c r="B23" s="1"/>
      <c r="C23" s="174"/>
      <c r="D23" s="174"/>
      <c r="E23" s="174"/>
      <c r="F23" s="731"/>
      <c r="G23" s="732"/>
      <c r="H23" s="732"/>
      <c r="I23" s="732"/>
      <c r="J23" s="732"/>
      <c r="K23" s="732"/>
      <c r="L23" s="732"/>
      <c r="M23" s="732"/>
      <c r="N23" s="732"/>
      <c r="O23" s="733"/>
      <c r="P23" s="174"/>
      <c r="Q23" s="174"/>
      <c r="R23" s="174"/>
      <c r="S23" s="174"/>
      <c r="T23" s="174"/>
      <c r="U23" s="174"/>
      <c r="V23" s="174"/>
      <c r="W23" s="174"/>
      <c r="X23" s="174"/>
      <c r="Y23" s="174"/>
      <c r="Z23" s="174"/>
      <c r="AA23" s="174"/>
      <c r="AB23" s="174"/>
      <c r="AC23" s="174"/>
      <c r="AD23" s="174"/>
      <c r="AE23" s="174"/>
      <c r="AF23" s="174"/>
      <c r="AG23" s="174"/>
      <c r="AH23" s="174"/>
      <c r="AI23" s="174"/>
      <c r="AJ23" s="174"/>
      <c r="AK23" s="731"/>
      <c r="AL23" s="732"/>
      <c r="AM23" s="732"/>
      <c r="AN23" s="732"/>
      <c r="AO23" s="732"/>
      <c r="AP23" s="732"/>
      <c r="AQ23" s="732"/>
      <c r="AR23" s="732"/>
      <c r="AS23" s="732"/>
      <c r="AT23" s="733"/>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268"/>
      <c r="BQ23" s="1269"/>
      <c r="BR23" s="1269"/>
      <c r="BS23" s="1269"/>
      <c r="BT23" s="1269"/>
      <c r="BU23" s="1269"/>
      <c r="BV23" s="1269"/>
      <c r="BW23" s="1269"/>
      <c r="BX23" s="1269"/>
      <c r="BY23" s="1270"/>
      <c r="BZ23" s="174"/>
      <c r="CA23" s="174"/>
      <c r="CB23" s="177"/>
    </row>
    <row r="24" spans="2:80" ht="9.9499999999999993" customHeight="1" thickBot="1">
      <c r="B24" s="1"/>
      <c r="C24" s="174"/>
      <c r="D24" s="174"/>
      <c r="E24" s="174"/>
      <c r="F24" s="734"/>
      <c r="G24" s="735"/>
      <c r="H24" s="735"/>
      <c r="I24" s="735"/>
      <c r="J24" s="735"/>
      <c r="K24" s="735"/>
      <c r="L24" s="735"/>
      <c r="M24" s="735"/>
      <c r="N24" s="735"/>
      <c r="O24" s="736"/>
      <c r="P24" s="174"/>
      <c r="Q24" s="174"/>
      <c r="R24" s="174"/>
      <c r="S24" s="174"/>
      <c r="T24" s="174"/>
      <c r="U24" s="174"/>
      <c r="V24" s="174"/>
      <c r="W24" s="174"/>
      <c r="X24" s="174"/>
      <c r="Y24" s="174"/>
      <c r="Z24" s="174"/>
      <c r="AA24" s="174"/>
      <c r="AB24" s="174"/>
      <c r="AC24" s="174"/>
      <c r="AD24" s="174"/>
      <c r="AE24" s="174"/>
      <c r="AF24" s="174"/>
      <c r="AG24" s="174"/>
      <c r="AH24" s="174"/>
      <c r="AI24" s="174"/>
      <c r="AJ24" s="174"/>
      <c r="AK24" s="734"/>
      <c r="AL24" s="735"/>
      <c r="AM24" s="735"/>
      <c r="AN24" s="735"/>
      <c r="AO24" s="735"/>
      <c r="AP24" s="735"/>
      <c r="AQ24" s="735"/>
      <c r="AR24" s="735"/>
      <c r="AS24" s="735"/>
      <c r="AT24" s="736"/>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271"/>
      <c r="BQ24" s="1272"/>
      <c r="BR24" s="1272"/>
      <c r="BS24" s="1272"/>
      <c r="BT24" s="1272"/>
      <c r="BU24" s="1272"/>
      <c r="BV24" s="1272"/>
      <c r="BW24" s="1272"/>
      <c r="BX24" s="1272"/>
      <c r="BY24" s="1273"/>
      <c r="BZ24" s="174"/>
      <c r="CA24" s="174"/>
      <c r="CB24" s="177"/>
    </row>
    <row r="25" spans="2:80" ht="9.9499999999999993" customHeight="1">
      <c r="B25" s="1"/>
      <c r="C25" s="174"/>
      <c r="D25" s="174"/>
      <c r="E25" s="174"/>
      <c r="F25" s="713">
        <f>ROUND(F22/CLV_Limit,2)</f>
        <v>0.81</v>
      </c>
      <c r="G25" s="714"/>
      <c r="H25" s="714"/>
      <c r="I25" s="714"/>
      <c r="J25" s="715"/>
      <c r="K25" s="722" t="s">
        <v>100</v>
      </c>
      <c r="L25" s="722"/>
      <c r="M25" s="722"/>
      <c r="N25" s="722"/>
      <c r="O25" s="723"/>
      <c r="P25" s="174"/>
      <c r="Q25" s="174"/>
      <c r="R25" s="174"/>
      <c r="S25" s="174"/>
      <c r="T25" s="174"/>
      <c r="U25" s="174"/>
      <c r="V25" s="174"/>
      <c r="W25" s="174"/>
      <c r="X25" s="174"/>
      <c r="Y25" s="174"/>
      <c r="Z25" s="174"/>
      <c r="AA25" s="174"/>
      <c r="AB25" s="174"/>
      <c r="AC25" s="174"/>
      <c r="AD25" s="174"/>
      <c r="AE25" s="174"/>
      <c r="AF25" s="174"/>
      <c r="AG25" s="174"/>
      <c r="AH25" s="174"/>
      <c r="AI25" s="174"/>
      <c r="AJ25" s="174"/>
      <c r="AK25" s="713">
        <f>ROUND(AK22/CLV_Limit,2)</f>
        <v>1.9</v>
      </c>
      <c r="AL25" s="714"/>
      <c r="AM25" s="714"/>
      <c r="AN25" s="714"/>
      <c r="AO25" s="715"/>
      <c r="AP25" s="722" t="s">
        <v>100</v>
      </c>
      <c r="AQ25" s="722"/>
      <c r="AR25" s="722"/>
      <c r="AS25" s="722"/>
      <c r="AT25" s="723"/>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250">
        <f>ROUND(BP22/CLV_Limit,2)</f>
        <v>0.73</v>
      </c>
      <c r="BQ25" s="1251"/>
      <c r="BR25" s="1251"/>
      <c r="BS25" s="1251"/>
      <c r="BT25" s="1252"/>
      <c r="BU25" s="1259" t="s">
        <v>100</v>
      </c>
      <c r="BV25" s="1259"/>
      <c r="BW25" s="1259"/>
      <c r="BX25" s="1259"/>
      <c r="BY25" s="1260"/>
      <c r="BZ25" s="174"/>
      <c r="CA25" s="174"/>
      <c r="CB25" s="177"/>
    </row>
    <row r="26" spans="2:80" ht="9.9499999999999993" customHeight="1">
      <c r="B26" s="1"/>
      <c r="C26" s="174"/>
      <c r="D26" s="174"/>
      <c r="E26" s="174"/>
      <c r="F26" s="716"/>
      <c r="G26" s="717"/>
      <c r="H26" s="717"/>
      <c r="I26" s="717"/>
      <c r="J26" s="718"/>
      <c r="K26" s="724"/>
      <c r="L26" s="724"/>
      <c r="M26" s="724"/>
      <c r="N26" s="724"/>
      <c r="O26" s="725"/>
      <c r="P26" s="174"/>
      <c r="Q26" s="174"/>
      <c r="R26" s="174"/>
      <c r="S26" s="174"/>
      <c r="T26" s="174"/>
      <c r="U26" s="174"/>
      <c r="V26" s="174"/>
      <c r="W26" s="174"/>
      <c r="X26" s="174"/>
      <c r="Y26" s="174"/>
      <c r="Z26" s="174"/>
      <c r="AA26" s="174"/>
      <c r="AB26" s="174"/>
      <c r="AC26" s="174"/>
      <c r="AD26" s="174"/>
      <c r="AE26" s="174"/>
      <c r="AF26" s="174"/>
      <c r="AG26" s="174"/>
      <c r="AH26" s="174"/>
      <c r="AI26" s="174"/>
      <c r="AJ26" s="174"/>
      <c r="AK26" s="716"/>
      <c r="AL26" s="717"/>
      <c r="AM26" s="717"/>
      <c r="AN26" s="717"/>
      <c r="AO26" s="718"/>
      <c r="AP26" s="724"/>
      <c r="AQ26" s="724"/>
      <c r="AR26" s="724"/>
      <c r="AS26" s="724"/>
      <c r="AT26" s="725"/>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253"/>
      <c r="BQ26" s="1254"/>
      <c r="BR26" s="1254"/>
      <c r="BS26" s="1254"/>
      <c r="BT26" s="1255"/>
      <c r="BU26" s="1261"/>
      <c r="BV26" s="1261"/>
      <c r="BW26" s="1261"/>
      <c r="BX26" s="1261"/>
      <c r="BY26" s="1262"/>
      <c r="BZ26" s="174"/>
      <c r="CA26" s="174"/>
      <c r="CB26" s="177"/>
    </row>
    <row r="27" spans="2:80" ht="9.9499999999999993" customHeight="1" thickBot="1">
      <c r="B27" s="1"/>
      <c r="C27" s="174"/>
      <c r="D27" s="174"/>
      <c r="E27" s="174"/>
      <c r="F27" s="719"/>
      <c r="G27" s="720"/>
      <c r="H27" s="720"/>
      <c r="I27" s="720"/>
      <c r="J27" s="721"/>
      <c r="K27" s="726"/>
      <c r="L27" s="726"/>
      <c r="M27" s="726"/>
      <c r="N27" s="726"/>
      <c r="O27" s="727"/>
      <c r="P27" s="174"/>
      <c r="Q27" s="174"/>
      <c r="R27" s="174"/>
      <c r="S27" s="174"/>
      <c r="T27" s="174"/>
      <c r="U27" s="174"/>
      <c r="V27" s="174"/>
      <c r="W27" s="174"/>
      <c r="X27" s="174"/>
      <c r="Y27" s="174"/>
      <c r="Z27" s="174"/>
      <c r="AA27" s="174"/>
      <c r="AB27" s="174"/>
      <c r="AC27" s="174"/>
      <c r="AD27" s="174"/>
      <c r="AE27" s="174"/>
      <c r="AF27" s="174"/>
      <c r="AG27" s="174"/>
      <c r="AH27" s="174"/>
      <c r="AI27" s="174"/>
      <c r="AJ27" s="174"/>
      <c r="AK27" s="719"/>
      <c r="AL27" s="720"/>
      <c r="AM27" s="720"/>
      <c r="AN27" s="720"/>
      <c r="AO27" s="721"/>
      <c r="AP27" s="726"/>
      <c r="AQ27" s="726"/>
      <c r="AR27" s="726"/>
      <c r="AS27" s="726"/>
      <c r="AT27" s="727"/>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256"/>
      <c r="BQ27" s="1257"/>
      <c r="BR27" s="1257"/>
      <c r="BS27" s="1257"/>
      <c r="BT27" s="1258"/>
      <c r="BU27" s="1263"/>
      <c r="BV27" s="1263"/>
      <c r="BW27" s="1263"/>
      <c r="BX27" s="1263"/>
      <c r="BY27" s="126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705" t="s">
        <v>101</v>
      </c>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705"/>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122</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c r="B71" s="1"/>
      <c r="C71" s="174"/>
      <c r="D71" s="174"/>
      <c r="E71" s="174"/>
      <c r="F71" s="174"/>
      <c r="G71" s="174"/>
      <c r="H71" s="174"/>
      <c r="I71" s="174"/>
      <c r="J71" s="174"/>
      <c r="K71" s="174"/>
      <c r="L71" s="6"/>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6"/>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thickBot="1">
      <c r="B73" s="1"/>
      <c r="C73" s="174"/>
      <c r="D73" s="174"/>
      <c r="E73" s="174"/>
      <c r="F73" s="174"/>
      <c r="G73" s="174"/>
      <c r="H73" s="174"/>
      <c r="I73" s="174"/>
      <c r="J73" s="174"/>
      <c r="K73" s="174"/>
      <c r="L73" s="6"/>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174"/>
      <c r="H74" s="174"/>
      <c r="I74" s="174"/>
      <c r="J74" s="6"/>
      <c r="K74" s="6"/>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096"/>
      <c r="AK74" s="1097"/>
      <c r="AL74" s="1097"/>
      <c r="AM74" s="1097"/>
      <c r="AN74" s="1097"/>
      <c r="AO74" s="1097"/>
      <c r="AP74" s="1097"/>
      <c r="AQ74" s="1097"/>
      <c r="AR74" s="1097"/>
      <c r="AS74" s="1097"/>
      <c r="AT74" s="1097"/>
      <c r="AU74" s="1098"/>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c r="B75" s="1"/>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099"/>
      <c r="AK75" s="1068"/>
      <c r="AL75" s="1068"/>
      <c r="AM75" s="1068"/>
      <c r="AN75" s="1068"/>
      <c r="AO75" s="1068"/>
      <c r="AP75" s="1068"/>
      <c r="AQ75" s="1068"/>
      <c r="AR75" s="1068"/>
      <c r="AS75" s="1068"/>
      <c r="AT75" s="1068"/>
      <c r="AU75" s="1069"/>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c r="B76" s="1"/>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099"/>
      <c r="AK76" s="1068"/>
      <c r="AL76" s="1068"/>
      <c r="AM76" s="1068"/>
      <c r="AN76" s="1068"/>
      <c r="AO76" s="1068"/>
      <c r="AP76" s="1068"/>
      <c r="AQ76" s="1068"/>
      <c r="AR76" s="1068"/>
      <c r="AS76" s="1068"/>
      <c r="AT76" s="1068"/>
      <c r="AU76" s="1069"/>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7"/>
    </row>
    <row r="77" spans="2:80" ht="9.9499999999999993" customHeight="1" thickBot="1">
      <c r="B77" s="1"/>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099"/>
      <c r="AK77" s="1068"/>
      <c r="AL77" s="1068"/>
      <c r="AM77" s="1068"/>
      <c r="AN77" s="1068"/>
      <c r="AO77" s="1068"/>
      <c r="AP77" s="1068"/>
      <c r="AQ77" s="1068"/>
      <c r="AR77" s="1068"/>
      <c r="AS77" s="1068"/>
      <c r="AT77" s="1068"/>
      <c r="AU77" s="1069"/>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7"/>
    </row>
    <row r="78" spans="2:80" ht="9.9499999999999993" customHeight="1">
      <c r="B78" s="1"/>
      <c r="C78" s="174"/>
      <c r="D78" s="174"/>
      <c r="E78" s="174"/>
      <c r="F78" s="174"/>
      <c r="G78" s="174"/>
      <c r="H78" s="174"/>
      <c r="I78" s="174"/>
      <c r="J78" s="174"/>
      <c r="K78" s="174"/>
      <c r="L78" s="174"/>
      <c r="M78" s="174"/>
      <c r="N78" s="174"/>
      <c r="O78" s="174"/>
      <c r="P78" s="174"/>
      <c r="Q78" s="174"/>
      <c r="R78" s="1090">
        <v>2</v>
      </c>
      <c r="S78" s="1222">
        <f>AW90+AW87+AJ94+AS79+AP79</f>
        <v>1195</v>
      </c>
      <c r="T78" s="1225" t="s">
        <v>99</v>
      </c>
      <c r="U78" s="1134"/>
      <c r="V78" s="1134"/>
      <c r="W78" s="1134"/>
      <c r="X78" s="1135"/>
      <c r="Y78" s="174"/>
      <c r="Z78" s="174"/>
      <c r="AA78" s="174"/>
      <c r="AB78" s="174"/>
      <c r="AC78" s="174"/>
      <c r="AD78" s="174"/>
      <c r="AE78" s="174"/>
      <c r="AF78" s="174"/>
      <c r="AG78" s="174"/>
      <c r="AH78" s="174"/>
      <c r="AI78" s="174"/>
      <c r="AJ78" s="1152" t="s">
        <v>99</v>
      </c>
      <c r="AK78" s="1125"/>
      <c r="AL78" s="1125"/>
      <c r="AM78" s="1125" t="s">
        <v>99</v>
      </c>
      <c r="AN78" s="1125"/>
      <c r="AO78" s="1125"/>
      <c r="AP78" s="1125" t="s">
        <v>99</v>
      </c>
      <c r="AQ78" s="1125"/>
      <c r="AR78" s="1125"/>
      <c r="AS78" s="1125" t="s">
        <v>99</v>
      </c>
      <c r="AT78" s="1125"/>
      <c r="AU78" s="1126"/>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7"/>
    </row>
    <row r="79" spans="2:80" ht="9.9499999999999993" customHeight="1">
      <c r="B79" s="1"/>
      <c r="C79" s="174"/>
      <c r="D79" s="174"/>
      <c r="E79" s="174"/>
      <c r="F79" s="174"/>
      <c r="G79" s="174"/>
      <c r="H79" s="174"/>
      <c r="I79" s="174"/>
      <c r="J79" s="174"/>
      <c r="K79" s="174"/>
      <c r="L79" s="174"/>
      <c r="M79" s="174"/>
      <c r="N79" s="174"/>
      <c r="O79" s="174"/>
      <c r="P79" s="174"/>
      <c r="Q79" s="174"/>
      <c r="R79" s="1082"/>
      <c r="S79" s="1223"/>
      <c r="T79" s="1226"/>
      <c r="U79" s="1136"/>
      <c r="V79" s="1136"/>
      <c r="W79" s="1136"/>
      <c r="X79" s="1137"/>
      <c r="Y79" s="174"/>
      <c r="Z79" s="174"/>
      <c r="AA79" s="174"/>
      <c r="AB79" s="174"/>
      <c r="AC79" s="174"/>
      <c r="AD79" s="174"/>
      <c r="AE79" s="174"/>
      <c r="AF79" s="174"/>
      <c r="AG79" s="174"/>
      <c r="AH79" s="174"/>
      <c r="AI79" s="174"/>
      <c r="AJ79" s="1127">
        <f>SBR_Master</f>
        <v>0</v>
      </c>
      <c r="AK79" s="1128"/>
      <c r="AL79" s="1128"/>
      <c r="AM79" s="1128">
        <f>SBT_Master</f>
        <v>1447</v>
      </c>
      <c r="AN79" s="1128"/>
      <c r="AO79" s="1128"/>
      <c r="AP79" s="1128">
        <f>SBL_Master</f>
        <v>607</v>
      </c>
      <c r="AQ79" s="1128"/>
      <c r="AR79" s="1128"/>
      <c r="AS79" s="1128">
        <f>SBU_Master</f>
        <v>0</v>
      </c>
      <c r="AT79" s="1128"/>
      <c r="AU79" s="1129"/>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7"/>
    </row>
    <row r="80" spans="2:80" ht="9.9499999999999993" customHeight="1" thickBot="1">
      <c r="B80" s="1"/>
      <c r="C80" s="174"/>
      <c r="D80" s="174"/>
      <c r="E80" s="174"/>
      <c r="F80" s="174"/>
      <c r="G80" s="174"/>
      <c r="H80" s="174"/>
      <c r="I80" s="174"/>
      <c r="J80" s="174"/>
      <c r="K80" s="174"/>
      <c r="L80" s="174"/>
      <c r="M80" s="174"/>
      <c r="N80" s="174"/>
      <c r="O80" s="174"/>
      <c r="P80" s="174"/>
      <c r="Q80" s="174"/>
      <c r="R80" s="1221"/>
      <c r="S80" s="1224"/>
      <c r="T80" s="1227"/>
      <c r="U80" s="1150"/>
      <c r="V80" s="1150"/>
      <c r="W80" s="1150"/>
      <c r="X80" s="1151"/>
      <c r="Y80" s="174"/>
      <c r="Z80" s="174"/>
      <c r="AA80" s="174"/>
      <c r="AB80" s="174"/>
      <c r="AC80" s="174"/>
      <c r="AD80" s="174"/>
      <c r="AE80" s="174"/>
      <c r="AF80" s="174"/>
      <c r="AG80" s="174"/>
      <c r="AH80" s="174"/>
      <c r="AI80" s="174"/>
      <c r="AJ80" s="928">
        <v>1</v>
      </c>
      <c r="AK80" s="929"/>
      <c r="AL80" s="929"/>
      <c r="AM80" s="929">
        <v>2</v>
      </c>
      <c r="AN80" s="929"/>
      <c r="AO80" s="929"/>
      <c r="AP80" s="1010"/>
      <c r="AQ80" s="1010"/>
      <c r="AR80" s="1010"/>
      <c r="AS80" s="1010"/>
      <c r="AT80" s="1010"/>
      <c r="AU80" s="1011"/>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7"/>
    </row>
    <row r="81" spans="2:80" ht="9.9499999999999993" customHeight="1">
      <c r="B81" s="1"/>
      <c r="C81" s="174"/>
      <c r="D81" s="174"/>
      <c r="E81" s="174"/>
      <c r="F81" s="174"/>
      <c r="G81" s="174"/>
      <c r="H81" s="174"/>
      <c r="I81" s="174"/>
      <c r="J81" s="174"/>
      <c r="K81" s="174"/>
      <c r="L81" s="174"/>
      <c r="M81" s="174"/>
      <c r="N81" s="174"/>
      <c r="O81" s="174"/>
      <c r="P81" s="56"/>
      <c r="Q81" s="175"/>
      <c r="R81" s="175"/>
      <c r="S81" s="175"/>
      <c r="T81" s="175"/>
      <c r="U81" s="175"/>
      <c r="V81" s="175"/>
      <c r="W81" s="175"/>
      <c r="X81" s="175"/>
      <c r="Y81" s="175"/>
      <c r="Z81" s="175"/>
      <c r="AA81" s="176"/>
      <c r="AB81" s="174"/>
      <c r="AC81" s="1138"/>
      <c r="AD81" s="1134"/>
      <c r="AE81" s="1134"/>
      <c r="AF81" s="1134"/>
      <c r="AG81" s="1195" t="s">
        <v>99</v>
      </c>
      <c r="AH81" s="1142">
        <f>EBU_Master</f>
        <v>0</v>
      </c>
      <c r="AI81" s="1088"/>
      <c r="AJ81" s="56"/>
      <c r="AK81" s="175"/>
      <c r="AL81" s="175"/>
      <c r="AM81" s="175"/>
      <c r="AN81" s="175"/>
      <c r="AO81" s="175"/>
      <c r="AP81" s="175"/>
      <c r="AQ81" s="175"/>
      <c r="AR81" s="175"/>
      <c r="AS81" s="175"/>
      <c r="AT81" s="175"/>
      <c r="AU81" s="176"/>
      <c r="AV81" s="910">
        <v>1</v>
      </c>
      <c r="AW81" s="1130">
        <f>WBR_Master</f>
        <v>625</v>
      </c>
      <c r="AX81" s="1198" t="s">
        <v>99</v>
      </c>
      <c r="AY81" s="1134"/>
      <c r="AZ81" s="1134"/>
      <c r="BA81" s="1134"/>
      <c r="BB81" s="1135"/>
      <c r="BC81" s="174"/>
      <c r="BD81" s="56"/>
      <c r="BE81" s="175"/>
      <c r="BF81" s="175"/>
      <c r="BG81" s="175"/>
      <c r="BH81" s="175"/>
      <c r="BI81" s="175"/>
      <c r="BJ81" s="175"/>
      <c r="BK81" s="175"/>
      <c r="BL81" s="175"/>
      <c r="BM81" s="175"/>
      <c r="BN81" s="175"/>
      <c r="BO81" s="176"/>
      <c r="BP81" s="174"/>
      <c r="BQ81" s="174"/>
      <c r="BR81" s="174"/>
      <c r="BS81" s="174"/>
      <c r="BT81" s="174"/>
      <c r="BU81" s="174"/>
      <c r="BV81" s="174"/>
      <c r="BW81" s="174"/>
      <c r="BX81" s="174"/>
      <c r="BY81" s="174"/>
      <c r="BZ81" s="174"/>
      <c r="CA81" s="174"/>
      <c r="CB81" s="177"/>
    </row>
    <row r="82" spans="2:80" ht="9.9499999999999993" customHeight="1">
      <c r="B82" s="1"/>
      <c r="C82" s="174"/>
      <c r="D82" s="174"/>
      <c r="E82" s="174"/>
      <c r="F82" s="174"/>
      <c r="G82" s="174"/>
      <c r="H82" s="174"/>
      <c r="I82" s="174"/>
      <c r="J82" s="174"/>
      <c r="K82" s="174"/>
      <c r="L82" s="174"/>
      <c r="M82" s="174"/>
      <c r="N82" s="174"/>
      <c r="O82" s="174"/>
      <c r="P82" s="58"/>
      <c r="Q82" s="109"/>
      <c r="R82" s="109"/>
      <c r="S82" s="109"/>
      <c r="T82" s="109"/>
      <c r="U82" s="109"/>
      <c r="V82" s="109"/>
      <c r="W82" s="109"/>
      <c r="X82" s="109"/>
      <c r="Y82" s="109"/>
      <c r="Z82" s="109"/>
      <c r="AA82" s="60"/>
      <c r="AB82" s="174"/>
      <c r="AC82" s="1139"/>
      <c r="AD82" s="1136"/>
      <c r="AE82" s="1136"/>
      <c r="AF82" s="1136"/>
      <c r="AG82" s="1193"/>
      <c r="AH82" s="1143"/>
      <c r="AI82" s="1089"/>
      <c r="AJ82" s="58"/>
      <c r="AK82" s="109"/>
      <c r="AL82" s="109"/>
      <c r="AM82" s="109"/>
      <c r="AN82" s="109"/>
      <c r="AO82" s="109"/>
      <c r="AP82" s="109"/>
      <c r="AQ82" s="109"/>
      <c r="AR82" s="109"/>
      <c r="AS82" s="109"/>
      <c r="AT82" s="109"/>
      <c r="AU82" s="60"/>
      <c r="AV82" s="911"/>
      <c r="AW82" s="1131"/>
      <c r="AX82" s="1199"/>
      <c r="AY82" s="1136"/>
      <c r="AZ82" s="1136"/>
      <c r="BA82" s="1136"/>
      <c r="BB82" s="1137"/>
      <c r="BC82" s="174"/>
      <c r="BD82" s="58"/>
      <c r="BE82" s="109"/>
      <c r="BF82" s="109"/>
      <c r="BG82" s="109"/>
      <c r="BH82" s="109"/>
      <c r="BI82" s="109"/>
      <c r="BJ82" s="109"/>
      <c r="BK82" s="109"/>
      <c r="BL82" s="109"/>
      <c r="BM82" s="109"/>
      <c r="BN82" s="109"/>
      <c r="BO82" s="60"/>
      <c r="BP82" s="174"/>
      <c r="BQ82" s="174"/>
      <c r="BR82" s="174"/>
      <c r="BS82" s="174"/>
      <c r="BT82" s="174"/>
      <c r="BU82" s="174"/>
      <c r="BV82" s="174"/>
      <c r="BW82" s="174"/>
      <c r="BX82" s="174"/>
      <c r="BY82" s="174"/>
      <c r="BZ82" s="174"/>
      <c r="CA82" s="174"/>
      <c r="CB82" s="177"/>
    </row>
    <row r="83" spans="2:80" ht="9.9499999999999993" customHeight="1" thickBot="1">
      <c r="B83" s="1"/>
      <c r="C83" s="174"/>
      <c r="D83" s="174"/>
      <c r="E83" s="174"/>
      <c r="F83" s="174"/>
      <c r="G83" s="174"/>
      <c r="H83" s="174"/>
      <c r="I83" s="174"/>
      <c r="J83" s="174"/>
      <c r="K83" s="174"/>
      <c r="L83" s="174"/>
      <c r="M83" s="174"/>
      <c r="N83" s="174"/>
      <c r="O83" s="174"/>
      <c r="P83" s="58"/>
      <c r="Q83" s="109"/>
      <c r="R83" s="109"/>
      <c r="S83" s="109"/>
      <c r="T83" s="109"/>
      <c r="U83" s="109"/>
      <c r="V83" s="109"/>
      <c r="W83" s="109"/>
      <c r="X83" s="109"/>
      <c r="Y83" s="109"/>
      <c r="Z83" s="109"/>
      <c r="AA83" s="60"/>
      <c r="AB83" s="174"/>
      <c r="AC83" s="1139"/>
      <c r="AD83" s="1136"/>
      <c r="AE83" s="1136"/>
      <c r="AF83" s="1136"/>
      <c r="AG83" s="1193"/>
      <c r="AH83" s="1143"/>
      <c r="AI83" s="1089"/>
      <c r="AJ83" s="58"/>
      <c r="AK83" s="109"/>
      <c r="AL83" s="109"/>
      <c r="AM83" s="109"/>
      <c r="AN83" s="109"/>
      <c r="AO83" s="109"/>
      <c r="AP83" s="109"/>
      <c r="AQ83" s="109"/>
      <c r="AR83" s="109"/>
      <c r="AS83" s="109"/>
      <c r="AT83" s="109"/>
      <c r="AU83" s="60"/>
      <c r="AV83" s="912"/>
      <c r="AW83" s="1131"/>
      <c r="AX83" s="1199"/>
      <c r="AY83" s="1136"/>
      <c r="AZ83" s="1136"/>
      <c r="BA83" s="1136"/>
      <c r="BB83" s="1137"/>
      <c r="BC83" s="174"/>
      <c r="BD83" s="58"/>
      <c r="BE83" s="109"/>
      <c r="BF83" s="109"/>
      <c r="BG83" s="109"/>
      <c r="BH83" s="109"/>
      <c r="BI83" s="109"/>
      <c r="BJ83" s="109"/>
      <c r="BK83" s="109"/>
      <c r="BL83" s="109"/>
      <c r="BM83" s="109"/>
      <c r="BN83" s="109"/>
      <c r="BO83" s="60"/>
      <c r="BP83" s="174"/>
      <c r="BQ83" s="174"/>
      <c r="BR83" s="174"/>
      <c r="BS83" s="174"/>
      <c r="BT83" s="174"/>
      <c r="BU83" s="174"/>
      <c r="BV83" s="174"/>
      <c r="BW83" s="174"/>
      <c r="BX83" s="174"/>
      <c r="BY83" s="174"/>
      <c r="BZ83" s="174"/>
      <c r="CA83" s="174"/>
      <c r="CB83" s="177"/>
    </row>
    <row r="84" spans="2:80" ht="9.9499999999999993" customHeight="1">
      <c r="B84" s="1"/>
      <c r="C84" s="174"/>
      <c r="D84" s="174"/>
      <c r="E84" s="174"/>
      <c r="F84" s="174"/>
      <c r="G84" s="174"/>
      <c r="H84" s="174"/>
      <c r="I84" s="174"/>
      <c r="J84" s="174"/>
      <c r="K84" s="174"/>
      <c r="L84" s="174"/>
      <c r="M84" s="174"/>
      <c r="N84" s="174"/>
      <c r="O84" s="174"/>
      <c r="P84" s="58"/>
      <c r="Q84" s="109"/>
      <c r="R84" s="763"/>
      <c r="S84" s="764"/>
      <c r="T84" s="764"/>
      <c r="U84" s="764"/>
      <c r="V84" s="764"/>
      <c r="W84" s="764"/>
      <c r="X84" s="764"/>
      <c r="Y84" s="771"/>
      <c r="Z84" s="109"/>
      <c r="AA84" s="60"/>
      <c r="AB84" s="174"/>
      <c r="AC84" s="1139"/>
      <c r="AD84" s="1136"/>
      <c r="AE84" s="1136"/>
      <c r="AF84" s="1136"/>
      <c r="AG84" s="1193" t="s">
        <v>99</v>
      </c>
      <c r="AH84" s="1143">
        <f>EBL_Master</f>
        <v>899</v>
      </c>
      <c r="AI84" s="1089"/>
      <c r="AJ84" s="58"/>
      <c r="AK84" s="109"/>
      <c r="AL84" s="763"/>
      <c r="AM84" s="764"/>
      <c r="AN84" s="764"/>
      <c r="AO84" s="764"/>
      <c r="AP84" s="764"/>
      <c r="AQ84" s="764"/>
      <c r="AR84" s="764"/>
      <c r="AS84" s="771"/>
      <c r="AT84" s="109"/>
      <c r="AU84" s="60"/>
      <c r="AV84" s="1228">
        <f>BP84</f>
        <v>2</v>
      </c>
      <c r="AW84" s="1131">
        <f>WBT_Master</f>
        <v>0</v>
      </c>
      <c r="AX84" s="1199" t="s">
        <v>99</v>
      </c>
      <c r="AY84" s="1136"/>
      <c r="AZ84" s="1136"/>
      <c r="BA84" s="1136"/>
      <c r="BB84" s="1137"/>
      <c r="BC84" s="174"/>
      <c r="BD84" s="58"/>
      <c r="BE84" s="109"/>
      <c r="BF84" s="763"/>
      <c r="BG84" s="764"/>
      <c r="BH84" s="764"/>
      <c r="BI84" s="764"/>
      <c r="BJ84" s="764"/>
      <c r="BK84" s="764"/>
      <c r="BL84" s="764"/>
      <c r="BM84" s="771"/>
      <c r="BN84" s="109"/>
      <c r="BO84" s="60"/>
      <c r="BP84" s="1090">
        <v>2</v>
      </c>
      <c r="BQ84" s="1222">
        <f>AW90+AW87+AW84+AW81</f>
        <v>1213</v>
      </c>
      <c r="BR84" s="1274" t="s">
        <v>99</v>
      </c>
      <c r="BS84" s="1134"/>
      <c r="BT84" s="1134"/>
      <c r="BU84" s="1134"/>
      <c r="BV84" s="1135"/>
      <c r="BW84" s="174"/>
      <c r="BX84" s="174"/>
      <c r="BY84" s="174"/>
      <c r="BZ84" s="174"/>
      <c r="CA84" s="174"/>
      <c r="CB84" s="177"/>
    </row>
    <row r="85" spans="2:80" ht="9.9499999999999993" customHeight="1">
      <c r="B85" s="1"/>
      <c r="C85" s="174"/>
      <c r="D85" s="174"/>
      <c r="E85" s="174"/>
      <c r="F85" s="174"/>
      <c r="G85" s="174"/>
      <c r="H85" s="174"/>
      <c r="I85" s="174"/>
      <c r="J85" s="174"/>
      <c r="K85" s="174"/>
      <c r="L85" s="174"/>
      <c r="M85" s="174"/>
      <c r="N85" s="174"/>
      <c r="O85" s="174"/>
      <c r="P85" s="58"/>
      <c r="Q85" s="109"/>
      <c r="R85" s="766"/>
      <c r="S85" s="767"/>
      <c r="T85" s="767"/>
      <c r="U85" s="767"/>
      <c r="V85" s="767"/>
      <c r="W85" s="767"/>
      <c r="X85" s="767"/>
      <c r="Y85" s="772"/>
      <c r="Z85" s="109"/>
      <c r="AA85" s="60"/>
      <c r="AB85" s="174"/>
      <c r="AC85" s="1139"/>
      <c r="AD85" s="1136"/>
      <c r="AE85" s="1136"/>
      <c r="AF85" s="1136"/>
      <c r="AG85" s="1193"/>
      <c r="AH85" s="1143"/>
      <c r="AI85" s="1089"/>
      <c r="AJ85" s="58"/>
      <c r="AK85" s="109"/>
      <c r="AL85" s="766"/>
      <c r="AM85" s="767"/>
      <c r="AN85" s="767"/>
      <c r="AO85" s="767"/>
      <c r="AP85" s="767"/>
      <c r="AQ85" s="767"/>
      <c r="AR85" s="767"/>
      <c r="AS85" s="772"/>
      <c r="AT85" s="109"/>
      <c r="AU85" s="60"/>
      <c r="AV85" s="1229"/>
      <c r="AW85" s="1131"/>
      <c r="AX85" s="1199"/>
      <c r="AY85" s="1136"/>
      <c r="AZ85" s="1136"/>
      <c r="BA85" s="1136"/>
      <c r="BB85" s="1137"/>
      <c r="BC85" s="174"/>
      <c r="BD85" s="58"/>
      <c r="BE85" s="109"/>
      <c r="BF85" s="766"/>
      <c r="BG85" s="767"/>
      <c r="BH85" s="767"/>
      <c r="BI85" s="767"/>
      <c r="BJ85" s="767"/>
      <c r="BK85" s="767"/>
      <c r="BL85" s="767"/>
      <c r="BM85" s="772"/>
      <c r="BN85" s="109"/>
      <c r="BO85" s="60"/>
      <c r="BP85" s="1082"/>
      <c r="BQ85" s="1223"/>
      <c r="BR85" s="1275"/>
      <c r="BS85" s="1136"/>
      <c r="BT85" s="1136"/>
      <c r="BU85" s="1136"/>
      <c r="BV85" s="1137"/>
      <c r="BW85" s="174"/>
      <c r="BX85" s="174"/>
      <c r="BY85" s="174"/>
      <c r="BZ85" s="174"/>
      <c r="CA85" s="174"/>
      <c r="CB85" s="177"/>
    </row>
    <row r="86" spans="2:80" ht="9.9499999999999993" customHeight="1" thickBot="1">
      <c r="B86" s="1"/>
      <c r="C86" s="174"/>
      <c r="D86" s="174"/>
      <c r="E86" s="174"/>
      <c r="F86" s="174"/>
      <c r="G86" s="174"/>
      <c r="H86" s="174"/>
      <c r="I86" s="174"/>
      <c r="J86" s="174"/>
      <c r="K86" s="174"/>
      <c r="L86" s="174"/>
      <c r="M86" s="174"/>
      <c r="N86" s="174"/>
      <c r="O86" s="174"/>
      <c r="P86" s="58"/>
      <c r="Q86" s="109"/>
      <c r="R86" s="766"/>
      <c r="S86" s="767"/>
      <c r="T86" s="767"/>
      <c r="U86" s="767"/>
      <c r="V86" s="767"/>
      <c r="W86" s="767"/>
      <c r="X86" s="767"/>
      <c r="Y86" s="772"/>
      <c r="Z86" s="109"/>
      <c r="AA86" s="60"/>
      <c r="AB86" s="174"/>
      <c r="AC86" s="1139"/>
      <c r="AD86" s="1136"/>
      <c r="AE86" s="1136"/>
      <c r="AF86" s="1136"/>
      <c r="AG86" s="1193"/>
      <c r="AH86" s="1143"/>
      <c r="AI86" s="1089"/>
      <c r="AJ86" s="58"/>
      <c r="AK86" s="109"/>
      <c r="AL86" s="766"/>
      <c r="AM86" s="767"/>
      <c r="AN86" s="767"/>
      <c r="AO86" s="767"/>
      <c r="AP86" s="767"/>
      <c r="AQ86" s="767"/>
      <c r="AR86" s="767"/>
      <c r="AS86" s="772"/>
      <c r="AT86" s="109"/>
      <c r="AU86" s="60"/>
      <c r="AV86" s="1230"/>
      <c r="AW86" s="1131"/>
      <c r="AX86" s="1199"/>
      <c r="AY86" s="1136"/>
      <c r="AZ86" s="1136"/>
      <c r="BA86" s="1136"/>
      <c r="BB86" s="1137"/>
      <c r="BC86" s="174"/>
      <c r="BD86" s="58"/>
      <c r="BE86" s="109"/>
      <c r="BF86" s="766"/>
      <c r="BG86" s="767"/>
      <c r="BH86" s="767"/>
      <c r="BI86" s="767"/>
      <c r="BJ86" s="767"/>
      <c r="BK86" s="767"/>
      <c r="BL86" s="767"/>
      <c r="BM86" s="772"/>
      <c r="BN86" s="109"/>
      <c r="BO86" s="60"/>
      <c r="BP86" s="1221"/>
      <c r="BQ86" s="1224"/>
      <c r="BR86" s="1276"/>
      <c r="BS86" s="1150"/>
      <c r="BT86" s="1150"/>
      <c r="BU86" s="1150"/>
      <c r="BV86" s="1151"/>
      <c r="BW86" s="174"/>
      <c r="BX86" s="174"/>
      <c r="BY86" s="174"/>
      <c r="BZ86" s="174"/>
      <c r="CA86" s="174"/>
      <c r="CB86" s="177"/>
    </row>
    <row r="87" spans="2:80" ht="9.9499999999999993" customHeight="1">
      <c r="B87" s="1"/>
      <c r="C87" s="174"/>
      <c r="D87" s="174"/>
      <c r="E87" s="174"/>
      <c r="F87" s="174"/>
      <c r="G87" s="174"/>
      <c r="H87" s="174"/>
      <c r="I87" s="1138"/>
      <c r="J87" s="1134"/>
      <c r="K87" s="1134"/>
      <c r="L87" s="1134"/>
      <c r="M87" s="1277" t="s">
        <v>99</v>
      </c>
      <c r="N87" s="1280">
        <f>AH90+AH87+AH84+AH81</f>
        <v>1107</v>
      </c>
      <c r="O87" s="1239">
        <v>2</v>
      </c>
      <c r="P87" s="58"/>
      <c r="Q87" s="109"/>
      <c r="R87" s="833">
        <f>+(N87/O87 +S78/UTAF/R78)</f>
        <v>1300.375</v>
      </c>
      <c r="S87" s="834"/>
      <c r="T87" s="834"/>
      <c r="U87" s="834"/>
      <c r="V87" s="834"/>
      <c r="W87" s="834"/>
      <c r="X87" s="834"/>
      <c r="Y87" s="835"/>
      <c r="Z87" s="109"/>
      <c r="AA87" s="60"/>
      <c r="AB87" s="174"/>
      <c r="AC87" s="1139"/>
      <c r="AD87" s="1136"/>
      <c r="AE87" s="1136"/>
      <c r="AF87" s="1136"/>
      <c r="AG87" s="1193" t="s">
        <v>99</v>
      </c>
      <c r="AH87" s="1143">
        <f>EBT_Master</f>
        <v>0</v>
      </c>
      <c r="AI87" s="1246">
        <f>O87</f>
        <v>2</v>
      </c>
      <c r="AJ87" s="58"/>
      <c r="AK87" s="109"/>
      <c r="AL87" s="833">
        <f>MAX(AP94/AP93, (AS94+AM94+AJ94)/RTAF/AS93, AM79/AM80, (AJ79+AP79+AS79)/RTAF/AJ80) +MAX((AH84+AH81+AH87)/AI87, (AJ94+AW87+AH90)/RTAF/AI90, (AW84+AW87+AW90)/AV84, (AW81+AH84+AS79)/RTAF/AV81)</f>
        <v>3040</v>
      </c>
      <c r="AM87" s="834"/>
      <c r="AN87" s="834"/>
      <c r="AO87" s="834"/>
      <c r="AP87" s="834"/>
      <c r="AQ87" s="834"/>
      <c r="AR87" s="834"/>
      <c r="AS87" s="835"/>
      <c r="AT87" s="109"/>
      <c r="AU87" s="60"/>
      <c r="AV87" s="1002"/>
      <c r="AW87" s="1131">
        <f>WBL_Master</f>
        <v>588</v>
      </c>
      <c r="AX87" s="1199" t="s">
        <v>99</v>
      </c>
      <c r="AY87" s="1136"/>
      <c r="AZ87" s="1136"/>
      <c r="BA87" s="1136"/>
      <c r="BB87" s="1137"/>
      <c r="BC87" s="174"/>
      <c r="BD87" s="58"/>
      <c r="BE87" s="109"/>
      <c r="BF87" s="833">
        <f>+(BQ84/BP84 + BL93/UTAF/BM93)</f>
        <v>1168.375</v>
      </c>
      <c r="BG87" s="834"/>
      <c r="BH87" s="834"/>
      <c r="BI87" s="834"/>
      <c r="BJ87" s="834"/>
      <c r="BK87" s="834"/>
      <c r="BL87" s="834"/>
      <c r="BM87" s="835"/>
      <c r="BN87" s="109"/>
      <c r="BO87" s="60"/>
      <c r="BP87" s="174"/>
      <c r="BQ87" s="174"/>
      <c r="BR87" s="174"/>
      <c r="BS87" s="174"/>
      <c r="BT87" s="174"/>
      <c r="BU87" s="174"/>
      <c r="BV87" s="174"/>
      <c r="BW87" s="174"/>
      <c r="BX87" s="174"/>
      <c r="BY87" s="174"/>
      <c r="BZ87" s="174"/>
      <c r="CA87" s="174"/>
      <c r="CB87" s="177"/>
    </row>
    <row r="88" spans="2:80" ht="9.9499999999999993" customHeight="1">
      <c r="B88" s="1"/>
      <c r="C88" s="174"/>
      <c r="D88" s="174"/>
      <c r="E88" s="174"/>
      <c r="F88" s="174"/>
      <c r="G88" s="174"/>
      <c r="H88" s="174"/>
      <c r="I88" s="1139"/>
      <c r="J88" s="1136"/>
      <c r="K88" s="1136"/>
      <c r="L88" s="1136"/>
      <c r="M88" s="1278"/>
      <c r="N88" s="1281"/>
      <c r="O88" s="1081"/>
      <c r="P88" s="58"/>
      <c r="Q88" s="109"/>
      <c r="R88" s="833"/>
      <c r="S88" s="834"/>
      <c r="T88" s="834"/>
      <c r="U88" s="834"/>
      <c r="V88" s="834"/>
      <c r="W88" s="834"/>
      <c r="X88" s="834"/>
      <c r="Y88" s="835"/>
      <c r="Z88" s="109"/>
      <c r="AA88" s="60"/>
      <c r="AB88" s="174"/>
      <c r="AC88" s="1139"/>
      <c r="AD88" s="1136"/>
      <c r="AE88" s="1136"/>
      <c r="AF88" s="1136"/>
      <c r="AG88" s="1193"/>
      <c r="AH88" s="1143"/>
      <c r="AI88" s="1247"/>
      <c r="AJ88" s="58"/>
      <c r="AK88" s="109"/>
      <c r="AL88" s="833"/>
      <c r="AM88" s="834"/>
      <c r="AN88" s="834"/>
      <c r="AO88" s="834"/>
      <c r="AP88" s="834"/>
      <c r="AQ88" s="834"/>
      <c r="AR88" s="834"/>
      <c r="AS88" s="835"/>
      <c r="AT88" s="109"/>
      <c r="AU88" s="60"/>
      <c r="AV88" s="1003"/>
      <c r="AW88" s="1131"/>
      <c r="AX88" s="1199"/>
      <c r="AY88" s="1136"/>
      <c r="AZ88" s="1136"/>
      <c r="BA88" s="1136"/>
      <c r="BB88" s="1137"/>
      <c r="BC88" s="174"/>
      <c r="BD88" s="58"/>
      <c r="BE88" s="109"/>
      <c r="BF88" s="833"/>
      <c r="BG88" s="834"/>
      <c r="BH88" s="834"/>
      <c r="BI88" s="834"/>
      <c r="BJ88" s="834"/>
      <c r="BK88" s="834"/>
      <c r="BL88" s="834"/>
      <c r="BM88" s="835"/>
      <c r="BN88" s="109"/>
      <c r="BO88" s="60"/>
      <c r="BP88" s="174"/>
      <c r="BQ88" s="174"/>
      <c r="BR88" s="174"/>
      <c r="BS88" s="174"/>
      <c r="BT88" s="174"/>
      <c r="BU88" s="174"/>
      <c r="BV88" s="174"/>
      <c r="BW88" s="174"/>
      <c r="BX88" s="174"/>
      <c r="BY88" s="174"/>
      <c r="BZ88" s="174"/>
      <c r="CA88" s="174"/>
      <c r="CB88" s="177"/>
    </row>
    <row r="89" spans="2:80" ht="9.9499999999999993" customHeight="1" thickBot="1">
      <c r="B89" s="1"/>
      <c r="C89" s="174"/>
      <c r="D89" s="174"/>
      <c r="E89" s="174"/>
      <c r="F89" s="174"/>
      <c r="G89" s="174"/>
      <c r="H89" s="174"/>
      <c r="I89" s="1153"/>
      <c r="J89" s="1150"/>
      <c r="K89" s="1150"/>
      <c r="L89" s="1150"/>
      <c r="M89" s="1279"/>
      <c r="N89" s="1282"/>
      <c r="O89" s="1110"/>
      <c r="P89" s="58"/>
      <c r="Q89" s="109"/>
      <c r="R89" s="836"/>
      <c r="S89" s="837"/>
      <c r="T89" s="837"/>
      <c r="U89" s="837"/>
      <c r="V89" s="837"/>
      <c r="W89" s="837"/>
      <c r="X89" s="837"/>
      <c r="Y89" s="838"/>
      <c r="Z89" s="109"/>
      <c r="AA89" s="60"/>
      <c r="AB89" s="174"/>
      <c r="AC89" s="1139"/>
      <c r="AD89" s="1136"/>
      <c r="AE89" s="1136"/>
      <c r="AF89" s="1136"/>
      <c r="AG89" s="1193"/>
      <c r="AH89" s="1143"/>
      <c r="AI89" s="1248"/>
      <c r="AJ89" s="58"/>
      <c r="AK89" s="109"/>
      <c r="AL89" s="836"/>
      <c r="AM89" s="837"/>
      <c r="AN89" s="837"/>
      <c r="AO89" s="837"/>
      <c r="AP89" s="837"/>
      <c r="AQ89" s="837"/>
      <c r="AR89" s="837"/>
      <c r="AS89" s="838"/>
      <c r="AT89" s="109"/>
      <c r="AU89" s="60"/>
      <c r="AV89" s="1009"/>
      <c r="AW89" s="1131"/>
      <c r="AX89" s="1199"/>
      <c r="AY89" s="1136"/>
      <c r="AZ89" s="1136"/>
      <c r="BA89" s="1136"/>
      <c r="BB89" s="1137"/>
      <c r="BC89" s="174"/>
      <c r="BD89" s="58"/>
      <c r="BE89" s="109"/>
      <c r="BF89" s="836"/>
      <c r="BG89" s="837"/>
      <c r="BH89" s="837"/>
      <c r="BI89" s="837"/>
      <c r="BJ89" s="837"/>
      <c r="BK89" s="837"/>
      <c r="BL89" s="837"/>
      <c r="BM89" s="838"/>
      <c r="BN89" s="109"/>
      <c r="BO89" s="60"/>
      <c r="BP89" s="174"/>
      <c r="BQ89" s="174"/>
      <c r="BR89" s="174"/>
      <c r="BS89" s="174"/>
      <c r="BT89" s="174"/>
      <c r="BU89" s="174"/>
      <c r="BV89" s="174"/>
      <c r="BW89" s="174"/>
      <c r="BX89" s="174"/>
      <c r="BY89" s="174"/>
      <c r="BZ89" s="174"/>
      <c r="CA89" s="174"/>
      <c r="CB89" s="177"/>
    </row>
    <row r="90" spans="2:80" ht="9.9499999999999993" customHeight="1">
      <c r="B90" s="1"/>
      <c r="C90" s="174"/>
      <c r="D90" s="174"/>
      <c r="E90" s="174"/>
      <c r="F90" s="174"/>
      <c r="G90" s="174"/>
      <c r="H90" s="174"/>
      <c r="I90" s="174"/>
      <c r="J90" s="174"/>
      <c r="K90" s="174"/>
      <c r="L90" s="174"/>
      <c r="M90" s="174"/>
      <c r="N90" s="174"/>
      <c r="O90" s="174"/>
      <c r="P90" s="58"/>
      <c r="Q90" s="109"/>
      <c r="R90" s="109"/>
      <c r="S90" s="109"/>
      <c r="T90" s="109"/>
      <c r="U90" s="109"/>
      <c r="V90" s="109"/>
      <c r="W90" s="109"/>
      <c r="X90" s="109"/>
      <c r="Y90" s="109"/>
      <c r="Z90" s="109"/>
      <c r="AA90" s="60"/>
      <c r="AB90" s="174"/>
      <c r="AC90" s="1139"/>
      <c r="AD90" s="1136"/>
      <c r="AE90" s="1136"/>
      <c r="AF90" s="1136"/>
      <c r="AG90" s="1193" t="s">
        <v>99</v>
      </c>
      <c r="AH90" s="1143">
        <f>EBR_Master</f>
        <v>208</v>
      </c>
      <c r="AI90" s="1081">
        <v>1</v>
      </c>
      <c r="AJ90" s="58"/>
      <c r="AK90" s="109"/>
      <c r="AL90" s="109"/>
      <c r="AM90" s="109"/>
      <c r="AN90" s="109"/>
      <c r="AO90" s="109"/>
      <c r="AP90" s="109"/>
      <c r="AQ90" s="109"/>
      <c r="AR90" s="109"/>
      <c r="AS90" s="109"/>
      <c r="AT90" s="109"/>
      <c r="AU90" s="60"/>
      <c r="AV90" s="1002"/>
      <c r="AW90" s="1131">
        <f>WBU_Master</f>
        <v>0</v>
      </c>
      <c r="AX90" s="1199" t="s">
        <v>99</v>
      </c>
      <c r="AY90" s="1136"/>
      <c r="AZ90" s="1136"/>
      <c r="BA90" s="1136"/>
      <c r="BB90" s="1137"/>
      <c r="BC90" s="174"/>
      <c r="BD90" s="58"/>
      <c r="BE90" s="109"/>
      <c r="BF90" s="109"/>
      <c r="BG90" s="109"/>
      <c r="BH90" s="109"/>
      <c r="BI90" s="109"/>
      <c r="BJ90" s="109"/>
      <c r="BK90" s="109"/>
      <c r="BL90" s="109"/>
      <c r="BM90" s="109"/>
      <c r="BN90" s="109"/>
      <c r="BO90" s="60"/>
      <c r="BP90" s="174"/>
      <c r="BQ90" s="174"/>
      <c r="BR90" s="174"/>
      <c r="BS90" s="174"/>
      <c r="BT90" s="174"/>
      <c r="BU90" s="174"/>
      <c r="BV90" s="174"/>
      <c r="BW90" s="174"/>
      <c r="BX90" s="174"/>
      <c r="BY90" s="174"/>
      <c r="BZ90" s="174"/>
      <c r="CA90" s="174"/>
      <c r="CB90" s="177"/>
    </row>
    <row r="91" spans="2:80" ht="9.9499999999999993" customHeight="1">
      <c r="B91" s="1"/>
      <c r="C91" s="174"/>
      <c r="D91" s="174"/>
      <c r="E91" s="174"/>
      <c r="F91" s="174"/>
      <c r="G91" s="174"/>
      <c r="H91" s="174"/>
      <c r="I91" s="174"/>
      <c r="J91" s="174"/>
      <c r="K91" s="174"/>
      <c r="L91" s="174"/>
      <c r="M91" s="174"/>
      <c r="N91" s="174"/>
      <c r="O91" s="174"/>
      <c r="P91" s="58"/>
      <c r="Q91" s="109"/>
      <c r="R91" s="109"/>
      <c r="S91" s="109"/>
      <c r="T91" s="109"/>
      <c r="U91" s="109"/>
      <c r="V91" s="109"/>
      <c r="W91" s="109"/>
      <c r="X91" s="109"/>
      <c r="Y91" s="109"/>
      <c r="Z91" s="109"/>
      <c r="AA91" s="60"/>
      <c r="AB91" s="174"/>
      <c r="AC91" s="1139"/>
      <c r="AD91" s="1136"/>
      <c r="AE91" s="1136"/>
      <c r="AF91" s="1136"/>
      <c r="AG91" s="1193"/>
      <c r="AH91" s="1143"/>
      <c r="AI91" s="1081"/>
      <c r="AJ91" s="58"/>
      <c r="AK91" s="109"/>
      <c r="AL91" s="109"/>
      <c r="AM91" s="109"/>
      <c r="AN91" s="109"/>
      <c r="AO91" s="109"/>
      <c r="AP91" s="109"/>
      <c r="AQ91" s="109"/>
      <c r="AR91" s="109"/>
      <c r="AS91" s="109"/>
      <c r="AT91" s="109"/>
      <c r="AU91" s="60"/>
      <c r="AV91" s="1003"/>
      <c r="AW91" s="1131"/>
      <c r="AX91" s="1199"/>
      <c r="AY91" s="1136"/>
      <c r="AZ91" s="1136"/>
      <c r="BA91" s="1136"/>
      <c r="BB91" s="1137"/>
      <c r="BC91" s="174"/>
      <c r="BD91" s="58"/>
      <c r="BE91" s="109"/>
      <c r="BF91" s="109"/>
      <c r="BG91" s="109"/>
      <c r="BH91" s="109"/>
      <c r="BI91" s="109"/>
      <c r="BJ91" s="109"/>
      <c r="BK91" s="109"/>
      <c r="BL91" s="109"/>
      <c r="BM91" s="109"/>
      <c r="BN91" s="109"/>
      <c r="BO91" s="60"/>
      <c r="BP91" s="174"/>
      <c r="BQ91" s="174"/>
      <c r="BR91" s="174"/>
      <c r="BS91" s="174"/>
      <c r="BT91" s="174"/>
      <c r="BU91" s="174"/>
      <c r="BV91" s="174"/>
      <c r="BW91" s="174"/>
      <c r="BX91" s="174"/>
      <c r="BY91" s="174"/>
      <c r="BZ91" s="174"/>
      <c r="CA91" s="174"/>
      <c r="CB91" s="177"/>
    </row>
    <row r="92" spans="2:80" ht="9.9499999999999993" customHeight="1" thickBot="1">
      <c r="B92" s="1"/>
      <c r="C92" s="174"/>
      <c r="D92" s="174"/>
      <c r="E92" s="174"/>
      <c r="F92" s="174"/>
      <c r="G92" s="174"/>
      <c r="H92" s="174"/>
      <c r="I92" s="174"/>
      <c r="J92" s="174"/>
      <c r="K92" s="174"/>
      <c r="L92" s="174"/>
      <c r="M92" s="174"/>
      <c r="N92" s="174"/>
      <c r="O92" s="174"/>
      <c r="P92" s="61"/>
      <c r="Q92" s="110"/>
      <c r="R92" s="110"/>
      <c r="S92" s="110"/>
      <c r="T92" s="110"/>
      <c r="U92" s="110"/>
      <c r="V92" s="110"/>
      <c r="W92" s="110"/>
      <c r="X92" s="110"/>
      <c r="Y92" s="110"/>
      <c r="Z92" s="110"/>
      <c r="AA92" s="63"/>
      <c r="AB92" s="174"/>
      <c r="AC92" s="1153"/>
      <c r="AD92" s="1150"/>
      <c r="AE92" s="1150"/>
      <c r="AF92" s="1150"/>
      <c r="AG92" s="1197"/>
      <c r="AH92" s="1155"/>
      <c r="AI92" s="1110"/>
      <c r="AJ92" s="61"/>
      <c r="AK92" s="110"/>
      <c r="AL92" s="110"/>
      <c r="AM92" s="110"/>
      <c r="AN92" s="110"/>
      <c r="AO92" s="110"/>
      <c r="AP92" s="110"/>
      <c r="AQ92" s="110"/>
      <c r="AR92" s="110"/>
      <c r="AS92" s="110"/>
      <c r="AT92" s="110"/>
      <c r="AU92" s="63"/>
      <c r="AV92" s="1004"/>
      <c r="AW92" s="1156"/>
      <c r="AX92" s="1200"/>
      <c r="AY92" s="1150"/>
      <c r="AZ92" s="1150"/>
      <c r="BA92" s="1150"/>
      <c r="BB92" s="1151"/>
      <c r="BC92" s="174"/>
      <c r="BD92" s="61"/>
      <c r="BE92" s="110"/>
      <c r="BF92" s="110"/>
      <c r="BG92" s="110"/>
      <c r="BH92" s="110"/>
      <c r="BI92" s="110"/>
      <c r="BJ92" s="110"/>
      <c r="BK92" s="110"/>
      <c r="BL92" s="110"/>
      <c r="BM92" s="110"/>
      <c r="BN92" s="110"/>
      <c r="BO92" s="63"/>
      <c r="BP92" s="174"/>
      <c r="BQ92" s="174"/>
      <c r="BR92" s="174"/>
      <c r="BS92" s="174"/>
      <c r="BT92" s="174"/>
      <c r="BU92" s="174"/>
      <c r="BV92" s="174"/>
      <c r="BW92" s="174"/>
      <c r="BX92" s="174"/>
      <c r="BY92" s="174"/>
      <c r="BZ92" s="174"/>
      <c r="CA92" s="174"/>
      <c r="CB92" s="177"/>
    </row>
    <row r="93" spans="2:80" ht="9.9499999999999993" customHeight="1">
      <c r="B93" s="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120"/>
      <c r="AK93" s="1121"/>
      <c r="AL93" s="1121"/>
      <c r="AM93" s="1121"/>
      <c r="AN93" s="1121"/>
      <c r="AO93" s="1121"/>
      <c r="AP93" s="1040">
        <v>2</v>
      </c>
      <c r="AQ93" s="1040"/>
      <c r="AR93" s="1040"/>
      <c r="AS93" s="1040">
        <v>1</v>
      </c>
      <c r="AT93" s="1040"/>
      <c r="AU93" s="1041"/>
      <c r="AV93" s="174"/>
      <c r="AW93" s="174"/>
      <c r="AX93" s="174"/>
      <c r="AY93" s="174"/>
      <c r="AZ93" s="174"/>
      <c r="BA93" s="174"/>
      <c r="BB93" s="174"/>
      <c r="BC93" s="174"/>
      <c r="BD93" s="174"/>
      <c r="BE93" s="174"/>
      <c r="BF93" s="174"/>
      <c r="BG93" s="1138"/>
      <c r="BH93" s="1134"/>
      <c r="BI93" s="1134"/>
      <c r="BJ93" s="1134"/>
      <c r="BK93" s="1233" t="s">
        <v>99</v>
      </c>
      <c r="BL93" s="1236">
        <f>AJ94+AM94+AH84+AH81+AS79</f>
        <v>899</v>
      </c>
      <c r="BM93" s="1239">
        <v>2</v>
      </c>
      <c r="BN93" s="174"/>
      <c r="BO93" s="174"/>
      <c r="BP93" s="174"/>
      <c r="BQ93" s="174"/>
      <c r="BR93" s="174"/>
      <c r="BS93" s="174"/>
      <c r="BT93" s="174"/>
      <c r="BU93" s="174"/>
      <c r="BV93" s="174"/>
      <c r="BW93" s="174"/>
      <c r="BX93" s="174"/>
      <c r="BY93" s="174"/>
      <c r="BZ93" s="174"/>
      <c r="CA93" s="174"/>
      <c r="CB93" s="177"/>
    </row>
    <row r="94" spans="2:80" ht="9.9499999999999993" customHeigh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168">
        <f>NBU_Master</f>
        <v>0</v>
      </c>
      <c r="AK94" s="1169"/>
      <c r="AL94" s="1169"/>
      <c r="AM94" s="1169">
        <f>NBL_Master</f>
        <v>0</v>
      </c>
      <c r="AN94" s="1169"/>
      <c r="AO94" s="1169"/>
      <c r="AP94" s="1169">
        <f>NBT_Master</f>
        <v>1260</v>
      </c>
      <c r="AQ94" s="1169"/>
      <c r="AR94" s="1169"/>
      <c r="AS94" s="1169">
        <f>NBR_Master</f>
        <v>1060</v>
      </c>
      <c r="AT94" s="1169"/>
      <c r="AU94" s="1170"/>
      <c r="AV94" s="174"/>
      <c r="AW94" s="174"/>
      <c r="AX94" s="174"/>
      <c r="AY94" s="174"/>
      <c r="AZ94" s="174"/>
      <c r="BA94" s="174"/>
      <c r="BB94" s="174"/>
      <c r="BC94" s="174"/>
      <c r="BD94" s="174"/>
      <c r="BE94" s="174"/>
      <c r="BF94" s="174"/>
      <c r="BG94" s="1139"/>
      <c r="BH94" s="1136"/>
      <c r="BI94" s="1136"/>
      <c r="BJ94" s="1136"/>
      <c r="BK94" s="1234"/>
      <c r="BL94" s="1237"/>
      <c r="BM94" s="1081"/>
      <c r="BN94" s="174"/>
      <c r="BO94" s="174"/>
      <c r="BP94" s="174"/>
      <c r="BQ94" s="174"/>
      <c r="BR94" s="174"/>
      <c r="BS94" s="174"/>
      <c r="BT94" s="174"/>
      <c r="BU94" s="174"/>
      <c r="BV94" s="174"/>
      <c r="BW94" s="174"/>
      <c r="BX94" s="174"/>
      <c r="BY94" s="174"/>
      <c r="BZ94" s="174"/>
      <c r="CA94" s="174"/>
      <c r="CB94" s="177"/>
    </row>
    <row r="95" spans="2:80" ht="9.9499999999999993" customHeight="1" thickBo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152" t="s">
        <v>99</v>
      </c>
      <c r="AK95" s="1125"/>
      <c r="AL95" s="1125"/>
      <c r="AM95" s="1125" t="s">
        <v>99</v>
      </c>
      <c r="AN95" s="1125"/>
      <c r="AO95" s="1125"/>
      <c r="AP95" s="1125" t="s">
        <v>99</v>
      </c>
      <c r="AQ95" s="1125"/>
      <c r="AR95" s="1125"/>
      <c r="AS95" s="1125" t="s">
        <v>99</v>
      </c>
      <c r="AT95" s="1125"/>
      <c r="AU95" s="1126"/>
      <c r="AV95" s="174"/>
      <c r="AW95" s="174"/>
      <c r="AX95" s="174"/>
      <c r="AY95" s="174"/>
      <c r="AZ95" s="174"/>
      <c r="BA95" s="174"/>
      <c r="BB95" s="174"/>
      <c r="BC95" s="174"/>
      <c r="BD95" s="174"/>
      <c r="BE95" s="174"/>
      <c r="BF95" s="174"/>
      <c r="BG95" s="1153"/>
      <c r="BH95" s="1150"/>
      <c r="BI95" s="1150"/>
      <c r="BJ95" s="1150"/>
      <c r="BK95" s="1235"/>
      <c r="BL95" s="1238"/>
      <c r="BM95" s="1110"/>
      <c r="BN95" s="174"/>
      <c r="BO95" s="174"/>
      <c r="BP95" s="174"/>
      <c r="BQ95" s="174"/>
      <c r="BR95" s="174"/>
      <c r="BS95" s="174"/>
      <c r="BT95" s="174"/>
      <c r="BU95" s="174"/>
      <c r="BV95" s="174"/>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099"/>
      <c r="AK96" s="1068"/>
      <c r="AL96" s="1068"/>
      <c r="AM96" s="1068"/>
      <c r="AN96" s="1068"/>
      <c r="AO96" s="1068"/>
      <c r="AP96" s="1068"/>
      <c r="AQ96" s="1068"/>
      <c r="AR96" s="1068"/>
      <c r="AS96" s="1068"/>
      <c r="AT96" s="1068"/>
      <c r="AU96" s="1069"/>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099"/>
      <c r="AK97" s="1068"/>
      <c r="AL97" s="1068"/>
      <c r="AM97" s="1068"/>
      <c r="AN97" s="1068"/>
      <c r="AO97" s="1068"/>
      <c r="AP97" s="1068"/>
      <c r="AQ97" s="1068"/>
      <c r="AR97" s="1068"/>
      <c r="AS97" s="1068"/>
      <c r="AT97" s="1068"/>
      <c r="AU97" s="1069"/>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099"/>
      <c r="AK98" s="1068"/>
      <c r="AL98" s="1068"/>
      <c r="AM98" s="1068"/>
      <c r="AN98" s="1068"/>
      <c r="AO98" s="1068"/>
      <c r="AP98" s="1068"/>
      <c r="AQ98" s="1068"/>
      <c r="AR98" s="1068"/>
      <c r="AS98" s="1068"/>
      <c r="AT98" s="1068"/>
      <c r="AU98" s="1069"/>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7"/>
    </row>
    <row r="99" spans="2:80" ht="9.9499999999999993" customHeight="1" thickBo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167"/>
      <c r="AK99" s="1070"/>
      <c r="AL99" s="1070"/>
      <c r="AM99" s="1070"/>
      <c r="AN99" s="1070"/>
      <c r="AO99" s="1070"/>
      <c r="AP99" s="1070"/>
      <c r="AQ99" s="1070"/>
      <c r="AR99" s="1070"/>
      <c r="AS99" s="1070"/>
      <c r="AT99" s="1070"/>
      <c r="AU99" s="1071"/>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7"/>
    </row>
    <row r="102" spans="2:80" ht="9.9499999999999993" customHeigh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115">
    <mergeCell ref="AJ96:AL99"/>
    <mergeCell ref="AM96:AO99"/>
    <mergeCell ref="AP96:AR99"/>
    <mergeCell ref="AS96:AU99"/>
    <mergeCell ref="BL93:BL95"/>
    <mergeCell ref="BM93:BM95"/>
    <mergeCell ref="AJ94:AL94"/>
    <mergeCell ref="AM94:AO94"/>
    <mergeCell ref="AP94:AR94"/>
    <mergeCell ref="AS94:AU94"/>
    <mergeCell ref="AJ95:AL95"/>
    <mergeCell ref="AM95:AO95"/>
    <mergeCell ref="AP95:AR95"/>
    <mergeCell ref="AS95:AU95"/>
    <mergeCell ref="AJ93:AL93"/>
    <mergeCell ref="AM93:AO93"/>
    <mergeCell ref="AP93:AR93"/>
    <mergeCell ref="AS93:AU93"/>
    <mergeCell ref="BG93:BJ95"/>
    <mergeCell ref="BK93:BK95"/>
    <mergeCell ref="AC90:AF92"/>
    <mergeCell ref="AG90:AG92"/>
    <mergeCell ref="AH90:AH92"/>
    <mergeCell ref="AI90:AI92"/>
    <mergeCell ref="AV90:AV92"/>
    <mergeCell ref="AW90:AW92"/>
    <mergeCell ref="AX90:AX92"/>
    <mergeCell ref="AY90:BB92"/>
    <mergeCell ref="AH87:AH89"/>
    <mergeCell ref="AI87:AI89"/>
    <mergeCell ref="AL87:AS89"/>
    <mergeCell ref="AV87:AV89"/>
    <mergeCell ref="AW87:AW89"/>
    <mergeCell ref="AX87:AX89"/>
    <mergeCell ref="BQ84:BQ86"/>
    <mergeCell ref="BR84:BR86"/>
    <mergeCell ref="BS84:BV86"/>
    <mergeCell ref="I87:L89"/>
    <mergeCell ref="M87:M89"/>
    <mergeCell ref="N87:N89"/>
    <mergeCell ref="O87:O89"/>
    <mergeCell ref="R87:Y89"/>
    <mergeCell ref="AC87:AF89"/>
    <mergeCell ref="AG87:AG89"/>
    <mergeCell ref="AV84:AV86"/>
    <mergeCell ref="AW84:AW86"/>
    <mergeCell ref="AX84:AX86"/>
    <mergeCell ref="AY84:BB86"/>
    <mergeCell ref="BF84:BM86"/>
    <mergeCell ref="BP84:BP86"/>
    <mergeCell ref="AY87:BB89"/>
    <mergeCell ref="BF87:BM89"/>
    <mergeCell ref="AV81:AV83"/>
    <mergeCell ref="AW81:AW83"/>
    <mergeCell ref="AX81:AX83"/>
    <mergeCell ref="AY81:BB83"/>
    <mergeCell ref="R84:Y86"/>
    <mergeCell ref="AC84:AF86"/>
    <mergeCell ref="AG84:AG86"/>
    <mergeCell ref="AH84:AH86"/>
    <mergeCell ref="AI84:AI86"/>
    <mergeCell ref="AL84:AS86"/>
    <mergeCell ref="AC81:AF83"/>
    <mergeCell ref="AG81:AG83"/>
    <mergeCell ref="AH81:AH83"/>
    <mergeCell ref="AI81:AI83"/>
    <mergeCell ref="AS79:AU79"/>
    <mergeCell ref="R78:R80"/>
    <mergeCell ref="S78:S80"/>
    <mergeCell ref="T78:T80"/>
    <mergeCell ref="U78:X80"/>
    <mergeCell ref="AJ78:AL78"/>
    <mergeCell ref="AM78:AO78"/>
    <mergeCell ref="AJ80:AL80"/>
    <mergeCell ref="AM80:AO80"/>
    <mergeCell ref="W55:BF55"/>
    <mergeCell ref="BP8:BU9"/>
    <mergeCell ref="BV8:CA9"/>
    <mergeCell ref="BD10:BO13"/>
    <mergeCell ref="BP10:CA13"/>
    <mergeCell ref="F25:J27"/>
    <mergeCell ref="K25:O27"/>
    <mergeCell ref="AK25:AO27"/>
    <mergeCell ref="AP25:AT27"/>
    <mergeCell ref="BP25:BT27"/>
    <mergeCell ref="BU25:BY27"/>
    <mergeCell ref="F22:O24"/>
    <mergeCell ref="AK22:AT24"/>
    <mergeCell ref="BP22:BY24"/>
    <mergeCell ref="C12:J13"/>
    <mergeCell ref="K12:BC13"/>
    <mergeCell ref="AJ74:AL77"/>
    <mergeCell ref="AM74:AO77"/>
    <mergeCell ref="AP74:AR77"/>
    <mergeCell ref="AS74:AU77"/>
    <mergeCell ref="AP80:AR80"/>
    <mergeCell ref="AS80:AU80"/>
    <mergeCell ref="B1:CB2"/>
    <mergeCell ref="B3:CB4"/>
    <mergeCell ref="C6:J7"/>
    <mergeCell ref="K6:BC7"/>
    <mergeCell ref="B57:CB58"/>
    <mergeCell ref="C8:J9"/>
    <mergeCell ref="K8:BC9"/>
    <mergeCell ref="C10:J11"/>
    <mergeCell ref="K10:BC11"/>
    <mergeCell ref="BD6:CA7"/>
    <mergeCell ref="BD8:BI9"/>
    <mergeCell ref="BJ8:BO9"/>
    <mergeCell ref="B59:CB60"/>
    <mergeCell ref="AP78:AR78"/>
    <mergeCell ref="AS78:AU78"/>
    <mergeCell ref="AJ79:AL79"/>
    <mergeCell ref="AM79:AO79"/>
    <mergeCell ref="AP79:AR79"/>
  </mergeCells>
  <conditionalFormatting sqref="F22 AK22 BP22 R87 AL87 BF87">
    <cfRule type="cellIs" dxfId="127" priority="20" operator="between">
      <formula>0.75*CLV_Limit</formula>
      <formula>0.875*CLV_Limit-1</formula>
    </cfRule>
    <cfRule type="cellIs" dxfId="126" priority="21" operator="between">
      <formula>0.875*CLV_Limit</formula>
      <formula>CLV_Limit-1</formula>
    </cfRule>
    <cfRule type="cellIs" dxfId="125" priority="22" operator="greaterThanOrEqual">
      <formula>CLV_Limit</formula>
    </cfRule>
  </conditionalFormatting>
  <conditionalFormatting sqref="BP10 F25 AK25 BP25">
    <cfRule type="cellIs" dxfId="124" priority="10" operator="between">
      <formula>0.75</formula>
      <formula>0.875</formula>
    </cfRule>
    <cfRule type="cellIs" dxfId="123" priority="11" operator="between">
      <formula>0.875</formula>
      <formula>1</formula>
    </cfRule>
    <cfRule type="cellIs" dxfId="122" priority="12"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9" tint="0.39997558519241921"/>
  </sheetPr>
  <dimension ref="A1:HL157"/>
  <sheetViews>
    <sheetView showGridLines="0" showRowColHeaders="0" zoomScale="90" zoomScaleNormal="90" zoomScalePageLayoutView="85" workbookViewId="0">
      <selection activeCell="CU17" sqref="CU17:CW17"/>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5703125" customWidth="1"/>
    <col min="125" max="220" width="1.7109375" hidden="1" customWidth="1"/>
    <col min="221" max="16384" width="9.140625" hidden="1"/>
  </cols>
  <sheetData>
    <row r="1" spans="2:123" ht="9.9499999999999993" customHeight="1">
      <c r="B1" s="571" t="s">
        <v>123</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124</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096"/>
      <c r="CM7" s="1097"/>
      <c r="CN7" s="1098"/>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099"/>
      <c r="CM8" s="1068"/>
      <c r="CN8" s="1069"/>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099"/>
      <c r="CM9" s="1068"/>
      <c r="CN9" s="1069"/>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MAX(ROUND(AM24/CLV_Limit,2),ROUND(AT41/CLV_Limit,2),ROUND(AM59/CLV_Limit,2))</f>
        <v>1.79</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099"/>
      <c r="CM10" s="1068"/>
      <c r="CN10" s="1069"/>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065" t="s">
        <v>99</v>
      </c>
      <c r="CM11" s="1066"/>
      <c r="CN11" s="1067"/>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203">
        <f>CI32+CL32+CO32+CR32</f>
        <v>2054</v>
      </c>
      <c r="CM12" s="1204"/>
      <c r="CN12" s="1205"/>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928">
        <v>2</v>
      </c>
      <c r="CM13" s="929"/>
      <c r="CN13" s="930"/>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56"/>
      <c r="CJ14" s="175"/>
      <c r="CK14" s="175"/>
      <c r="CL14" s="175"/>
      <c r="CM14" s="175"/>
      <c r="CN14" s="175"/>
      <c r="CO14" s="175"/>
      <c r="CP14" s="175"/>
      <c r="CQ14" s="175"/>
      <c r="CR14" s="175"/>
      <c r="CS14" s="175"/>
      <c r="CT14" s="176"/>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58"/>
      <c r="CJ15" s="109"/>
      <c r="CK15" s="109"/>
      <c r="CL15" s="109"/>
      <c r="CM15" s="109"/>
      <c r="CN15" s="109"/>
      <c r="CO15" s="109"/>
      <c r="CP15" s="109"/>
      <c r="CQ15" s="109"/>
      <c r="CR15" s="109"/>
      <c r="CS15" s="109"/>
      <c r="CT15" s="60"/>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58"/>
      <c r="CJ16" s="109"/>
      <c r="CK16" s="109"/>
      <c r="CL16" s="109"/>
      <c r="CM16" s="109"/>
      <c r="CN16" s="109"/>
      <c r="CO16" s="109"/>
      <c r="CP16" s="109"/>
      <c r="CQ16" s="109"/>
      <c r="CR16" s="109"/>
      <c r="CS16" s="109"/>
      <c r="CT16" s="60"/>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58"/>
      <c r="CJ17" s="109"/>
      <c r="CK17" s="763"/>
      <c r="CL17" s="764"/>
      <c r="CM17" s="764"/>
      <c r="CN17" s="764"/>
      <c r="CO17" s="764"/>
      <c r="CP17" s="764"/>
      <c r="CQ17" s="764"/>
      <c r="CR17" s="771"/>
      <c r="CS17" s="109"/>
      <c r="CT17" s="60"/>
      <c r="CU17" s="1039">
        <v>1</v>
      </c>
      <c r="CV17" s="1040"/>
      <c r="CW17" s="1041"/>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58"/>
      <c r="CJ18" s="109"/>
      <c r="CK18" s="766"/>
      <c r="CL18" s="767"/>
      <c r="CM18" s="767"/>
      <c r="CN18" s="767"/>
      <c r="CO18" s="767"/>
      <c r="CP18" s="767"/>
      <c r="CQ18" s="767"/>
      <c r="CR18" s="772"/>
      <c r="CS18" s="109"/>
      <c r="CT18" s="60"/>
      <c r="CU18" s="1189">
        <f>CG34+CL47+CI47</f>
        <v>0</v>
      </c>
      <c r="CV18" s="1190"/>
      <c r="CW18" s="1191"/>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4"/>
      <c r="AT19" s="174"/>
      <c r="AU19" s="174"/>
      <c r="AV19" s="174"/>
      <c r="AW19" s="174"/>
      <c r="AX19" s="174"/>
      <c r="AY19" s="174"/>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58"/>
      <c r="CJ19" s="109"/>
      <c r="CK19" s="766"/>
      <c r="CL19" s="767"/>
      <c r="CM19" s="767"/>
      <c r="CN19" s="767"/>
      <c r="CO19" s="767"/>
      <c r="CP19" s="767"/>
      <c r="CQ19" s="767"/>
      <c r="CR19" s="772"/>
      <c r="CS19" s="109"/>
      <c r="CT19" s="60"/>
      <c r="CU19" s="1065" t="s">
        <v>99</v>
      </c>
      <c r="CV19" s="1066"/>
      <c r="CW19" s="1067"/>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4"/>
      <c r="AT20" s="174"/>
      <c r="AU20" s="174"/>
      <c r="AV20" s="174"/>
      <c r="AW20" s="174"/>
      <c r="AX20" s="174"/>
      <c r="AY20" s="174"/>
      <c r="AZ20" s="174"/>
      <c r="BA20" s="174"/>
      <c r="BB20" s="174"/>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58"/>
      <c r="CJ20" s="109"/>
      <c r="CK20" s="833">
        <f>+(CL12/CL13 + CU18/UTAF/CU17)</f>
        <v>1027</v>
      </c>
      <c r="CL20" s="834"/>
      <c r="CM20" s="834"/>
      <c r="CN20" s="834"/>
      <c r="CO20" s="834"/>
      <c r="CP20" s="834"/>
      <c r="CQ20" s="834"/>
      <c r="CR20" s="835"/>
      <c r="CS20" s="109"/>
      <c r="CT20" s="60"/>
      <c r="CU20" s="766"/>
      <c r="CV20" s="767"/>
      <c r="CW20" s="772"/>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4"/>
      <c r="AT21" s="174"/>
      <c r="AU21" s="174"/>
      <c r="AV21" s="174"/>
      <c r="AW21" s="174"/>
      <c r="AX21" s="174"/>
      <c r="AY21" s="174"/>
      <c r="AZ21" s="174"/>
      <c r="BA21" s="174"/>
      <c r="BB21" s="174"/>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58"/>
      <c r="CJ21" s="109"/>
      <c r="CK21" s="833"/>
      <c r="CL21" s="834"/>
      <c r="CM21" s="834"/>
      <c r="CN21" s="834"/>
      <c r="CO21" s="834"/>
      <c r="CP21" s="834"/>
      <c r="CQ21" s="834"/>
      <c r="CR21" s="835"/>
      <c r="CS21" s="109"/>
      <c r="CT21" s="60"/>
      <c r="CU21" s="766"/>
      <c r="CV21" s="767"/>
      <c r="CW21" s="772"/>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4"/>
      <c r="AT22" s="174"/>
      <c r="AU22" s="174"/>
      <c r="AV22" s="174"/>
      <c r="AW22" s="174"/>
      <c r="AX22" s="174"/>
      <c r="AY22" s="174"/>
      <c r="AZ22" s="174"/>
      <c r="BA22" s="174"/>
      <c r="BB22" s="174"/>
      <c r="BC22" s="174"/>
      <c r="BD22" s="27"/>
      <c r="BE22" s="27"/>
      <c r="BF22" s="27"/>
      <c r="BG22" s="174"/>
      <c r="BH22" s="174"/>
      <c r="BI22" s="177"/>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58"/>
      <c r="CJ22" s="109"/>
      <c r="CK22" s="836"/>
      <c r="CL22" s="837"/>
      <c r="CM22" s="837"/>
      <c r="CN22" s="837"/>
      <c r="CO22" s="837"/>
      <c r="CP22" s="837"/>
      <c r="CQ22" s="837"/>
      <c r="CR22" s="838"/>
      <c r="CS22" s="109"/>
      <c r="CT22" s="60"/>
      <c r="CU22" s="766"/>
      <c r="CV22" s="767"/>
      <c r="CW22" s="772"/>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74"/>
      <c r="AU23" s="174"/>
      <c r="AV23" s="174"/>
      <c r="AW23" s="174"/>
      <c r="AX23" s="174"/>
      <c r="AY23" s="174"/>
      <c r="AZ23" s="174"/>
      <c r="BA23" s="174"/>
      <c r="BB23" s="174"/>
      <c r="BC23" s="174"/>
      <c r="BD23" s="174"/>
      <c r="BE23" s="174"/>
      <c r="BF23" s="174"/>
      <c r="BG23" s="14"/>
      <c r="BH23" s="174"/>
      <c r="BI23" s="177"/>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58"/>
      <c r="CJ23" s="109"/>
      <c r="CK23" s="109"/>
      <c r="CL23" s="109"/>
      <c r="CM23" s="109"/>
      <c r="CN23" s="109"/>
      <c r="CO23" s="109"/>
      <c r="CP23" s="109"/>
      <c r="CQ23" s="109"/>
      <c r="CR23" s="109"/>
      <c r="CS23" s="109"/>
      <c r="CT23" s="60"/>
      <c r="CU23" s="849"/>
      <c r="CV23" s="705"/>
      <c r="CW23" s="852"/>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728">
        <f>CK20</f>
        <v>1027</v>
      </c>
      <c r="AN24" s="861"/>
      <c r="AO24" s="861"/>
      <c r="AP24" s="861"/>
      <c r="AQ24" s="861"/>
      <c r="AR24" s="861"/>
      <c r="AS24" s="861"/>
      <c r="AT24" s="861"/>
      <c r="AU24" s="861"/>
      <c r="AV24" s="862"/>
      <c r="AW24" s="174"/>
      <c r="AX24" s="174"/>
      <c r="AY24" s="174"/>
      <c r="AZ24" s="174"/>
      <c r="BA24" s="174"/>
      <c r="BB24" s="174"/>
      <c r="BC24" s="174"/>
      <c r="BD24" s="174"/>
      <c r="BE24" s="174"/>
      <c r="BF24" s="174"/>
      <c r="BG24" s="14"/>
      <c r="BH24" s="174"/>
      <c r="BI24" s="177"/>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58"/>
      <c r="CJ24" s="109"/>
      <c r="CK24" s="109"/>
      <c r="CL24" s="109"/>
      <c r="CM24" s="109"/>
      <c r="CN24" s="109"/>
      <c r="CO24" s="109"/>
      <c r="CP24" s="109"/>
      <c r="CQ24" s="109"/>
      <c r="CR24" s="109"/>
      <c r="CS24" s="109"/>
      <c r="CT24" s="60"/>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863"/>
      <c r="AN25" s="864"/>
      <c r="AO25" s="864"/>
      <c r="AP25" s="864"/>
      <c r="AQ25" s="864"/>
      <c r="AR25" s="864"/>
      <c r="AS25" s="864"/>
      <c r="AT25" s="864"/>
      <c r="AU25" s="864"/>
      <c r="AV25" s="865"/>
      <c r="AW25" s="174"/>
      <c r="AX25" s="174"/>
      <c r="AY25" s="174"/>
      <c r="AZ25" s="174"/>
      <c r="BA25" s="174"/>
      <c r="BB25" s="174"/>
      <c r="BC25" s="174"/>
      <c r="BD25" s="174"/>
      <c r="BE25" s="174"/>
      <c r="BF25" s="174"/>
      <c r="BG25" s="174"/>
      <c r="BH25" s="174"/>
      <c r="BI25" s="177"/>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61"/>
      <c r="CJ25" s="110"/>
      <c r="CK25" s="110"/>
      <c r="CL25" s="110"/>
      <c r="CM25" s="110"/>
      <c r="CN25" s="110"/>
      <c r="CO25" s="110"/>
      <c r="CP25" s="110"/>
      <c r="CQ25" s="110"/>
      <c r="CR25" s="110"/>
      <c r="CS25" s="110"/>
      <c r="CT25" s="63"/>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866"/>
      <c r="AN26" s="867"/>
      <c r="AO26" s="867"/>
      <c r="AP26" s="867"/>
      <c r="AQ26" s="867"/>
      <c r="AR26" s="867"/>
      <c r="AS26" s="867"/>
      <c r="AT26" s="867"/>
      <c r="AU26" s="867"/>
      <c r="AV26" s="868"/>
      <c r="AW26" s="174"/>
      <c r="AX26" s="174"/>
      <c r="AY26" s="174"/>
      <c r="AZ26" s="174"/>
      <c r="BA26" s="174"/>
      <c r="BB26" s="144"/>
      <c r="BC26" s="174"/>
      <c r="BD26" s="174"/>
      <c r="BE26" s="174"/>
      <c r="BF26" s="174"/>
      <c r="BG26" s="174"/>
      <c r="BH26" s="174"/>
      <c r="BI26" s="177"/>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713">
        <f>ROUND(AM24/CLV_Limit,2)</f>
        <v>0.64</v>
      </c>
      <c r="AN27" s="714"/>
      <c r="AO27" s="714"/>
      <c r="AP27" s="714"/>
      <c r="AQ27" s="715"/>
      <c r="AR27" s="722" t="s">
        <v>100</v>
      </c>
      <c r="AS27" s="722"/>
      <c r="AT27" s="722"/>
      <c r="AU27" s="722"/>
      <c r="AV27" s="723"/>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096"/>
      <c r="CJ27" s="1097"/>
      <c r="CK27" s="1097"/>
      <c r="CL27" s="1097"/>
      <c r="CM27" s="1097"/>
      <c r="CN27" s="1097"/>
      <c r="CO27" s="1097"/>
      <c r="CP27" s="1097"/>
      <c r="CQ27" s="1097"/>
      <c r="CR27" s="1097"/>
      <c r="CS27" s="1097"/>
      <c r="CT27" s="1098"/>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716"/>
      <c r="AN28" s="717"/>
      <c r="AO28" s="717"/>
      <c r="AP28" s="717"/>
      <c r="AQ28" s="718"/>
      <c r="AR28" s="724"/>
      <c r="AS28" s="724"/>
      <c r="AT28" s="724"/>
      <c r="AU28" s="724"/>
      <c r="AV28" s="725"/>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099"/>
      <c r="CJ28" s="1068"/>
      <c r="CK28" s="1068"/>
      <c r="CL28" s="1068"/>
      <c r="CM28" s="1068"/>
      <c r="CN28" s="1068"/>
      <c r="CO28" s="1068"/>
      <c r="CP28" s="1068"/>
      <c r="CQ28" s="1068"/>
      <c r="CR28" s="1068"/>
      <c r="CS28" s="1068"/>
      <c r="CT28" s="1069"/>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719"/>
      <c r="AN29" s="720"/>
      <c r="AO29" s="720"/>
      <c r="AP29" s="720"/>
      <c r="AQ29" s="721"/>
      <c r="AR29" s="726"/>
      <c r="AS29" s="726"/>
      <c r="AT29" s="726"/>
      <c r="AU29" s="726"/>
      <c r="AV29" s="727"/>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099"/>
      <c r="CJ29" s="1068"/>
      <c r="CK29" s="1068"/>
      <c r="CL29" s="1068"/>
      <c r="CM29" s="1068"/>
      <c r="CN29" s="1068"/>
      <c r="CO29" s="1068"/>
      <c r="CP29" s="1068"/>
      <c r="CQ29" s="1068"/>
      <c r="CR29" s="1068"/>
      <c r="CS29" s="1068"/>
      <c r="CT29" s="1069"/>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099"/>
      <c r="CJ30" s="1068"/>
      <c r="CK30" s="1068"/>
      <c r="CL30" s="1068"/>
      <c r="CM30" s="1068"/>
      <c r="CN30" s="1068"/>
      <c r="CO30" s="1068"/>
      <c r="CP30" s="1068"/>
      <c r="CQ30" s="1068"/>
      <c r="CR30" s="1068"/>
      <c r="CS30" s="1068"/>
      <c r="CT30" s="1069"/>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74"/>
      <c r="AU31" s="174"/>
      <c r="AV31" s="174"/>
      <c r="AW31" s="174"/>
      <c r="AX31" s="174"/>
      <c r="AY31" s="174"/>
      <c r="AZ31" s="174"/>
      <c r="BA31" s="174"/>
      <c r="BB31" s="174"/>
      <c r="BC31" s="174"/>
      <c r="BD31" s="14"/>
      <c r="BE31" s="14"/>
      <c r="BF31" s="1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152" t="s">
        <v>99</v>
      </c>
      <c r="CJ31" s="1125"/>
      <c r="CK31" s="1125"/>
      <c r="CL31" s="1125" t="s">
        <v>99</v>
      </c>
      <c r="CM31" s="1125"/>
      <c r="CN31" s="1125"/>
      <c r="CO31" s="1125" t="s">
        <v>99</v>
      </c>
      <c r="CP31" s="1125"/>
      <c r="CQ31" s="1125"/>
      <c r="CR31" s="1125" t="s">
        <v>99</v>
      </c>
      <c r="CS31" s="1125"/>
      <c r="CT31" s="1126"/>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127">
        <f>SBR_Master</f>
        <v>0</v>
      </c>
      <c r="CJ32" s="1128"/>
      <c r="CK32" s="1128"/>
      <c r="CL32" s="1128">
        <f>SBT_Master</f>
        <v>1447</v>
      </c>
      <c r="CM32" s="1128"/>
      <c r="CN32" s="1128"/>
      <c r="CO32" s="1128">
        <f>SBL_Master</f>
        <v>607</v>
      </c>
      <c r="CP32" s="1128"/>
      <c r="CQ32" s="1128"/>
      <c r="CR32" s="1128">
        <f>SBU_Master</f>
        <v>0</v>
      </c>
      <c r="CS32" s="1128"/>
      <c r="CT32" s="1129"/>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928">
        <v>1</v>
      </c>
      <c r="CJ33" s="929"/>
      <c r="CK33" s="929"/>
      <c r="CL33" s="1194">
        <f>CL13</f>
        <v>2</v>
      </c>
      <c r="CM33" s="1194"/>
      <c r="CN33" s="1194"/>
      <c r="CO33" s="1010"/>
      <c r="CP33" s="1010"/>
      <c r="CQ33" s="1010"/>
      <c r="CR33" s="1010"/>
      <c r="CS33" s="1010"/>
      <c r="CT33" s="1011"/>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74"/>
      <c r="CB34" s="1138"/>
      <c r="CC34" s="1134"/>
      <c r="CD34" s="1134"/>
      <c r="CE34" s="1134"/>
      <c r="CF34" s="1195" t="s">
        <v>99</v>
      </c>
      <c r="CG34" s="1142">
        <f>EBU_Master</f>
        <v>0</v>
      </c>
      <c r="CH34" s="1088"/>
      <c r="CI34" s="56"/>
      <c r="CJ34" s="175"/>
      <c r="CK34" s="175"/>
      <c r="CL34" s="175"/>
      <c r="CM34" s="175"/>
      <c r="CN34" s="175"/>
      <c r="CO34" s="175"/>
      <c r="CP34" s="175"/>
      <c r="CQ34" s="175"/>
      <c r="CR34" s="175"/>
      <c r="CS34" s="175"/>
      <c r="CT34" s="176"/>
      <c r="CU34" s="910">
        <v>1</v>
      </c>
      <c r="CV34" s="1130">
        <f>WBR_Master</f>
        <v>625</v>
      </c>
      <c r="CW34" s="1198" t="s">
        <v>99</v>
      </c>
      <c r="CX34" s="1134"/>
      <c r="CY34" s="1134"/>
      <c r="CZ34" s="1134"/>
      <c r="DA34" s="1135"/>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74"/>
      <c r="CB35" s="1139"/>
      <c r="CC35" s="1136"/>
      <c r="CD35" s="1136"/>
      <c r="CE35" s="1136"/>
      <c r="CF35" s="1193"/>
      <c r="CG35" s="1143"/>
      <c r="CH35" s="1089"/>
      <c r="CI35" s="58"/>
      <c r="CJ35" s="109"/>
      <c r="CK35" s="109"/>
      <c r="CL35" s="109"/>
      <c r="CM35" s="109"/>
      <c r="CN35" s="109"/>
      <c r="CO35" s="109"/>
      <c r="CP35" s="109"/>
      <c r="CQ35" s="109"/>
      <c r="CR35" s="109"/>
      <c r="CS35" s="109"/>
      <c r="CT35" s="60"/>
      <c r="CU35" s="911"/>
      <c r="CV35" s="1131"/>
      <c r="CW35" s="1199"/>
      <c r="CX35" s="1136"/>
      <c r="CY35" s="1136"/>
      <c r="CZ35" s="1136"/>
      <c r="DA35" s="1137"/>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74"/>
      <c r="CB36" s="1139"/>
      <c r="CC36" s="1136"/>
      <c r="CD36" s="1136"/>
      <c r="CE36" s="1136"/>
      <c r="CF36" s="1193"/>
      <c r="CG36" s="1143"/>
      <c r="CH36" s="1089"/>
      <c r="CI36" s="58"/>
      <c r="CJ36" s="109"/>
      <c r="CK36" s="109"/>
      <c r="CL36" s="109"/>
      <c r="CM36" s="109"/>
      <c r="CN36" s="109"/>
      <c r="CO36" s="109"/>
      <c r="CP36" s="109"/>
      <c r="CQ36" s="109"/>
      <c r="CR36" s="109"/>
      <c r="CS36" s="109"/>
      <c r="CT36" s="60"/>
      <c r="CU36" s="912"/>
      <c r="CV36" s="1131"/>
      <c r="CW36" s="1199"/>
      <c r="CX36" s="1136"/>
      <c r="CY36" s="1136"/>
      <c r="CZ36" s="1136"/>
      <c r="DA36" s="1137"/>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74"/>
      <c r="CB37" s="1139"/>
      <c r="CC37" s="1136"/>
      <c r="CD37" s="1136"/>
      <c r="CE37" s="1136"/>
      <c r="CF37" s="1193" t="s">
        <v>99</v>
      </c>
      <c r="CG37" s="1143">
        <f>EBL_Master</f>
        <v>899</v>
      </c>
      <c r="CH37" s="1081">
        <v>2</v>
      </c>
      <c r="CI37" s="58"/>
      <c r="CJ37" s="109"/>
      <c r="CK37" s="763"/>
      <c r="CL37" s="764"/>
      <c r="CM37" s="764"/>
      <c r="CN37" s="764"/>
      <c r="CO37" s="764"/>
      <c r="CP37" s="764"/>
      <c r="CQ37" s="764"/>
      <c r="CR37" s="771"/>
      <c r="CS37" s="109"/>
      <c r="CT37" s="60"/>
      <c r="CU37" s="951">
        <v>3</v>
      </c>
      <c r="CV37" s="820">
        <f>WBT_Master</f>
        <v>0</v>
      </c>
      <c r="CW37" s="1283" t="s">
        <v>99</v>
      </c>
      <c r="CX37" s="816"/>
      <c r="CY37" s="816"/>
      <c r="CZ37" s="816"/>
      <c r="DA37" s="822"/>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74"/>
      <c r="CB38" s="1139"/>
      <c r="CC38" s="1136"/>
      <c r="CD38" s="1136"/>
      <c r="CE38" s="1136"/>
      <c r="CF38" s="1193"/>
      <c r="CG38" s="1143"/>
      <c r="CH38" s="1081"/>
      <c r="CI38" s="58"/>
      <c r="CJ38" s="109"/>
      <c r="CK38" s="766"/>
      <c r="CL38" s="767"/>
      <c r="CM38" s="767"/>
      <c r="CN38" s="767"/>
      <c r="CO38" s="767"/>
      <c r="CP38" s="767"/>
      <c r="CQ38" s="767"/>
      <c r="CR38" s="772"/>
      <c r="CS38" s="109"/>
      <c r="CT38" s="60"/>
      <c r="CU38" s="911"/>
      <c r="CV38" s="807"/>
      <c r="CW38" s="1284"/>
      <c r="CX38" s="791"/>
      <c r="CY38" s="791"/>
      <c r="CZ38" s="791"/>
      <c r="DA38" s="813"/>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1139"/>
      <c r="CC39" s="1136"/>
      <c r="CD39" s="1136"/>
      <c r="CE39" s="1136"/>
      <c r="CF39" s="1193"/>
      <c r="CG39" s="1143"/>
      <c r="CH39" s="1081"/>
      <c r="CI39" s="58"/>
      <c r="CJ39" s="109"/>
      <c r="CK39" s="766"/>
      <c r="CL39" s="767"/>
      <c r="CM39" s="767"/>
      <c r="CN39" s="767"/>
      <c r="CO39" s="767"/>
      <c r="CP39" s="767"/>
      <c r="CQ39" s="767"/>
      <c r="CR39" s="772"/>
      <c r="CS39" s="109"/>
      <c r="CT39" s="60"/>
      <c r="CU39" s="912"/>
      <c r="CV39" s="808"/>
      <c r="CW39" s="1285"/>
      <c r="CX39" s="793"/>
      <c r="CY39" s="793"/>
      <c r="CZ39" s="793"/>
      <c r="DA39" s="81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74"/>
      <c r="BQ40" s="174"/>
      <c r="BR40" s="174"/>
      <c r="BS40" s="174"/>
      <c r="BT40" s="174"/>
      <c r="BU40" s="174"/>
      <c r="BV40" s="174"/>
      <c r="BW40" s="174"/>
      <c r="BX40" s="174"/>
      <c r="BY40" s="174"/>
      <c r="BZ40" s="174"/>
      <c r="CA40" s="174"/>
      <c r="CB40" s="1139"/>
      <c r="CC40" s="1136"/>
      <c r="CD40" s="1136"/>
      <c r="CE40" s="1136"/>
      <c r="CF40" s="1193" t="s">
        <v>99</v>
      </c>
      <c r="CG40" s="1143">
        <f>EBT_Master</f>
        <v>0</v>
      </c>
      <c r="CH40" s="937">
        <v>3</v>
      </c>
      <c r="CI40" s="58"/>
      <c r="CJ40" s="109"/>
      <c r="CK40" s="833">
        <f>MAX((CO47+CL47+CI47+CR32)/CO46, ROUND(MAX(0,(CR47+CO32+CV43)/RTAF/CR46-CV40/LTAF/CU40),0), (CL32+CO32+CR32+CI47)/CL33, ROUND(MAX(0,(CI32+CL47+CG34)/RTAF/CH37-(CG37)/LTAF/CH37),0)) +MAX(((CG37/LTAF+CG34/UTAF)/CH37 + MAX(CV37/CU37, CV34/RTAF/CU34)), ((CV40/LTAF+CV43/UTAF)/CU40 +MAX(CG40/CH40, CG43/RTAF/CH43)))</f>
        <v>2860.4520123839011</v>
      </c>
      <c r="CL40" s="834"/>
      <c r="CM40" s="834"/>
      <c r="CN40" s="834"/>
      <c r="CO40" s="834"/>
      <c r="CP40" s="834"/>
      <c r="CQ40" s="834"/>
      <c r="CR40" s="835"/>
      <c r="CS40" s="109"/>
      <c r="CT40" s="60"/>
      <c r="CU40" s="951">
        <v>2</v>
      </c>
      <c r="CV40" s="1131">
        <f>WBL_Master</f>
        <v>588</v>
      </c>
      <c r="CW40" s="1199" t="s">
        <v>99</v>
      </c>
      <c r="CX40" s="1136"/>
      <c r="CY40" s="1136"/>
      <c r="CZ40" s="1136"/>
      <c r="DA40" s="1137"/>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728">
        <f>CK40</f>
        <v>2860.4520123839011</v>
      </c>
      <c r="AU41" s="861"/>
      <c r="AV41" s="861"/>
      <c r="AW41" s="861"/>
      <c r="AX41" s="861"/>
      <c r="AY41" s="861"/>
      <c r="AZ41" s="861"/>
      <c r="BA41" s="861"/>
      <c r="BB41" s="861"/>
      <c r="BC41" s="862"/>
      <c r="BD41" s="174"/>
      <c r="BE41" s="174"/>
      <c r="BF41" s="174"/>
      <c r="BG41" s="174"/>
      <c r="BH41" s="174"/>
      <c r="BI41" s="177"/>
      <c r="BK41" s="174"/>
      <c r="BL41" s="1"/>
      <c r="BM41" s="174"/>
      <c r="BN41" s="174"/>
      <c r="BO41" s="174"/>
      <c r="BP41" s="174"/>
      <c r="BQ41" s="174"/>
      <c r="BR41" s="174"/>
      <c r="BS41" s="174"/>
      <c r="BT41" s="174"/>
      <c r="BU41" s="174"/>
      <c r="BV41" s="174"/>
      <c r="BW41" s="174"/>
      <c r="BX41" s="174"/>
      <c r="BY41" s="174"/>
      <c r="BZ41" s="174"/>
      <c r="CA41" s="174"/>
      <c r="CB41" s="1139"/>
      <c r="CC41" s="1136"/>
      <c r="CD41" s="1136"/>
      <c r="CE41" s="1136"/>
      <c r="CF41" s="1193"/>
      <c r="CG41" s="1143"/>
      <c r="CH41" s="938"/>
      <c r="CI41" s="58"/>
      <c r="CJ41" s="109"/>
      <c r="CK41" s="833"/>
      <c r="CL41" s="834"/>
      <c r="CM41" s="834"/>
      <c r="CN41" s="834"/>
      <c r="CO41" s="834"/>
      <c r="CP41" s="834"/>
      <c r="CQ41" s="834"/>
      <c r="CR41" s="835"/>
      <c r="CS41" s="109"/>
      <c r="CT41" s="60"/>
      <c r="CU41" s="911"/>
      <c r="CV41" s="1131"/>
      <c r="CW41" s="1199"/>
      <c r="CX41" s="1136"/>
      <c r="CY41" s="1136"/>
      <c r="CZ41" s="1136"/>
      <c r="DA41" s="1137"/>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863"/>
      <c r="AU42" s="864"/>
      <c r="AV42" s="864"/>
      <c r="AW42" s="864"/>
      <c r="AX42" s="864"/>
      <c r="AY42" s="864"/>
      <c r="AZ42" s="864"/>
      <c r="BA42" s="864"/>
      <c r="BB42" s="864"/>
      <c r="BC42" s="865"/>
      <c r="BD42" s="174"/>
      <c r="BE42" s="174"/>
      <c r="BF42" s="174"/>
      <c r="BG42" s="174"/>
      <c r="BH42" s="174"/>
      <c r="BI42" s="177"/>
      <c r="BK42" s="174"/>
      <c r="BL42" s="1"/>
      <c r="BM42" s="174"/>
      <c r="BN42" s="174"/>
      <c r="BO42" s="174"/>
      <c r="BP42" s="174"/>
      <c r="BQ42" s="174"/>
      <c r="BR42" s="174"/>
      <c r="BS42" s="174"/>
      <c r="BT42" s="174"/>
      <c r="BU42" s="174"/>
      <c r="BV42" s="174"/>
      <c r="BW42" s="174"/>
      <c r="BX42" s="174"/>
      <c r="BY42" s="174"/>
      <c r="BZ42" s="174"/>
      <c r="CA42" s="174"/>
      <c r="CB42" s="1139"/>
      <c r="CC42" s="1136"/>
      <c r="CD42" s="1136"/>
      <c r="CE42" s="1136"/>
      <c r="CF42" s="1193"/>
      <c r="CG42" s="1143"/>
      <c r="CH42" s="939"/>
      <c r="CI42" s="58"/>
      <c r="CJ42" s="109"/>
      <c r="CK42" s="836"/>
      <c r="CL42" s="837"/>
      <c r="CM42" s="837"/>
      <c r="CN42" s="837"/>
      <c r="CO42" s="837"/>
      <c r="CP42" s="837"/>
      <c r="CQ42" s="837"/>
      <c r="CR42" s="838"/>
      <c r="CS42" s="109"/>
      <c r="CT42" s="60"/>
      <c r="CU42" s="912"/>
      <c r="CV42" s="1131"/>
      <c r="CW42" s="1199"/>
      <c r="CX42" s="1136"/>
      <c r="CY42" s="1136"/>
      <c r="CZ42" s="1136"/>
      <c r="DA42" s="1137"/>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866"/>
      <c r="AU43" s="867"/>
      <c r="AV43" s="867"/>
      <c r="AW43" s="867"/>
      <c r="AX43" s="867"/>
      <c r="AY43" s="867"/>
      <c r="AZ43" s="867"/>
      <c r="BA43" s="867"/>
      <c r="BB43" s="867"/>
      <c r="BC43" s="868"/>
      <c r="BD43" s="174"/>
      <c r="BE43" s="174"/>
      <c r="BF43" s="174"/>
      <c r="BG43" s="174"/>
      <c r="BH43" s="174"/>
      <c r="BI43" s="177"/>
      <c r="BK43" s="174"/>
      <c r="BL43" s="1"/>
      <c r="BM43" s="174"/>
      <c r="BN43" s="174"/>
      <c r="BO43" s="174"/>
      <c r="BP43" s="174"/>
      <c r="BQ43" s="174"/>
      <c r="BR43" s="174"/>
      <c r="BS43" s="174"/>
      <c r="BT43" s="174"/>
      <c r="BU43" s="174"/>
      <c r="BV43" s="174"/>
      <c r="BW43" s="174"/>
      <c r="BX43" s="174"/>
      <c r="BY43" s="174"/>
      <c r="BZ43" s="174"/>
      <c r="CA43" s="174"/>
      <c r="CB43" s="1139"/>
      <c r="CC43" s="1136"/>
      <c r="CD43" s="1136"/>
      <c r="CE43" s="1136"/>
      <c r="CF43" s="1193" t="s">
        <v>99</v>
      </c>
      <c r="CG43" s="1143">
        <f>EBR_Master</f>
        <v>208</v>
      </c>
      <c r="CH43" s="1081">
        <v>1</v>
      </c>
      <c r="CI43" s="58"/>
      <c r="CJ43" s="109"/>
      <c r="CK43" s="109"/>
      <c r="CL43" s="109"/>
      <c r="CM43" s="109"/>
      <c r="CN43" s="109"/>
      <c r="CO43" s="109"/>
      <c r="CP43" s="109"/>
      <c r="CQ43" s="109"/>
      <c r="CR43" s="109"/>
      <c r="CS43" s="109"/>
      <c r="CT43" s="60"/>
      <c r="CU43" s="1002"/>
      <c r="CV43" s="1131">
        <f>WBU_Master</f>
        <v>0</v>
      </c>
      <c r="CW43" s="1199" t="s">
        <v>99</v>
      </c>
      <c r="CX43" s="1136"/>
      <c r="CY43" s="1136"/>
      <c r="CZ43" s="1136"/>
      <c r="DA43" s="1137"/>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713">
        <f>ROUND(AT41/CLV_Limit,2)</f>
        <v>1.79</v>
      </c>
      <c r="AU44" s="714"/>
      <c r="AV44" s="714"/>
      <c r="AW44" s="714"/>
      <c r="AX44" s="715"/>
      <c r="AY44" s="722" t="s">
        <v>100</v>
      </c>
      <c r="AZ44" s="722"/>
      <c r="BA44" s="722"/>
      <c r="BB44" s="722"/>
      <c r="BC44" s="723"/>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139"/>
      <c r="CC44" s="1136"/>
      <c r="CD44" s="1136"/>
      <c r="CE44" s="1136"/>
      <c r="CF44" s="1193"/>
      <c r="CG44" s="1143"/>
      <c r="CH44" s="1081"/>
      <c r="CI44" s="58"/>
      <c r="CJ44" s="109"/>
      <c r="CK44" s="109"/>
      <c r="CL44" s="109"/>
      <c r="CM44" s="109"/>
      <c r="CN44" s="109"/>
      <c r="CO44" s="109"/>
      <c r="CP44" s="109"/>
      <c r="CQ44" s="109"/>
      <c r="CR44" s="109"/>
      <c r="CS44" s="109"/>
      <c r="CT44" s="60"/>
      <c r="CU44" s="1003"/>
      <c r="CV44" s="1131"/>
      <c r="CW44" s="1199"/>
      <c r="CX44" s="1136"/>
      <c r="CY44" s="1136"/>
      <c r="CZ44" s="1136"/>
      <c r="DA44" s="1137"/>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716"/>
      <c r="AU45" s="717"/>
      <c r="AV45" s="717"/>
      <c r="AW45" s="717"/>
      <c r="AX45" s="718"/>
      <c r="AY45" s="724"/>
      <c r="AZ45" s="724"/>
      <c r="BA45" s="724"/>
      <c r="BB45" s="724"/>
      <c r="BC45" s="725"/>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153"/>
      <c r="CC45" s="1150"/>
      <c r="CD45" s="1150"/>
      <c r="CE45" s="1150"/>
      <c r="CF45" s="1197"/>
      <c r="CG45" s="1155"/>
      <c r="CH45" s="1110"/>
      <c r="CI45" s="61"/>
      <c r="CJ45" s="110"/>
      <c r="CK45" s="110"/>
      <c r="CL45" s="110"/>
      <c r="CM45" s="110"/>
      <c r="CN45" s="110"/>
      <c r="CO45" s="110"/>
      <c r="CP45" s="110"/>
      <c r="CQ45" s="110"/>
      <c r="CR45" s="110"/>
      <c r="CS45" s="110"/>
      <c r="CT45" s="63"/>
      <c r="CU45" s="1004"/>
      <c r="CV45" s="1156"/>
      <c r="CW45" s="1200"/>
      <c r="CX45" s="1150"/>
      <c r="CY45" s="1150"/>
      <c r="CZ45" s="1150"/>
      <c r="DA45" s="1151"/>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719"/>
      <c r="AU46" s="720"/>
      <c r="AV46" s="720"/>
      <c r="AW46" s="720"/>
      <c r="AX46" s="721"/>
      <c r="AY46" s="726"/>
      <c r="AZ46" s="726"/>
      <c r="BA46" s="726"/>
      <c r="BB46" s="726"/>
      <c r="BC46" s="727"/>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120"/>
      <c r="CJ46" s="1121"/>
      <c r="CK46" s="1121"/>
      <c r="CL46" s="1121"/>
      <c r="CM46" s="1121"/>
      <c r="CN46" s="1121"/>
      <c r="CO46" s="1249">
        <f>CO66</f>
        <v>2</v>
      </c>
      <c r="CP46" s="1249"/>
      <c r="CQ46" s="1249"/>
      <c r="CR46" s="1040">
        <v>1</v>
      </c>
      <c r="CS46" s="1040"/>
      <c r="CT46" s="1041"/>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168">
        <f>NBU_Master</f>
        <v>0</v>
      </c>
      <c r="CJ47" s="1169"/>
      <c r="CK47" s="1169"/>
      <c r="CL47" s="1169">
        <f>NBL_Master</f>
        <v>0</v>
      </c>
      <c r="CM47" s="1169"/>
      <c r="CN47" s="1169"/>
      <c r="CO47" s="1169">
        <f>NBT_Master</f>
        <v>1260</v>
      </c>
      <c r="CP47" s="1169"/>
      <c r="CQ47" s="1169"/>
      <c r="CR47" s="1169">
        <f>NBR_Master</f>
        <v>1060</v>
      </c>
      <c r="CS47" s="1169"/>
      <c r="CT47" s="1170"/>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152" t="s">
        <v>99</v>
      </c>
      <c r="CJ48" s="1125"/>
      <c r="CK48" s="1125"/>
      <c r="CL48" s="1125" t="s">
        <v>99</v>
      </c>
      <c r="CM48" s="1125"/>
      <c r="CN48" s="1125"/>
      <c r="CO48" s="1125" t="s">
        <v>99</v>
      </c>
      <c r="CP48" s="1125"/>
      <c r="CQ48" s="1125"/>
      <c r="CR48" s="1125" t="s">
        <v>99</v>
      </c>
      <c r="CS48" s="1125"/>
      <c r="CT48" s="1126"/>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099"/>
      <c r="CJ49" s="1068"/>
      <c r="CK49" s="1068"/>
      <c r="CL49" s="1068"/>
      <c r="CM49" s="1068"/>
      <c r="CN49" s="1068"/>
      <c r="CO49" s="1068"/>
      <c r="CP49" s="1068"/>
      <c r="CQ49" s="1068"/>
      <c r="CR49" s="1068"/>
      <c r="CS49" s="1068"/>
      <c r="CT49" s="1069"/>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099"/>
      <c r="CJ50" s="1068"/>
      <c r="CK50" s="1068"/>
      <c r="CL50" s="1068"/>
      <c r="CM50" s="1068"/>
      <c r="CN50" s="1068"/>
      <c r="CO50" s="1068"/>
      <c r="CP50" s="1068"/>
      <c r="CQ50" s="1068"/>
      <c r="CR50" s="1068"/>
      <c r="CS50" s="1068"/>
      <c r="CT50" s="1069"/>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099"/>
      <c r="CJ51" s="1068"/>
      <c r="CK51" s="1068"/>
      <c r="CL51" s="1068"/>
      <c r="CM51" s="1068"/>
      <c r="CN51" s="1068"/>
      <c r="CO51" s="1068"/>
      <c r="CP51" s="1068"/>
      <c r="CQ51" s="1068"/>
      <c r="CR51" s="1068"/>
      <c r="CS51" s="1068"/>
      <c r="CT51" s="1069"/>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167"/>
      <c r="CJ52" s="1070"/>
      <c r="CK52" s="1070"/>
      <c r="CL52" s="1070"/>
      <c r="CM52" s="1070"/>
      <c r="CN52" s="1070"/>
      <c r="CO52" s="1070"/>
      <c r="CP52" s="1070"/>
      <c r="CQ52" s="1070"/>
      <c r="CR52" s="1070"/>
      <c r="CS52" s="1070"/>
      <c r="CT52" s="1071"/>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56"/>
      <c r="CJ54" s="175"/>
      <c r="CK54" s="175"/>
      <c r="CL54" s="175"/>
      <c r="CM54" s="175"/>
      <c r="CN54" s="175"/>
      <c r="CO54" s="175"/>
      <c r="CP54" s="175"/>
      <c r="CQ54" s="175"/>
      <c r="CR54" s="175"/>
      <c r="CS54" s="175"/>
      <c r="CT54" s="176"/>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58"/>
      <c r="CJ55" s="109"/>
      <c r="CK55" s="109"/>
      <c r="CL55" s="109"/>
      <c r="CM55" s="109"/>
      <c r="CN55" s="109"/>
      <c r="CO55" s="109"/>
      <c r="CP55" s="109"/>
      <c r="CQ55" s="109"/>
      <c r="CR55" s="109"/>
      <c r="CS55" s="109"/>
      <c r="CT55" s="60"/>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096"/>
      <c r="CG56" s="1097"/>
      <c r="CH56" s="1098"/>
      <c r="CI56" s="58"/>
      <c r="CJ56" s="109"/>
      <c r="CK56" s="109"/>
      <c r="CL56" s="109"/>
      <c r="CM56" s="109"/>
      <c r="CN56" s="109"/>
      <c r="CO56" s="109"/>
      <c r="CP56" s="109"/>
      <c r="CQ56" s="109"/>
      <c r="CR56" s="109"/>
      <c r="CS56" s="109"/>
      <c r="CT56" s="60"/>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099"/>
      <c r="CG57" s="1068"/>
      <c r="CH57" s="1069"/>
      <c r="CI57" s="58"/>
      <c r="CJ57" s="109"/>
      <c r="CK57" s="763"/>
      <c r="CL57" s="764"/>
      <c r="CM57" s="764"/>
      <c r="CN57" s="764"/>
      <c r="CO57" s="764"/>
      <c r="CP57" s="764"/>
      <c r="CQ57" s="764"/>
      <c r="CR57" s="771"/>
      <c r="CS57" s="109"/>
      <c r="CT57" s="60"/>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099"/>
      <c r="CG58" s="1068"/>
      <c r="CH58" s="1069"/>
      <c r="CI58" s="58"/>
      <c r="CJ58" s="109"/>
      <c r="CK58" s="766"/>
      <c r="CL58" s="767"/>
      <c r="CM58" s="767"/>
      <c r="CN58" s="767"/>
      <c r="CO58" s="767"/>
      <c r="CP58" s="767"/>
      <c r="CQ58" s="767"/>
      <c r="CR58" s="772"/>
      <c r="CS58" s="109"/>
      <c r="CT58" s="60"/>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728">
        <f>CK60</f>
        <v>1918.75</v>
      </c>
      <c r="AN59" s="861"/>
      <c r="AO59" s="861"/>
      <c r="AP59" s="861"/>
      <c r="AQ59" s="861"/>
      <c r="AR59" s="861"/>
      <c r="AS59" s="861"/>
      <c r="AT59" s="861"/>
      <c r="AU59" s="861"/>
      <c r="AV59" s="862"/>
      <c r="AW59" s="174"/>
      <c r="AX59" s="174"/>
      <c r="AY59" s="174"/>
      <c r="AZ59" s="174"/>
      <c r="BA59" s="174"/>
      <c r="BB59" s="174"/>
      <c r="BC59" s="174"/>
      <c r="BD59" s="174"/>
      <c r="BE59" s="174"/>
      <c r="BF59" s="174"/>
      <c r="BG59" s="174"/>
      <c r="BH59" s="174"/>
      <c r="BI59" s="177"/>
      <c r="BK59" s="174"/>
      <c r="BL59" s="1"/>
      <c r="BM59" s="174"/>
      <c r="BN59" s="174"/>
      <c r="BO59" s="174"/>
      <c r="BP59" s="174"/>
      <c r="BQ59" s="30"/>
      <c r="BR59" s="174"/>
      <c r="BS59" s="174"/>
      <c r="BT59" s="174"/>
      <c r="BU59" s="174"/>
      <c r="BV59" s="174"/>
      <c r="BW59" s="174"/>
      <c r="BX59" s="174"/>
      <c r="BY59" s="174"/>
      <c r="BZ59" s="174"/>
      <c r="CA59" s="174"/>
      <c r="CB59" s="174"/>
      <c r="CC59" s="174"/>
      <c r="CD59" s="174"/>
      <c r="CE59" s="174"/>
      <c r="CF59" s="1099"/>
      <c r="CG59" s="1068"/>
      <c r="CH59" s="1069"/>
      <c r="CI59" s="58"/>
      <c r="CJ59" s="109"/>
      <c r="CK59" s="766"/>
      <c r="CL59" s="767"/>
      <c r="CM59" s="767"/>
      <c r="CN59" s="767"/>
      <c r="CO59" s="767"/>
      <c r="CP59" s="767"/>
      <c r="CQ59" s="767"/>
      <c r="CR59" s="772"/>
      <c r="CS59" s="109"/>
      <c r="CT59" s="60"/>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863"/>
      <c r="AN60" s="864"/>
      <c r="AO60" s="864"/>
      <c r="AP60" s="864"/>
      <c r="AQ60" s="864"/>
      <c r="AR60" s="864"/>
      <c r="AS60" s="864"/>
      <c r="AT60" s="864"/>
      <c r="AU60" s="864"/>
      <c r="AV60" s="865"/>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065" t="s">
        <v>99</v>
      </c>
      <c r="CG60" s="1066"/>
      <c r="CH60" s="1067"/>
      <c r="CI60" s="58"/>
      <c r="CJ60" s="109"/>
      <c r="CK60" s="833">
        <f>+(CO67/CO66 +CF61/UTAF/CF62)</f>
        <v>1918.75</v>
      </c>
      <c r="CL60" s="834"/>
      <c r="CM60" s="834"/>
      <c r="CN60" s="834"/>
      <c r="CO60" s="834"/>
      <c r="CP60" s="834"/>
      <c r="CQ60" s="834"/>
      <c r="CR60" s="835"/>
      <c r="CS60" s="109"/>
      <c r="CT60" s="60"/>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866"/>
      <c r="AN61" s="867"/>
      <c r="AO61" s="867"/>
      <c r="AP61" s="867"/>
      <c r="AQ61" s="867"/>
      <c r="AR61" s="867"/>
      <c r="AS61" s="867"/>
      <c r="AT61" s="867"/>
      <c r="AU61" s="867"/>
      <c r="AV61" s="868"/>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203">
        <f>CO32+CR32+CV43</f>
        <v>607</v>
      </c>
      <c r="CG61" s="1204"/>
      <c r="CH61" s="1205"/>
      <c r="CI61" s="58"/>
      <c r="CJ61" s="109"/>
      <c r="CK61" s="833"/>
      <c r="CL61" s="834"/>
      <c r="CM61" s="834"/>
      <c r="CN61" s="834"/>
      <c r="CO61" s="834"/>
      <c r="CP61" s="834"/>
      <c r="CQ61" s="834"/>
      <c r="CR61" s="835"/>
      <c r="CS61" s="109"/>
      <c r="CT61" s="60"/>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713">
        <f>ROUND(AM59/CLV_Limit,2)</f>
        <v>1.2</v>
      </c>
      <c r="AN62" s="714"/>
      <c r="AO62" s="714"/>
      <c r="AP62" s="714"/>
      <c r="AQ62" s="715"/>
      <c r="AR62" s="722" t="s">
        <v>100</v>
      </c>
      <c r="AS62" s="722"/>
      <c r="AT62" s="722"/>
      <c r="AU62" s="722"/>
      <c r="AV62" s="723"/>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928">
        <v>1</v>
      </c>
      <c r="CG62" s="929"/>
      <c r="CH62" s="930"/>
      <c r="CI62" s="58"/>
      <c r="CJ62" s="109"/>
      <c r="CK62" s="836"/>
      <c r="CL62" s="837"/>
      <c r="CM62" s="837"/>
      <c r="CN62" s="837"/>
      <c r="CO62" s="837"/>
      <c r="CP62" s="837"/>
      <c r="CQ62" s="837"/>
      <c r="CR62" s="838"/>
      <c r="CS62" s="109"/>
      <c r="CT62" s="60"/>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716"/>
      <c r="AN63" s="717"/>
      <c r="AO63" s="717"/>
      <c r="AP63" s="717"/>
      <c r="AQ63" s="718"/>
      <c r="AR63" s="724"/>
      <c r="AS63" s="724"/>
      <c r="AT63" s="724"/>
      <c r="AU63" s="724"/>
      <c r="AV63" s="725"/>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58"/>
      <c r="CJ63" s="109"/>
      <c r="CK63" s="109"/>
      <c r="CL63" s="109"/>
      <c r="CM63" s="109"/>
      <c r="CN63" s="109"/>
      <c r="CO63" s="109"/>
      <c r="CP63" s="109"/>
      <c r="CQ63" s="109"/>
      <c r="CR63" s="109"/>
      <c r="CS63" s="109"/>
      <c r="CT63" s="60"/>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719"/>
      <c r="AN64" s="720"/>
      <c r="AO64" s="720"/>
      <c r="AP64" s="720"/>
      <c r="AQ64" s="721"/>
      <c r="AR64" s="726"/>
      <c r="AS64" s="726"/>
      <c r="AT64" s="726"/>
      <c r="AU64" s="726"/>
      <c r="AV64" s="727"/>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58"/>
      <c r="CJ64" s="109"/>
      <c r="CK64" s="109"/>
      <c r="CL64" s="109"/>
      <c r="CM64" s="109"/>
      <c r="CN64" s="109"/>
      <c r="CO64" s="109"/>
      <c r="CP64" s="109"/>
      <c r="CQ64" s="109"/>
      <c r="CR64" s="109"/>
      <c r="CS64" s="109"/>
      <c r="CT64" s="60"/>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61"/>
      <c r="CJ65" s="110"/>
      <c r="CK65" s="110"/>
      <c r="CL65" s="110"/>
      <c r="CM65" s="110"/>
      <c r="CN65" s="110"/>
      <c r="CO65" s="110"/>
      <c r="CP65" s="110"/>
      <c r="CQ65" s="110"/>
      <c r="CR65" s="110"/>
      <c r="CS65" s="110"/>
      <c r="CT65" s="63"/>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29"/>
      <c r="F66" s="28"/>
      <c r="G66" s="28"/>
      <c r="H66" s="28"/>
      <c r="I66" s="28"/>
      <c r="J66" s="28"/>
      <c r="K66" s="28"/>
      <c r="L66" s="28"/>
      <c r="M66" s="28"/>
      <c r="N66" s="28"/>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039">
        <v>2</v>
      </c>
      <c r="CP66" s="1040"/>
      <c r="CQ66" s="1041"/>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28"/>
      <c r="F67" s="28"/>
      <c r="G67" s="28"/>
      <c r="H67" s="28"/>
      <c r="I67" s="28"/>
      <c r="J67" s="28"/>
      <c r="K67" s="28"/>
      <c r="L67" s="28"/>
      <c r="M67" s="28"/>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31"/>
      <c r="CD67" s="31"/>
      <c r="CE67" s="31"/>
      <c r="CF67" s="174"/>
      <c r="CG67" s="174"/>
      <c r="CH67" s="174"/>
      <c r="CI67" s="174"/>
      <c r="CJ67" s="174"/>
      <c r="CK67" s="174"/>
      <c r="CL67" s="174"/>
      <c r="CM67" s="174"/>
      <c r="CN67" s="174"/>
      <c r="CO67" s="1189">
        <f>CI47+CL47+CO47+CR47</f>
        <v>2320</v>
      </c>
      <c r="CP67" s="1190"/>
      <c r="CQ67" s="1191"/>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28"/>
      <c r="F68" s="28"/>
      <c r="G68" s="28"/>
      <c r="H68" s="28"/>
      <c r="I68" s="28"/>
      <c r="J68" s="28"/>
      <c r="K68" s="28"/>
      <c r="L68" s="28"/>
      <c r="M68" s="28"/>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31"/>
      <c r="CD68" s="31"/>
      <c r="CE68" s="31"/>
      <c r="CF68" s="174"/>
      <c r="CG68" s="174"/>
      <c r="CH68" s="174"/>
      <c r="CI68" s="174"/>
      <c r="CJ68" s="174"/>
      <c r="CK68" s="174"/>
      <c r="CL68" s="174"/>
      <c r="CM68" s="174"/>
      <c r="CN68" s="174"/>
      <c r="CO68" s="1065" t="s">
        <v>99</v>
      </c>
      <c r="CP68" s="1066"/>
      <c r="CQ68" s="1067"/>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099"/>
      <c r="CP69" s="1068"/>
      <c r="CQ69" s="1069"/>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099"/>
      <c r="CP70" s="1068"/>
      <c r="CQ70" s="1069"/>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099"/>
      <c r="CP71" s="1068"/>
      <c r="CQ71" s="1069"/>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167"/>
      <c r="CP72" s="1070"/>
      <c r="CQ72" s="1071"/>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15">
    <mergeCell ref="CO68:CQ68"/>
    <mergeCell ref="CO69:CQ72"/>
    <mergeCell ref="CF60:CH60"/>
    <mergeCell ref="CK60:CR62"/>
    <mergeCell ref="CF61:CH61"/>
    <mergeCell ref="CF62:CH62"/>
    <mergeCell ref="CO66:CQ66"/>
    <mergeCell ref="CO67:CQ67"/>
    <mergeCell ref="CI49:CK52"/>
    <mergeCell ref="CL49:CN52"/>
    <mergeCell ref="CO49:CQ52"/>
    <mergeCell ref="CR49:CT52"/>
    <mergeCell ref="CF56:CH59"/>
    <mergeCell ref="CK57:CR59"/>
    <mergeCell ref="CI47:CK47"/>
    <mergeCell ref="CL47:CN47"/>
    <mergeCell ref="CO47:CQ47"/>
    <mergeCell ref="CR47:CT47"/>
    <mergeCell ref="CI48:CK48"/>
    <mergeCell ref="CL48:CN48"/>
    <mergeCell ref="CO48:CQ48"/>
    <mergeCell ref="CR48:CT48"/>
    <mergeCell ref="CW43:CW45"/>
    <mergeCell ref="CX43:DA45"/>
    <mergeCell ref="CI46:CK46"/>
    <mergeCell ref="CL46:CN46"/>
    <mergeCell ref="CO46:CQ46"/>
    <mergeCell ref="CR46:CT46"/>
    <mergeCell ref="CB43:CE45"/>
    <mergeCell ref="CF43:CF45"/>
    <mergeCell ref="CG43:CG45"/>
    <mergeCell ref="CH43:CH45"/>
    <mergeCell ref="CU43:CU45"/>
    <mergeCell ref="CV43:CV45"/>
    <mergeCell ref="CB40:CE42"/>
    <mergeCell ref="CF40:CF42"/>
    <mergeCell ref="CG40:CG42"/>
    <mergeCell ref="CH40:CH42"/>
    <mergeCell ref="CK40:CR42"/>
    <mergeCell ref="CU40:CU42"/>
    <mergeCell ref="CV40:CV42"/>
    <mergeCell ref="CW40:CW42"/>
    <mergeCell ref="CX40:DA42"/>
    <mergeCell ref="CW34:CW36"/>
    <mergeCell ref="CX34:DA36"/>
    <mergeCell ref="CB37:CE39"/>
    <mergeCell ref="CF37:CF39"/>
    <mergeCell ref="CG37:CG39"/>
    <mergeCell ref="CH37:CH39"/>
    <mergeCell ref="CK37:CR39"/>
    <mergeCell ref="CU37:CU39"/>
    <mergeCell ref="CV37:CV39"/>
    <mergeCell ref="CW37:CW39"/>
    <mergeCell ref="CB34:CE36"/>
    <mergeCell ref="CF34:CF36"/>
    <mergeCell ref="CG34:CG36"/>
    <mergeCell ref="CH34:CH36"/>
    <mergeCell ref="CU34:CU36"/>
    <mergeCell ref="CV34:CV36"/>
    <mergeCell ref="CX37:DA39"/>
    <mergeCell ref="CI32:CK32"/>
    <mergeCell ref="CL32:CN32"/>
    <mergeCell ref="CO32:CQ32"/>
    <mergeCell ref="CR32:CT32"/>
    <mergeCell ref="CI33:CK33"/>
    <mergeCell ref="CL33:CN33"/>
    <mergeCell ref="CO33:CQ33"/>
    <mergeCell ref="CR33:CT33"/>
    <mergeCell ref="CI27:CK30"/>
    <mergeCell ref="CL27:CN30"/>
    <mergeCell ref="CO27:CQ30"/>
    <mergeCell ref="CR27:CT30"/>
    <mergeCell ref="CI31:CK31"/>
    <mergeCell ref="CL31:CN31"/>
    <mergeCell ref="CO31:CQ31"/>
    <mergeCell ref="CR31:CT31"/>
    <mergeCell ref="CK17:CR19"/>
    <mergeCell ref="CU17:CW17"/>
    <mergeCell ref="CU18:CW18"/>
    <mergeCell ref="CU19:CW19"/>
    <mergeCell ref="CK20:CR22"/>
    <mergeCell ref="CU20:CW23"/>
    <mergeCell ref="BL1:DS2"/>
    <mergeCell ref="BL3:DS4"/>
    <mergeCell ref="CL7:CN10"/>
    <mergeCell ref="CL11:CN11"/>
    <mergeCell ref="CL12:CN12"/>
    <mergeCell ref="CL13:CN13"/>
    <mergeCell ref="B1:BI2"/>
    <mergeCell ref="B3:BI4"/>
    <mergeCell ref="C6:J7"/>
    <mergeCell ref="K6:AJ7"/>
    <mergeCell ref="AM24:AV26"/>
    <mergeCell ref="AT41:BC43"/>
    <mergeCell ref="AM59:AV61"/>
    <mergeCell ref="C8:J9"/>
    <mergeCell ref="K8:AJ9"/>
    <mergeCell ref="C10:J11"/>
    <mergeCell ref="K10:AJ11"/>
    <mergeCell ref="C12:J13"/>
    <mergeCell ref="K12:AJ13"/>
    <mergeCell ref="AK6:BH7"/>
    <mergeCell ref="AM62:AQ64"/>
    <mergeCell ref="AR62:AV64"/>
    <mergeCell ref="N74:AW74"/>
    <mergeCell ref="AK8:AP9"/>
    <mergeCell ref="AQ8:AV9"/>
    <mergeCell ref="AW8:BB9"/>
    <mergeCell ref="BC8:BH9"/>
    <mergeCell ref="AK10:AV13"/>
    <mergeCell ref="AW10:BH13"/>
    <mergeCell ref="AM27:AQ29"/>
    <mergeCell ref="AR27:AV29"/>
    <mergeCell ref="AT44:AX46"/>
    <mergeCell ref="AY44:BC46"/>
  </mergeCells>
  <conditionalFormatting sqref="AW10 AM27 AT44 AM62">
    <cfRule type="cellIs" dxfId="121" priority="10" operator="between">
      <formula>0.75</formula>
      <formula>0.875</formula>
    </cfRule>
    <cfRule type="cellIs" dxfId="120" priority="11" operator="between">
      <formula>0.875</formula>
      <formula>1</formula>
    </cfRule>
    <cfRule type="cellIs" dxfId="119" priority="12" operator="greaterThan">
      <formula>1</formula>
    </cfRule>
  </conditionalFormatting>
  <conditionalFormatting sqref="CK20 AM24 CK40 AT41 AM59 CK60">
    <cfRule type="cellIs" dxfId="118" priority="18" operator="between">
      <formula>0.75*CLV_Limit</formula>
      <formula>0.875*CLV_Limit-1</formula>
    </cfRule>
    <cfRule type="cellIs" dxfId="117" priority="19" operator="between">
      <formula>0.875*CLV_Limit</formula>
      <formula>CLV_Limit-1</formula>
    </cfRule>
    <cfRule type="cellIs" dxfId="116" priority="22" operator="greaterThanOrEqual">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39997558519241921"/>
  </sheetPr>
  <dimension ref="A1:FE484"/>
  <sheetViews>
    <sheetView showGridLines="0" showRowColHeaders="0" zoomScaleNormal="100" workbookViewId="0">
      <selection activeCell="R78" sqref="R78:R80"/>
    </sheetView>
  </sheetViews>
  <sheetFormatPr defaultColWidth="0" defaultRowHeight="12.75"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0" width="1.7109375" hidden="1" customWidth="1"/>
    <col min="161" max="161" width="0.7109375" hidden="1" customWidth="1"/>
    <col min="162" max="16384" width="9.140625" hidden="1"/>
  </cols>
  <sheetData>
    <row r="1" spans="2:80" ht="9.9499999999999993" customHeight="1">
      <c r="B1" s="571" t="s">
        <v>125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MAX(ROUND(F22/CLV_Limit,2),ROUND(AK21/CLV_Limit,2),ROUND(BP22/CLV_Limit,2))</f>
        <v>1.9</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7"/>
    </row>
    <row r="18" spans="2:80"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7"/>
    </row>
    <row r="19" spans="2:80"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7"/>
    </row>
    <row r="20" spans="2:80" ht="9.9499999999999993" customHeight="1" thickBot="1">
      <c r="B20" s="1"/>
      <c r="C20" s="174"/>
      <c r="D20" s="173"/>
      <c r="E20" s="173"/>
      <c r="F20" s="173"/>
      <c r="G20" s="173"/>
      <c r="H20" s="173"/>
      <c r="I20" s="173"/>
      <c r="J20" s="173"/>
      <c r="K20" s="173"/>
      <c r="L20" s="173"/>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3"/>
      <c r="BP20" s="173"/>
      <c r="BQ20" s="173"/>
      <c r="BR20" s="173"/>
      <c r="BS20" s="173"/>
      <c r="BT20" s="173"/>
      <c r="BU20" s="173"/>
      <c r="BV20" s="173"/>
      <c r="BW20" s="173"/>
      <c r="BX20" s="174"/>
      <c r="BY20" s="174"/>
      <c r="BZ20" s="174"/>
      <c r="CA20" s="174"/>
      <c r="CB20" s="177"/>
    </row>
    <row r="21" spans="2:80" ht="9.9499999999999993" customHeight="1" thickBot="1">
      <c r="B21" s="1"/>
      <c r="C21" s="174"/>
      <c r="D21" s="14"/>
      <c r="E21" s="1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728">
        <f>AL87</f>
        <v>3040.0061919504642</v>
      </c>
      <c r="AL21" s="729"/>
      <c r="AM21" s="729"/>
      <c r="AN21" s="729"/>
      <c r="AO21" s="729"/>
      <c r="AP21" s="729"/>
      <c r="AQ21" s="729"/>
      <c r="AR21" s="729"/>
      <c r="AS21" s="729"/>
      <c r="AT21" s="730"/>
      <c r="AU21" s="174"/>
      <c r="AV21" s="174"/>
      <c r="AW21" s="174"/>
      <c r="AX21" s="174"/>
      <c r="AY21" s="174"/>
      <c r="AZ21" s="174"/>
      <c r="BA21" s="174"/>
      <c r="BB21" s="174"/>
      <c r="BC21" s="174"/>
      <c r="BD21" s="174"/>
      <c r="BE21" s="174"/>
      <c r="BF21" s="174"/>
      <c r="BG21" s="174"/>
      <c r="BH21" s="174"/>
      <c r="BI21" s="174"/>
      <c r="BJ21" s="174"/>
      <c r="BK21" s="174"/>
      <c r="BL21" s="174"/>
      <c r="BM21" s="174"/>
      <c r="BN21" s="174"/>
      <c r="BO21" s="14"/>
      <c r="BP21" s="14"/>
      <c r="BQ21" s="14"/>
      <c r="BR21" s="14"/>
      <c r="BS21" s="14"/>
      <c r="BT21" s="14"/>
      <c r="BU21" s="14"/>
      <c r="BV21" s="14"/>
      <c r="BW21" s="14"/>
      <c r="BX21" s="174"/>
      <c r="BY21" s="174"/>
      <c r="BZ21" s="174"/>
      <c r="CA21" s="174"/>
      <c r="CB21" s="177"/>
    </row>
    <row r="22" spans="2:80" ht="9.9499999999999993" customHeight="1">
      <c r="B22" s="1"/>
      <c r="C22" s="174"/>
      <c r="D22" s="174"/>
      <c r="E22" s="174"/>
      <c r="F22" s="728">
        <f>R87</f>
        <v>921</v>
      </c>
      <c r="G22" s="729"/>
      <c r="H22" s="729"/>
      <c r="I22" s="729"/>
      <c r="J22" s="729"/>
      <c r="K22" s="729"/>
      <c r="L22" s="729"/>
      <c r="M22" s="729"/>
      <c r="N22" s="729"/>
      <c r="O22" s="730"/>
      <c r="P22" s="174"/>
      <c r="Q22" s="174"/>
      <c r="R22" s="174"/>
      <c r="S22" s="174"/>
      <c r="T22" s="174"/>
      <c r="U22" s="174"/>
      <c r="V22" s="174"/>
      <c r="W22" s="174"/>
      <c r="X22" s="174"/>
      <c r="Y22" s="174"/>
      <c r="Z22" s="174"/>
      <c r="AA22" s="174"/>
      <c r="AB22" s="174"/>
      <c r="AC22" s="174"/>
      <c r="AD22" s="174"/>
      <c r="AE22" s="174"/>
      <c r="AF22" s="174"/>
      <c r="AG22" s="174"/>
      <c r="AH22" s="174"/>
      <c r="AI22" s="174"/>
      <c r="AJ22" s="174"/>
      <c r="AK22" s="731"/>
      <c r="AL22" s="732"/>
      <c r="AM22" s="732"/>
      <c r="AN22" s="732"/>
      <c r="AO22" s="732"/>
      <c r="AP22" s="732"/>
      <c r="AQ22" s="732"/>
      <c r="AR22" s="732"/>
      <c r="AS22" s="732"/>
      <c r="AT22" s="733"/>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728">
        <f>BF87</f>
        <v>1168.375</v>
      </c>
      <c r="BQ22" s="729"/>
      <c r="BR22" s="729"/>
      <c r="BS22" s="729"/>
      <c r="BT22" s="729"/>
      <c r="BU22" s="729"/>
      <c r="BV22" s="729"/>
      <c r="BW22" s="729"/>
      <c r="BX22" s="729"/>
      <c r="BY22" s="730"/>
      <c r="BZ22" s="174"/>
      <c r="CA22" s="174"/>
      <c r="CB22" s="177"/>
    </row>
    <row r="23" spans="2:80" ht="9.9499999999999993" customHeight="1" thickBot="1">
      <c r="B23" s="1"/>
      <c r="C23" s="174"/>
      <c r="D23" s="174"/>
      <c r="E23" s="174"/>
      <c r="F23" s="731"/>
      <c r="G23" s="732"/>
      <c r="H23" s="732"/>
      <c r="I23" s="732"/>
      <c r="J23" s="732"/>
      <c r="K23" s="732"/>
      <c r="L23" s="732"/>
      <c r="M23" s="732"/>
      <c r="N23" s="732"/>
      <c r="O23" s="733"/>
      <c r="P23" s="174"/>
      <c r="Q23" s="174"/>
      <c r="R23" s="174"/>
      <c r="S23" s="174"/>
      <c r="T23" s="174"/>
      <c r="U23" s="174"/>
      <c r="V23" s="174"/>
      <c r="W23" s="174"/>
      <c r="X23" s="174"/>
      <c r="Y23" s="174"/>
      <c r="Z23" s="174"/>
      <c r="AA23" s="174"/>
      <c r="AB23" s="174"/>
      <c r="AC23" s="174"/>
      <c r="AD23" s="174"/>
      <c r="AE23" s="174"/>
      <c r="AF23" s="174"/>
      <c r="AG23" s="174"/>
      <c r="AH23" s="174"/>
      <c r="AI23" s="174"/>
      <c r="AJ23" s="174"/>
      <c r="AK23" s="734"/>
      <c r="AL23" s="735"/>
      <c r="AM23" s="735"/>
      <c r="AN23" s="735"/>
      <c r="AO23" s="735"/>
      <c r="AP23" s="735"/>
      <c r="AQ23" s="735"/>
      <c r="AR23" s="735"/>
      <c r="AS23" s="735"/>
      <c r="AT23" s="736"/>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731"/>
      <c r="BQ23" s="732"/>
      <c r="BR23" s="732"/>
      <c r="BS23" s="732"/>
      <c r="BT23" s="732"/>
      <c r="BU23" s="732"/>
      <c r="BV23" s="732"/>
      <c r="BW23" s="732"/>
      <c r="BX23" s="732"/>
      <c r="BY23" s="733"/>
      <c r="BZ23" s="174"/>
      <c r="CA23" s="174"/>
      <c r="CB23" s="177"/>
    </row>
    <row r="24" spans="2:80" ht="9.9499999999999993" customHeight="1" thickBot="1">
      <c r="B24" s="1"/>
      <c r="C24" s="174"/>
      <c r="D24" s="174"/>
      <c r="E24" s="174"/>
      <c r="F24" s="734"/>
      <c r="G24" s="735"/>
      <c r="H24" s="735"/>
      <c r="I24" s="735"/>
      <c r="J24" s="735"/>
      <c r="K24" s="735"/>
      <c r="L24" s="735"/>
      <c r="M24" s="735"/>
      <c r="N24" s="735"/>
      <c r="O24" s="736"/>
      <c r="P24" s="174"/>
      <c r="Q24" s="174"/>
      <c r="R24" s="174"/>
      <c r="S24" s="174"/>
      <c r="T24" s="174"/>
      <c r="U24" s="174"/>
      <c r="V24" s="174"/>
      <c r="W24" s="174"/>
      <c r="X24" s="174"/>
      <c r="Y24" s="174"/>
      <c r="Z24" s="174"/>
      <c r="AA24" s="174"/>
      <c r="AB24" s="174"/>
      <c r="AC24" s="174"/>
      <c r="AD24" s="174"/>
      <c r="AE24" s="174"/>
      <c r="AF24" s="174"/>
      <c r="AG24" s="174"/>
      <c r="AH24" s="174"/>
      <c r="AI24" s="174"/>
      <c r="AJ24" s="174"/>
      <c r="AK24" s="713">
        <f>ROUND(AK21/CLV_Limit,2)</f>
        <v>1.9</v>
      </c>
      <c r="AL24" s="714"/>
      <c r="AM24" s="714"/>
      <c r="AN24" s="714"/>
      <c r="AO24" s="715"/>
      <c r="AP24" s="722" t="s">
        <v>100</v>
      </c>
      <c r="AQ24" s="722"/>
      <c r="AR24" s="722"/>
      <c r="AS24" s="722"/>
      <c r="AT24" s="723"/>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734"/>
      <c r="BQ24" s="735"/>
      <c r="BR24" s="735"/>
      <c r="BS24" s="735"/>
      <c r="BT24" s="735"/>
      <c r="BU24" s="735"/>
      <c r="BV24" s="735"/>
      <c r="BW24" s="735"/>
      <c r="BX24" s="735"/>
      <c r="BY24" s="736"/>
      <c r="BZ24" s="174"/>
      <c r="CA24" s="174"/>
      <c r="CB24" s="177"/>
    </row>
    <row r="25" spans="2:80" ht="9.9499999999999993" customHeight="1">
      <c r="B25" s="1"/>
      <c r="C25" s="174"/>
      <c r="D25" s="174"/>
      <c r="E25" s="174"/>
      <c r="F25" s="713">
        <f>ROUND(F22/CLV_Limit,2)</f>
        <v>0.57999999999999996</v>
      </c>
      <c r="G25" s="714"/>
      <c r="H25" s="714"/>
      <c r="I25" s="714"/>
      <c r="J25" s="715"/>
      <c r="K25" s="722" t="s">
        <v>100</v>
      </c>
      <c r="L25" s="722"/>
      <c r="M25" s="722"/>
      <c r="N25" s="722"/>
      <c r="O25" s="723"/>
      <c r="P25" s="174"/>
      <c r="Q25" s="174"/>
      <c r="R25" s="174"/>
      <c r="S25" s="174"/>
      <c r="T25" s="174"/>
      <c r="U25" s="174"/>
      <c r="V25" s="174"/>
      <c r="W25" s="174"/>
      <c r="X25" s="174"/>
      <c r="Y25" s="174"/>
      <c r="Z25" s="174"/>
      <c r="AA25" s="174"/>
      <c r="AB25" s="174"/>
      <c r="AC25" s="174"/>
      <c r="AD25" s="174"/>
      <c r="AE25" s="174"/>
      <c r="AF25" s="174"/>
      <c r="AG25" s="174"/>
      <c r="AH25" s="174"/>
      <c r="AI25" s="174"/>
      <c r="AJ25" s="174"/>
      <c r="AK25" s="716"/>
      <c r="AL25" s="717"/>
      <c r="AM25" s="717"/>
      <c r="AN25" s="717"/>
      <c r="AO25" s="718"/>
      <c r="AP25" s="724"/>
      <c r="AQ25" s="724"/>
      <c r="AR25" s="724"/>
      <c r="AS25" s="724"/>
      <c r="AT25" s="725"/>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713">
        <f>ROUND(BP22/CLV_Limit,2)</f>
        <v>0.73</v>
      </c>
      <c r="BQ25" s="714"/>
      <c r="BR25" s="714"/>
      <c r="BS25" s="714"/>
      <c r="BT25" s="715"/>
      <c r="BU25" s="1286" t="s">
        <v>100</v>
      </c>
      <c r="BV25" s="1286"/>
      <c r="BW25" s="1286"/>
      <c r="BX25" s="1286"/>
      <c r="BY25" s="1287"/>
      <c r="BZ25" s="174"/>
      <c r="CA25" s="174"/>
      <c r="CB25" s="177"/>
    </row>
    <row r="26" spans="2:80" ht="9.9499999999999993" customHeight="1" thickBot="1">
      <c r="B26" s="1"/>
      <c r="C26" s="174"/>
      <c r="D26" s="174"/>
      <c r="E26" s="174"/>
      <c r="F26" s="716"/>
      <c r="G26" s="717"/>
      <c r="H26" s="717"/>
      <c r="I26" s="717"/>
      <c r="J26" s="718"/>
      <c r="K26" s="724"/>
      <c r="L26" s="724"/>
      <c r="M26" s="724"/>
      <c r="N26" s="724"/>
      <c r="O26" s="725"/>
      <c r="P26" s="174"/>
      <c r="Q26" s="174"/>
      <c r="R26" s="174"/>
      <c r="S26" s="174"/>
      <c r="T26" s="174"/>
      <c r="U26" s="174"/>
      <c r="V26" s="174"/>
      <c r="W26" s="174"/>
      <c r="X26" s="174"/>
      <c r="Y26" s="174"/>
      <c r="Z26" s="174"/>
      <c r="AA26" s="174"/>
      <c r="AB26" s="174"/>
      <c r="AC26" s="174"/>
      <c r="AD26" s="174"/>
      <c r="AE26" s="174"/>
      <c r="AF26" s="174"/>
      <c r="AG26" s="174"/>
      <c r="AH26" s="174"/>
      <c r="AI26" s="174"/>
      <c r="AJ26" s="174"/>
      <c r="AK26" s="719"/>
      <c r="AL26" s="720"/>
      <c r="AM26" s="720"/>
      <c r="AN26" s="720"/>
      <c r="AO26" s="721"/>
      <c r="AP26" s="726"/>
      <c r="AQ26" s="726"/>
      <c r="AR26" s="726"/>
      <c r="AS26" s="726"/>
      <c r="AT26" s="727"/>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716"/>
      <c r="BQ26" s="717"/>
      <c r="BR26" s="717"/>
      <c r="BS26" s="717"/>
      <c r="BT26" s="718"/>
      <c r="BU26" s="1288"/>
      <c r="BV26" s="1288"/>
      <c r="BW26" s="1288"/>
      <c r="BX26" s="1288"/>
      <c r="BY26" s="1289"/>
      <c r="BZ26" s="174"/>
      <c r="CA26" s="174"/>
      <c r="CB26" s="177"/>
    </row>
    <row r="27" spans="2:80" ht="9.9499999999999993" customHeight="1" thickBot="1">
      <c r="B27" s="1"/>
      <c r="C27" s="174"/>
      <c r="D27" s="174"/>
      <c r="E27" s="174"/>
      <c r="F27" s="719"/>
      <c r="G27" s="720"/>
      <c r="H27" s="720"/>
      <c r="I27" s="720"/>
      <c r="J27" s="721"/>
      <c r="K27" s="726"/>
      <c r="L27" s="726"/>
      <c r="M27" s="726"/>
      <c r="N27" s="726"/>
      <c r="O27" s="727"/>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719"/>
      <c r="BQ27" s="720"/>
      <c r="BR27" s="720"/>
      <c r="BS27" s="720"/>
      <c r="BT27" s="721"/>
      <c r="BU27" s="1290"/>
      <c r="BV27" s="1290"/>
      <c r="BW27" s="1290"/>
      <c r="BX27" s="1290"/>
      <c r="BY27" s="1291"/>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705" t="s">
        <v>101</v>
      </c>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705"/>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125</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thickBo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096"/>
      <c r="AK74" s="1097"/>
      <c r="AL74" s="1097"/>
      <c r="AM74" s="1097"/>
      <c r="AN74" s="1097"/>
      <c r="AO74" s="1097"/>
      <c r="AP74" s="1097"/>
      <c r="AQ74" s="1097"/>
      <c r="AR74" s="1097"/>
      <c r="AS74" s="1097"/>
      <c r="AT74" s="1097"/>
      <c r="AU74" s="1098"/>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c r="B75" s="1"/>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099"/>
      <c r="AK75" s="1068"/>
      <c r="AL75" s="1068"/>
      <c r="AM75" s="1068"/>
      <c r="AN75" s="1068"/>
      <c r="AO75" s="1068"/>
      <c r="AP75" s="1068"/>
      <c r="AQ75" s="1068"/>
      <c r="AR75" s="1068"/>
      <c r="AS75" s="1068"/>
      <c r="AT75" s="1068"/>
      <c r="AU75" s="1069"/>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c r="B76" s="1"/>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099"/>
      <c r="AK76" s="1068"/>
      <c r="AL76" s="1068"/>
      <c r="AM76" s="1068"/>
      <c r="AN76" s="1068"/>
      <c r="AO76" s="1068"/>
      <c r="AP76" s="1068"/>
      <c r="AQ76" s="1068"/>
      <c r="AR76" s="1068"/>
      <c r="AS76" s="1068"/>
      <c r="AT76" s="1068"/>
      <c r="AU76" s="1069"/>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7"/>
    </row>
    <row r="77" spans="2:80" ht="9.9499999999999993" customHeight="1" thickBot="1">
      <c r="B77" s="1"/>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099"/>
      <c r="AK77" s="1068"/>
      <c r="AL77" s="1068"/>
      <c r="AM77" s="1068"/>
      <c r="AN77" s="1068"/>
      <c r="AO77" s="1068"/>
      <c r="AP77" s="1068"/>
      <c r="AQ77" s="1068"/>
      <c r="AR77" s="1068"/>
      <c r="AS77" s="1068"/>
      <c r="AT77" s="1068"/>
      <c r="AU77" s="1069"/>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7"/>
    </row>
    <row r="78" spans="2:80" ht="9.9499999999999993" customHeight="1">
      <c r="B78" s="1"/>
      <c r="C78" s="174"/>
      <c r="D78" s="174"/>
      <c r="E78" s="174"/>
      <c r="F78" s="174"/>
      <c r="G78" s="174"/>
      <c r="H78" s="174"/>
      <c r="I78" s="174"/>
      <c r="J78" s="174"/>
      <c r="K78" s="174"/>
      <c r="L78" s="174"/>
      <c r="M78" s="174"/>
      <c r="N78" s="174"/>
      <c r="O78" s="174"/>
      <c r="P78" s="174"/>
      <c r="Q78" s="174"/>
      <c r="R78" s="1090">
        <v>2</v>
      </c>
      <c r="S78" s="1222">
        <f>AW90+AW87+AJ94</f>
        <v>588</v>
      </c>
      <c r="T78" s="1225" t="s">
        <v>99</v>
      </c>
      <c r="U78" s="1134"/>
      <c r="V78" s="1134"/>
      <c r="W78" s="1134"/>
      <c r="X78" s="1135"/>
      <c r="Y78" s="174"/>
      <c r="Z78" s="174"/>
      <c r="AA78" s="174"/>
      <c r="AB78" s="174"/>
      <c r="AC78" s="174"/>
      <c r="AD78" s="174"/>
      <c r="AE78" s="174"/>
      <c r="AF78" s="174"/>
      <c r="AG78" s="174"/>
      <c r="AH78" s="174"/>
      <c r="AI78" s="174"/>
      <c r="AJ78" s="1045" t="s">
        <v>99</v>
      </c>
      <c r="AK78" s="1046"/>
      <c r="AL78" s="1046"/>
      <c r="AM78" s="1046" t="s">
        <v>99</v>
      </c>
      <c r="AN78" s="1046"/>
      <c r="AO78" s="1046"/>
      <c r="AP78" s="1046" t="s">
        <v>99</v>
      </c>
      <c r="AQ78" s="1046"/>
      <c r="AR78" s="1046"/>
      <c r="AS78" s="1046" t="s">
        <v>99</v>
      </c>
      <c r="AT78" s="1046"/>
      <c r="AU78" s="1047"/>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7"/>
    </row>
    <row r="79" spans="2:80" ht="9.9499999999999993" customHeight="1">
      <c r="B79" s="1"/>
      <c r="C79" s="174"/>
      <c r="D79" s="174"/>
      <c r="E79" s="174"/>
      <c r="F79" s="174"/>
      <c r="G79" s="174"/>
      <c r="H79" s="174"/>
      <c r="I79" s="174"/>
      <c r="J79" s="174"/>
      <c r="K79" s="174"/>
      <c r="L79" s="174"/>
      <c r="M79" s="174"/>
      <c r="N79" s="174"/>
      <c r="O79" s="174"/>
      <c r="P79" s="174"/>
      <c r="Q79" s="174"/>
      <c r="R79" s="1082"/>
      <c r="S79" s="1223"/>
      <c r="T79" s="1226"/>
      <c r="U79" s="1136"/>
      <c r="V79" s="1136"/>
      <c r="W79" s="1136"/>
      <c r="X79" s="1137"/>
      <c r="Y79" s="174"/>
      <c r="Z79" s="174"/>
      <c r="AA79" s="174"/>
      <c r="AB79" s="174"/>
      <c r="AC79" s="174"/>
      <c r="AD79" s="174"/>
      <c r="AE79" s="174"/>
      <c r="AF79" s="174"/>
      <c r="AG79" s="174"/>
      <c r="AH79" s="174"/>
      <c r="AI79" s="174"/>
      <c r="AJ79" s="1186">
        <f>SBR_Master</f>
        <v>0</v>
      </c>
      <c r="AK79" s="1187"/>
      <c r="AL79" s="1187"/>
      <c r="AM79" s="1187">
        <f>SBT_Master</f>
        <v>1447</v>
      </c>
      <c r="AN79" s="1187"/>
      <c r="AO79" s="1187"/>
      <c r="AP79" s="1187">
        <f>SBL_Master</f>
        <v>607</v>
      </c>
      <c r="AQ79" s="1187"/>
      <c r="AR79" s="1187"/>
      <c r="AS79" s="1187">
        <f>SBU_Master</f>
        <v>0</v>
      </c>
      <c r="AT79" s="1187"/>
      <c r="AU79" s="1188"/>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7"/>
    </row>
    <row r="80" spans="2:80" ht="9.9499999999999993" customHeight="1" thickBot="1">
      <c r="B80" s="1"/>
      <c r="C80" s="174"/>
      <c r="D80" s="174"/>
      <c r="E80" s="174"/>
      <c r="F80" s="174"/>
      <c r="G80" s="174"/>
      <c r="H80" s="174"/>
      <c r="I80" s="174"/>
      <c r="J80" s="174"/>
      <c r="K80" s="174"/>
      <c r="L80" s="174"/>
      <c r="M80" s="174"/>
      <c r="N80" s="174"/>
      <c r="O80" s="174"/>
      <c r="P80" s="174"/>
      <c r="Q80" s="174"/>
      <c r="R80" s="1221"/>
      <c r="S80" s="1224"/>
      <c r="T80" s="1227"/>
      <c r="U80" s="1150"/>
      <c r="V80" s="1150"/>
      <c r="W80" s="1150"/>
      <c r="X80" s="1151"/>
      <c r="Y80" s="174"/>
      <c r="Z80" s="174"/>
      <c r="AA80" s="174"/>
      <c r="AB80" s="174"/>
      <c r="AC80" s="174"/>
      <c r="AD80" s="174"/>
      <c r="AE80" s="174"/>
      <c r="AF80" s="174"/>
      <c r="AG80" s="174"/>
      <c r="AH80" s="174"/>
      <c r="AI80" s="174"/>
      <c r="AJ80" s="928">
        <v>1</v>
      </c>
      <c r="AK80" s="929"/>
      <c r="AL80" s="929"/>
      <c r="AM80" s="929">
        <v>2</v>
      </c>
      <c r="AN80" s="929"/>
      <c r="AO80" s="929"/>
      <c r="AP80" s="929">
        <v>1</v>
      </c>
      <c r="AQ80" s="929"/>
      <c r="AR80" s="929"/>
      <c r="AS80" s="1010"/>
      <c r="AT80" s="1010"/>
      <c r="AU80" s="1011"/>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7"/>
    </row>
    <row r="81" spans="2:80" ht="9.9499999999999993" customHeight="1">
      <c r="B81" s="1"/>
      <c r="C81" s="174"/>
      <c r="D81" s="174"/>
      <c r="E81" s="174"/>
      <c r="F81" s="174"/>
      <c r="G81" s="174"/>
      <c r="H81" s="174"/>
      <c r="I81" s="174"/>
      <c r="J81" s="174"/>
      <c r="K81" s="174"/>
      <c r="L81" s="174"/>
      <c r="M81" s="174"/>
      <c r="N81" s="174"/>
      <c r="O81" s="174"/>
      <c r="P81" s="56"/>
      <c r="Q81" s="175"/>
      <c r="R81" s="175"/>
      <c r="S81" s="175"/>
      <c r="T81" s="175"/>
      <c r="U81" s="175"/>
      <c r="V81" s="175"/>
      <c r="W81" s="175"/>
      <c r="X81" s="175"/>
      <c r="Y81" s="175"/>
      <c r="Z81" s="175"/>
      <c r="AA81" s="176"/>
      <c r="AB81" s="174"/>
      <c r="AC81" s="1138"/>
      <c r="AD81" s="1134"/>
      <c r="AE81" s="1134"/>
      <c r="AF81" s="1134"/>
      <c r="AG81" s="1295" t="s">
        <v>99</v>
      </c>
      <c r="AH81" s="1087">
        <f>EBU_Master</f>
        <v>0</v>
      </c>
      <c r="AI81" s="1089"/>
      <c r="AJ81" s="56"/>
      <c r="AK81" s="175"/>
      <c r="AL81" s="109"/>
      <c r="AM81" s="109"/>
      <c r="AN81" s="109"/>
      <c r="AO81" s="109"/>
      <c r="AP81" s="109"/>
      <c r="AQ81" s="109"/>
      <c r="AR81" s="109"/>
      <c r="AS81" s="175"/>
      <c r="AT81" s="175"/>
      <c r="AU81" s="175"/>
      <c r="AV81" s="910">
        <v>1</v>
      </c>
      <c r="AW81" s="1091">
        <f>WBR_Master</f>
        <v>625</v>
      </c>
      <c r="AX81" s="1292" t="s">
        <v>99</v>
      </c>
      <c r="AY81" s="1134"/>
      <c r="AZ81" s="1134"/>
      <c r="BA81" s="1134"/>
      <c r="BB81" s="1135"/>
      <c r="BC81" s="174"/>
      <c r="BD81" s="56"/>
      <c r="BE81" s="175"/>
      <c r="BF81" s="175"/>
      <c r="BG81" s="175"/>
      <c r="BH81" s="175"/>
      <c r="BI81" s="175"/>
      <c r="BJ81" s="175"/>
      <c r="BK81" s="175"/>
      <c r="BL81" s="175"/>
      <c r="BM81" s="175"/>
      <c r="BN81" s="175"/>
      <c r="BO81" s="176"/>
      <c r="BP81" s="174"/>
      <c r="BQ81" s="174"/>
      <c r="BR81" s="174"/>
      <c r="BS81" s="174"/>
      <c r="BT81" s="174"/>
      <c r="BU81" s="174"/>
      <c r="BV81" s="174"/>
      <c r="BW81" s="174"/>
      <c r="BX81" s="174"/>
      <c r="BY81" s="174"/>
      <c r="BZ81" s="174"/>
      <c r="CA81" s="174"/>
      <c r="CB81" s="177"/>
    </row>
    <row r="82" spans="2:80" ht="9.9499999999999993" customHeight="1">
      <c r="B82" s="1"/>
      <c r="C82" s="174"/>
      <c r="D82" s="174"/>
      <c r="E82" s="174"/>
      <c r="F82" s="174"/>
      <c r="G82" s="174"/>
      <c r="H82" s="174"/>
      <c r="I82" s="174"/>
      <c r="J82" s="174"/>
      <c r="K82" s="174"/>
      <c r="L82" s="174"/>
      <c r="M82" s="174"/>
      <c r="N82" s="174"/>
      <c r="O82" s="174"/>
      <c r="P82" s="58"/>
      <c r="Q82" s="109"/>
      <c r="R82" s="109"/>
      <c r="S82" s="109"/>
      <c r="T82" s="109"/>
      <c r="U82" s="109"/>
      <c r="V82" s="109"/>
      <c r="W82" s="109"/>
      <c r="X82" s="109"/>
      <c r="Y82" s="109"/>
      <c r="Z82" s="109"/>
      <c r="AA82" s="60"/>
      <c r="AB82" s="174"/>
      <c r="AC82" s="1139"/>
      <c r="AD82" s="1136"/>
      <c r="AE82" s="1136"/>
      <c r="AF82" s="1136"/>
      <c r="AG82" s="1294"/>
      <c r="AH82" s="1080"/>
      <c r="AI82" s="1089"/>
      <c r="AJ82" s="58"/>
      <c r="AK82" s="109"/>
      <c r="AL82" s="109"/>
      <c r="AM82" s="109"/>
      <c r="AN82" s="109"/>
      <c r="AO82" s="109"/>
      <c r="AP82" s="109"/>
      <c r="AQ82" s="109"/>
      <c r="AR82" s="109"/>
      <c r="AS82" s="109"/>
      <c r="AT82" s="109"/>
      <c r="AU82" s="109"/>
      <c r="AV82" s="911"/>
      <c r="AW82" s="1083"/>
      <c r="AX82" s="1293"/>
      <c r="AY82" s="1136"/>
      <c r="AZ82" s="1136"/>
      <c r="BA82" s="1136"/>
      <c r="BB82" s="1137"/>
      <c r="BC82" s="174"/>
      <c r="BD82" s="58"/>
      <c r="BE82" s="109"/>
      <c r="BF82" s="109"/>
      <c r="BG82" s="109"/>
      <c r="BH82" s="109"/>
      <c r="BI82" s="109"/>
      <c r="BJ82" s="109"/>
      <c r="BK82" s="109"/>
      <c r="BL82" s="109"/>
      <c r="BM82" s="109"/>
      <c r="BN82" s="109"/>
      <c r="BO82" s="60"/>
      <c r="BP82" s="174"/>
      <c r="BQ82" s="174"/>
      <c r="BR82" s="174"/>
      <c r="BS82" s="174"/>
      <c r="BT82" s="174"/>
      <c r="BU82" s="174"/>
      <c r="BV82" s="174"/>
      <c r="BW82" s="174"/>
      <c r="BX82" s="174"/>
      <c r="BY82" s="174"/>
      <c r="BZ82" s="174"/>
      <c r="CA82" s="174"/>
      <c r="CB82" s="177"/>
    </row>
    <row r="83" spans="2:80" ht="9.9499999999999993" customHeight="1" thickBot="1">
      <c r="B83" s="1"/>
      <c r="C83" s="174"/>
      <c r="D83" s="174"/>
      <c r="E83" s="174"/>
      <c r="F83" s="174"/>
      <c r="G83" s="174"/>
      <c r="H83" s="174"/>
      <c r="I83" s="174"/>
      <c r="J83" s="174"/>
      <c r="K83" s="174"/>
      <c r="L83" s="174"/>
      <c r="M83" s="174"/>
      <c r="N83" s="174"/>
      <c r="O83" s="174"/>
      <c r="P83" s="58"/>
      <c r="Q83" s="109"/>
      <c r="R83" s="109"/>
      <c r="S83" s="109"/>
      <c r="T83" s="109"/>
      <c r="U83" s="109"/>
      <c r="V83" s="109"/>
      <c r="W83" s="109"/>
      <c r="X83" s="109"/>
      <c r="Y83" s="109"/>
      <c r="Z83" s="109"/>
      <c r="AA83" s="60"/>
      <c r="AB83" s="174"/>
      <c r="AC83" s="1139"/>
      <c r="AD83" s="1136"/>
      <c r="AE83" s="1136"/>
      <c r="AF83" s="1136"/>
      <c r="AG83" s="1294"/>
      <c r="AH83" s="1080"/>
      <c r="AI83" s="1012"/>
      <c r="AJ83" s="58"/>
      <c r="AK83" s="109"/>
      <c r="AL83" s="109"/>
      <c r="AM83" s="109"/>
      <c r="AN83" s="109"/>
      <c r="AO83" s="109"/>
      <c r="AP83" s="109"/>
      <c r="AQ83" s="109"/>
      <c r="AR83" s="109"/>
      <c r="AS83" s="109"/>
      <c r="AT83" s="109"/>
      <c r="AU83" s="109"/>
      <c r="AV83" s="912"/>
      <c r="AW83" s="1083"/>
      <c r="AX83" s="1293"/>
      <c r="AY83" s="1136"/>
      <c r="AZ83" s="1136"/>
      <c r="BA83" s="1136"/>
      <c r="BB83" s="1137"/>
      <c r="BC83" s="174"/>
      <c r="BD83" s="58"/>
      <c r="BE83" s="109"/>
      <c r="BF83" s="109"/>
      <c r="BG83" s="109"/>
      <c r="BH83" s="109"/>
      <c r="BI83" s="109"/>
      <c r="BJ83" s="109"/>
      <c r="BK83" s="109"/>
      <c r="BL83" s="109"/>
      <c r="BM83" s="109"/>
      <c r="BN83" s="109"/>
      <c r="BO83" s="60"/>
      <c r="BP83" s="174"/>
      <c r="BQ83" s="174"/>
      <c r="BR83" s="174"/>
      <c r="BS83" s="174"/>
      <c r="BT83" s="174"/>
      <c r="BU83" s="174"/>
      <c r="BV83" s="174"/>
      <c r="BW83" s="174"/>
      <c r="BX83" s="174"/>
      <c r="BY83" s="174"/>
      <c r="BZ83" s="174"/>
      <c r="CA83" s="174"/>
      <c r="CB83" s="177"/>
    </row>
    <row r="84" spans="2:80" ht="9.9499999999999993" customHeight="1">
      <c r="B84" s="1"/>
      <c r="C84" s="174"/>
      <c r="D84" s="174"/>
      <c r="E84" s="174"/>
      <c r="F84" s="174"/>
      <c r="G84" s="174"/>
      <c r="H84" s="174"/>
      <c r="I84" s="174"/>
      <c r="J84" s="174"/>
      <c r="K84" s="174"/>
      <c r="L84" s="174"/>
      <c r="M84" s="174"/>
      <c r="N84" s="174"/>
      <c r="O84" s="174"/>
      <c r="P84" s="58"/>
      <c r="Q84" s="109"/>
      <c r="R84" s="763"/>
      <c r="S84" s="764"/>
      <c r="T84" s="764"/>
      <c r="U84" s="764"/>
      <c r="V84" s="764"/>
      <c r="W84" s="764"/>
      <c r="X84" s="764"/>
      <c r="Y84" s="771"/>
      <c r="Z84" s="109"/>
      <c r="AA84" s="60"/>
      <c r="AB84" s="174"/>
      <c r="AC84" s="1139"/>
      <c r="AD84" s="1136"/>
      <c r="AE84" s="1136"/>
      <c r="AF84" s="1136"/>
      <c r="AG84" s="1294" t="s">
        <v>99</v>
      </c>
      <c r="AH84" s="1080">
        <f>EBL_Master</f>
        <v>899</v>
      </c>
      <c r="AI84" s="1089"/>
      <c r="AJ84" s="58"/>
      <c r="AK84" s="109"/>
      <c r="AL84" s="763"/>
      <c r="AM84" s="764"/>
      <c r="AN84" s="764"/>
      <c r="AO84" s="764"/>
      <c r="AP84" s="764"/>
      <c r="AQ84" s="764"/>
      <c r="AR84" s="764"/>
      <c r="AS84" s="771"/>
      <c r="AT84" s="109"/>
      <c r="AU84" s="109"/>
      <c r="AV84" s="1228">
        <f>BP84</f>
        <v>2</v>
      </c>
      <c r="AW84" s="1083">
        <f>WBT_Master</f>
        <v>0</v>
      </c>
      <c r="AX84" s="1293" t="s">
        <v>99</v>
      </c>
      <c r="AY84" s="1136"/>
      <c r="AZ84" s="1136"/>
      <c r="BA84" s="1136"/>
      <c r="BB84" s="1137"/>
      <c r="BC84" s="174"/>
      <c r="BD84" s="58"/>
      <c r="BE84" s="109"/>
      <c r="BF84" s="763"/>
      <c r="BG84" s="764"/>
      <c r="BH84" s="764"/>
      <c r="BI84" s="764"/>
      <c r="BJ84" s="764"/>
      <c r="BK84" s="764"/>
      <c r="BL84" s="764"/>
      <c r="BM84" s="771"/>
      <c r="BN84" s="109"/>
      <c r="BO84" s="60"/>
      <c r="BP84" s="1296">
        <v>2</v>
      </c>
      <c r="BQ84" s="1222">
        <f>AW90+AW87+AW84+AW81</f>
        <v>1213</v>
      </c>
      <c r="BR84" s="1274" t="s">
        <v>99</v>
      </c>
      <c r="BS84" s="1134"/>
      <c r="BT84" s="1134"/>
      <c r="BU84" s="1134"/>
      <c r="BV84" s="1135"/>
      <c r="BW84" s="174"/>
      <c r="BX84" s="174"/>
      <c r="BY84" s="174"/>
      <c r="BZ84" s="174"/>
      <c r="CA84" s="174"/>
      <c r="CB84" s="177"/>
    </row>
    <row r="85" spans="2:80" ht="9.9499999999999993" customHeight="1" thickBot="1">
      <c r="B85" s="1"/>
      <c r="C85" s="174"/>
      <c r="D85" s="174"/>
      <c r="E85" s="174"/>
      <c r="F85" s="174"/>
      <c r="G85" s="174"/>
      <c r="H85" s="174"/>
      <c r="I85" s="174"/>
      <c r="J85" s="174"/>
      <c r="K85" s="174"/>
      <c r="L85" s="174"/>
      <c r="M85" s="174"/>
      <c r="N85" s="174"/>
      <c r="O85" s="174"/>
      <c r="P85" s="58"/>
      <c r="Q85" s="109"/>
      <c r="R85" s="766"/>
      <c r="S85" s="767"/>
      <c r="T85" s="767"/>
      <c r="U85" s="767"/>
      <c r="V85" s="767"/>
      <c r="W85" s="767"/>
      <c r="X85" s="767"/>
      <c r="Y85" s="772"/>
      <c r="Z85" s="109"/>
      <c r="AA85" s="60"/>
      <c r="AB85" s="174"/>
      <c r="AC85" s="1139"/>
      <c r="AD85" s="1136"/>
      <c r="AE85" s="1136"/>
      <c r="AF85" s="1136"/>
      <c r="AG85" s="1294"/>
      <c r="AH85" s="1080"/>
      <c r="AI85" s="1089"/>
      <c r="AJ85" s="58"/>
      <c r="AK85" s="109"/>
      <c r="AL85" s="766"/>
      <c r="AM85" s="767"/>
      <c r="AN85" s="767"/>
      <c r="AO85" s="767"/>
      <c r="AP85" s="767"/>
      <c r="AQ85" s="767"/>
      <c r="AR85" s="767"/>
      <c r="AS85" s="772"/>
      <c r="AT85" s="109"/>
      <c r="AU85" s="109"/>
      <c r="AV85" s="1229"/>
      <c r="AW85" s="1083"/>
      <c r="AX85" s="1293"/>
      <c r="AY85" s="1136"/>
      <c r="AZ85" s="1136"/>
      <c r="BA85" s="1136"/>
      <c r="BB85" s="1137"/>
      <c r="BC85" s="174"/>
      <c r="BD85" s="58"/>
      <c r="BE85" s="109"/>
      <c r="BF85" s="766"/>
      <c r="BG85" s="767"/>
      <c r="BH85" s="767"/>
      <c r="BI85" s="767"/>
      <c r="BJ85" s="767"/>
      <c r="BK85" s="767"/>
      <c r="BL85" s="767"/>
      <c r="BM85" s="772"/>
      <c r="BN85" s="109"/>
      <c r="BO85" s="60"/>
      <c r="BP85" s="1297"/>
      <c r="BQ85" s="1223"/>
      <c r="BR85" s="1275"/>
      <c r="BS85" s="1136"/>
      <c r="BT85" s="1136"/>
      <c r="BU85" s="1136"/>
      <c r="BV85" s="1137"/>
      <c r="BW85" s="174"/>
      <c r="BX85" s="174"/>
      <c r="BY85" s="174"/>
      <c r="BZ85" s="174"/>
      <c r="CA85" s="174"/>
      <c r="CB85" s="177"/>
    </row>
    <row r="86" spans="2:80" ht="9.9499999999999993" customHeight="1" thickBot="1">
      <c r="B86" s="1"/>
      <c r="C86" s="174"/>
      <c r="D86" s="174"/>
      <c r="E86" s="174"/>
      <c r="F86" s="174"/>
      <c r="G86" s="174"/>
      <c r="H86" s="174"/>
      <c r="I86" s="1138"/>
      <c r="J86" s="1134"/>
      <c r="K86" s="1134"/>
      <c r="L86" s="1134"/>
      <c r="M86" s="1277" t="s">
        <v>99</v>
      </c>
      <c r="N86" s="1280">
        <f>AH90+AH87+AH84+AH81</f>
        <v>1107</v>
      </c>
      <c r="O86" s="1239">
        <v>2</v>
      </c>
      <c r="P86" s="58"/>
      <c r="Q86" s="109"/>
      <c r="R86" s="766"/>
      <c r="S86" s="767"/>
      <c r="T86" s="767"/>
      <c r="U86" s="767"/>
      <c r="V86" s="767"/>
      <c r="W86" s="767"/>
      <c r="X86" s="767"/>
      <c r="Y86" s="772"/>
      <c r="Z86" s="109"/>
      <c r="AA86" s="60"/>
      <c r="AB86" s="174"/>
      <c r="AC86" s="1139"/>
      <c r="AD86" s="1136"/>
      <c r="AE86" s="1136"/>
      <c r="AF86" s="1136"/>
      <c r="AG86" s="1294"/>
      <c r="AH86" s="1080"/>
      <c r="AI86" s="1089"/>
      <c r="AJ86" s="109"/>
      <c r="AK86" s="109"/>
      <c r="AL86" s="766"/>
      <c r="AM86" s="767"/>
      <c r="AN86" s="767"/>
      <c r="AO86" s="767"/>
      <c r="AP86" s="767"/>
      <c r="AQ86" s="767"/>
      <c r="AR86" s="767"/>
      <c r="AS86" s="772"/>
      <c r="AT86" s="109"/>
      <c r="AU86" s="109"/>
      <c r="AV86" s="1229"/>
      <c r="AW86" s="1083"/>
      <c r="AX86" s="1293"/>
      <c r="AY86" s="1136"/>
      <c r="AZ86" s="1136"/>
      <c r="BA86" s="1136"/>
      <c r="BB86" s="1137"/>
      <c r="BC86" s="174"/>
      <c r="BD86" s="58"/>
      <c r="BE86" s="109"/>
      <c r="BF86" s="766"/>
      <c r="BG86" s="767"/>
      <c r="BH86" s="767"/>
      <c r="BI86" s="767"/>
      <c r="BJ86" s="767"/>
      <c r="BK86" s="767"/>
      <c r="BL86" s="767"/>
      <c r="BM86" s="772"/>
      <c r="BN86" s="109"/>
      <c r="BO86" s="60"/>
      <c r="BP86" s="1298"/>
      <c r="BQ86" s="1224"/>
      <c r="BR86" s="1276"/>
      <c r="BS86" s="1150"/>
      <c r="BT86" s="1150"/>
      <c r="BU86" s="1150"/>
      <c r="BV86" s="1151"/>
      <c r="BW86" s="174"/>
      <c r="BX86" s="174"/>
      <c r="BY86" s="174"/>
      <c r="BZ86" s="174"/>
      <c r="CA86" s="174"/>
      <c r="CB86" s="177"/>
    </row>
    <row r="87" spans="2:80" ht="9.9499999999999993" customHeight="1">
      <c r="B87" s="1"/>
      <c r="C87" s="174"/>
      <c r="D87" s="174"/>
      <c r="E87" s="174"/>
      <c r="F87" s="174"/>
      <c r="G87" s="174"/>
      <c r="H87" s="174"/>
      <c r="I87" s="1139"/>
      <c r="J87" s="1136"/>
      <c r="K87" s="1136"/>
      <c r="L87" s="1136"/>
      <c r="M87" s="1278"/>
      <c r="N87" s="1281"/>
      <c r="O87" s="1081"/>
      <c r="P87" s="58"/>
      <c r="Q87" s="109"/>
      <c r="R87" s="833">
        <f>+(N86/O86 +S78/UTAF/R78)</f>
        <v>921</v>
      </c>
      <c r="S87" s="834"/>
      <c r="T87" s="834"/>
      <c r="U87" s="834"/>
      <c r="V87" s="834"/>
      <c r="W87" s="834"/>
      <c r="X87" s="834"/>
      <c r="Y87" s="835"/>
      <c r="Z87" s="109"/>
      <c r="AA87" s="60"/>
      <c r="AB87" s="174"/>
      <c r="AC87" s="1139"/>
      <c r="AD87" s="1136"/>
      <c r="AE87" s="1136"/>
      <c r="AF87" s="1136"/>
      <c r="AG87" s="1294" t="s">
        <v>99</v>
      </c>
      <c r="AH87" s="1080">
        <f>EBT_Master</f>
        <v>0</v>
      </c>
      <c r="AI87" s="1246">
        <f>O86</f>
        <v>2</v>
      </c>
      <c r="AJ87" s="109"/>
      <c r="AK87" s="109"/>
      <c r="AL87" s="833">
        <f>MAX((AH87+AH84+AH81+AW90)/AI87, ROUND(MAX(0,(AH90+AW87+AJ94)/RTAF/AI90-AM94/LTAF/AM93),0), (AW84+AW87+AW90+AH81)/AV84, ROUND(MAX(0,(AW81+AH84+AS79)/RTAF/AV81-AP79/LTAF/AP80),0)) +MAX((AM94/LTAF+AJ94/UTAF)/AM93 + MAX(AM79/AM80, AJ79/RTAF/AJ80), (AP79/LTAF+AS79/UTAF)/AP80 +MAX(AP94/AP93, AS94/RTAF/AS93))</f>
        <v>3040.0061919504642</v>
      </c>
      <c r="AM87" s="834"/>
      <c r="AN87" s="834"/>
      <c r="AO87" s="834"/>
      <c r="AP87" s="834"/>
      <c r="AQ87" s="834"/>
      <c r="AR87" s="834"/>
      <c r="AS87" s="835"/>
      <c r="AT87" s="109"/>
      <c r="AU87" s="109"/>
      <c r="AV87" s="1002"/>
      <c r="AW87" s="1083">
        <f>WBL_Master</f>
        <v>588</v>
      </c>
      <c r="AX87" s="1293" t="s">
        <v>99</v>
      </c>
      <c r="AY87" s="1136"/>
      <c r="AZ87" s="1136"/>
      <c r="BA87" s="1136"/>
      <c r="BB87" s="1137"/>
      <c r="BC87" s="174"/>
      <c r="BD87" s="58"/>
      <c r="BE87" s="109"/>
      <c r="BF87" s="833">
        <f>+(BQ84/BP84 + BL93/UTAF/BM93)</f>
        <v>1168.375</v>
      </c>
      <c r="BG87" s="834"/>
      <c r="BH87" s="834"/>
      <c r="BI87" s="834"/>
      <c r="BJ87" s="834"/>
      <c r="BK87" s="834"/>
      <c r="BL87" s="834"/>
      <c r="BM87" s="835"/>
      <c r="BN87" s="109"/>
      <c r="BO87" s="60"/>
      <c r="BP87" s="174"/>
      <c r="BQ87" s="174"/>
      <c r="BR87" s="174"/>
      <c r="BS87" s="174"/>
      <c r="BT87" s="174"/>
      <c r="BU87" s="174"/>
      <c r="BV87" s="174"/>
      <c r="BW87" s="174"/>
      <c r="BX87" s="174"/>
      <c r="BY87" s="174"/>
      <c r="BZ87" s="174"/>
      <c r="CA87" s="174"/>
      <c r="CB87" s="177"/>
    </row>
    <row r="88" spans="2:80" ht="9.9499999999999993" customHeight="1" thickBot="1">
      <c r="B88" s="1"/>
      <c r="C88" s="174"/>
      <c r="D88" s="174"/>
      <c r="E88" s="174"/>
      <c r="F88" s="174"/>
      <c r="G88" s="174"/>
      <c r="H88" s="174"/>
      <c r="I88" s="1153"/>
      <c r="J88" s="1150"/>
      <c r="K88" s="1150"/>
      <c r="L88" s="1150"/>
      <c r="M88" s="1279"/>
      <c r="N88" s="1282"/>
      <c r="O88" s="1110"/>
      <c r="P88" s="58"/>
      <c r="Q88" s="109"/>
      <c r="R88" s="833"/>
      <c r="S88" s="834"/>
      <c r="T88" s="834"/>
      <c r="U88" s="834"/>
      <c r="V88" s="834"/>
      <c r="W88" s="834"/>
      <c r="X88" s="834"/>
      <c r="Y88" s="835"/>
      <c r="Z88" s="109"/>
      <c r="AA88" s="60"/>
      <c r="AB88" s="174"/>
      <c r="AC88" s="1139"/>
      <c r="AD88" s="1136"/>
      <c r="AE88" s="1136"/>
      <c r="AF88" s="1136"/>
      <c r="AG88" s="1294"/>
      <c r="AH88" s="1080"/>
      <c r="AI88" s="1247"/>
      <c r="AJ88" s="109"/>
      <c r="AK88" s="109"/>
      <c r="AL88" s="833"/>
      <c r="AM88" s="834"/>
      <c r="AN88" s="834"/>
      <c r="AO88" s="834"/>
      <c r="AP88" s="834"/>
      <c r="AQ88" s="834"/>
      <c r="AR88" s="834"/>
      <c r="AS88" s="835"/>
      <c r="AT88" s="109"/>
      <c r="AU88" s="109"/>
      <c r="AV88" s="1003"/>
      <c r="AW88" s="1083"/>
      <c r="AX88" s="1293"/>
      <c r="AY88" s="1136"/>
      <c r="AZ88" s="1136"/>
      <c r="BA88" s="1136"/>
      <c r="BB88" s="1137"/>
      <c r="BC88" s="174"/>
      <c r="BD88" s="58"/>
      <c r="BE88" s="109"/>
      <c r="BF88" s="833"/>
      <c r="BG88" s="834"/>
      <c r="BH88" s="834"/>
      <c r="BI88" s="834"/>
      <c r="BJ88" s="834"/>
      <c r="BK88" s="834"/>
      <c r="BL88" s="834"/>
      <c r="BM88" s="835"/>
      <c r="BN88" s="109"/>
      <c r="BO88" s="60"/>
      <c r="BP88" s="174"/>
      <c r="BQ88" s="174"/>
      <c r="BR88" s="174"/>
      <c r="BS88" s="174"/>
      <c r="BT88" s="174"/>
      <c r="BU88" s="174"/>
      <c r="BV88" s="174"/>
      <c r="BW88" s="174"/>
      <c r="BX88" s="174"/>
      <c r="BY88" s="174"/>
      <c r="BZ88" s="174"/>
      <c r="CA88" s="174"/>
      <c r="CB88" s="177"/>
    </row>
    <row r="89" spans="2:80" ht="9.9499999999999993" customHeight="1" thickBot="1">
      <c r="B89" s="1"/>
      <c r="C89" s="174"/>
      <c r="D89" s="174"/>
      <c r="E89" s="174"/>
      <c r="F89" s="174"/>
      <c r="G89" s="174"/>
      <c r="H89" s="174"/>
      <c r="I89" s="174"/>
      <c r="J89" s="174"/>
      <c r="K89" s="174"/>
      <c r="L89" s="174"/>
      <c r="M89" s="174"/>
      <c r="N89" s="174"/>
      <c r="O89" s="174"/>
      <c r="P89" s="58"/>
      <c r="Q89" s="109"/>
      <c r="R89" s="836"/>
      <c r="S89" s="837"/>
      <c r="T89" s="837"/>
      <c r="U89" s="837"/>
      <c r="V89" s="837"/>
      <c r="W89" s="837"/>
      <c r="X89" s="837"/>
      <c r="Y89" s="838"/>
      <c r="Z89" s="109"/>
      <c r="AA89" s="60"/>
      <c r="AB89" s="174"/>
      <c r="AC89" s="1139"/>
      <c r="AD89" s="1136"/>
      <c r="AE89" s="1136"/>
      <c r="AF89" s="1136"/>
      <c r="AG89" s="1294"/>
      <c r="AH89" s="1080"/>
      <c r="AI89" s="1248"/>
      <c r="AJ89" s="58"/>
      <c r="AK89" s="109"/>
      <c r="AL89" s="836"/>
      <c r="AM89" s="837"/>
      <c r="AN89" s="837"/>
      <c r="AO89" s="837"/>
      <c r="AP89" s="837"/>
      <c r="AQ89" s="837"/>
      <c r="AR89" s="837"/>
      <c r="AS89" s="838"/>
      <c r="AT89" s="109"/>
      <c r="AU89" s="109"/>
      <c r="AV89" s="1003"/>
      <c r="AW89" s="1083"/>
      <c r="AX89" s="1293"/>
      <c r="AY89" s="1136"/>
      <c r="AZ89" s="1136"/>
      <c r="BA89" s="1136"/>
      <c r="BB89" s="1137"/>
      <c r="BC89" s="174"/>
      <c r="BD89" s="58"/>
      <c r="BE89" s="109"/>
      <c r="BF89" s="836"/>
      <c r="BG89" s="837"/>
      <c r="BH89" s="837"/>
      <c r="BI89" s="837"/>
      <c r="BJ89" s="837"/>
      <c r="BK89" s="837"/>
      <c r="BL89" s="837"/>
      <c r="BM89" s="838"/>
      <c r="BN89" s="109"/>
      <c r="BO89" s="60"/>
      <c r="BP89" s="174"/>
      <c r="BQ89" s="174"/>
      <c r="BR89" s="174"/>
      <c r="BS89" s="174"/>
      <c r="BT89" s="174"/>
      <c r="BU89" s="174"/>
      <c r="BV89" s="174"/>
      <c r="BW89" s="174"/>
      <c r="BX89" s="174"/>
      <c r="BY89" s="174"/>
      <c r="BZ89" s="174"/>
      <c r="CA89" s="174"/>
      <c r="CB89" s="177"/>
    </row>
    <row r="90" spans="2:80" ht="9.9499999999999993" customHeight="1">
      <c r="B90" s="1"/>
      <c r="C90" s="174"/>
      <c r="D90" s="174"/>
      <c r="E90" s="174"/>
      <c r="F90" s="174"/>
      <c r="G90" s="174"/>
      <c r="H90" s="174"/>
      <c r="I90" s="174"/>
      <c r="J90" s="174"/>
      <c r="K90" s="174"/>
      <c r="L90" s="174"/>
      <c r="M90" s="174"/>
      <c r="N90" s="174"/>
      <c r="O90" s="174"/>
      <c r="P90" s="58"/>
      <c r="Q90" s="109"/>
      <c r="R90" s="109"/>
      <c r="S90" s="109"/>
      <c r="T90" s="109"/>
      <c r="U90" s="109"/>
      <c r="V90" s="109"/>
      <c r="W90" s="109"/>
      <c r="X90" s="109"/>
      <c r="Y90" s="109"/>
      <c r="Z90" s="109"/>
      <c r="AA90" s="60"/>
      <c r="AB90" s="174"/>
      <c r="AC90" s="1139"/>
      <c r="AD90" s="1136"/>
      <c r="AE90" s="1136"/>
      <c r="AF90" s="1136"/>
      <c r="AG90" s="1294" t="s">
        <v>99</v>
      </c>
      <c r="AH90" s="1080">
        <f>EBR_Master</f>
        <v>208</v>
      </c>
      <c r="AI90" s="1081">
        <v>1</v>
      </c>
      <c r="AJ90" s="58"/>
      <c r="AK90" s="109"/>
      <c r="AL90" s="109"/>
      <c r="AM90" s="109"/>
      <c r="AN90" s="109"/>
      <c r="AO90" s="109"/>
      <c r="AP90" s="109"/>
      <c r="AQ90" s="109"/>
      <c r="AR90" s="109"/>
      <c r="AS90" s="109"/>
      <c r="AT90" s="109"/>
      <c r="AU90" s="109"/>
      <c r="AV90" s="1002"/>
      <c r="AW90" s="1083">
        <f>WBU_Master</f>
        <v>0</v>
      </c>
      <c r="AX90" s="1293" t="s">
        <v>99</v>
      </c>
      <c r="AY90" s="1136"/>
      <c r="AZ90" s="1136"/>
      <c r="BA90" s="1136"/>
      <c r="BB90" s="1137"/>
      <c r="BC90" s="174"/>
      <c r="BD90" s="58"/>
      <c r="BE90" s="109"/>
      <c r="BF90" s="109"/>
      <c r="BG90" s="109"/>
      <c r="BH90" s="109"/>
      <c r="BI90" s="109"/>
      <c r="BJ90" s="109"/>
      <c r="BK90" s="109"/>
      <c r="BL90" s="109"/>
      <c r="BM90" s="109"/>
      <c r="BN90" s="109"/>
      <c r="BO90" s="60"/>
      <c r="BP90" s="174"/>
      <c r="BQ90" s="174"/>
      <c r="BR90" s="174"/>
      <c r="BS90" s="174"/>
      <c r="BT90" s="174"/>
      <c r="BU90" s="174"/>
      <c r="BV90" s="174"/>
      <c r="BW90" s="174"/>
      <c r="BX90" s="174"/>
      <c r="BY90" s="174"/>
      <c r="BZ90" s="174"/>
      <c r="CA90" s="174"/>
      <c r="CB90" s="177"/>
    </row>
    <row r="91" spans="2:80" ht="9.9499999999999993" customHeight="1">
      <c r="B91" s="1"/>
      <c r="C91" s="174"/>
      <c r="D91" s="174"/>
      <c r="E91" s="174"/>
      <c r="F91" s="174"/>
      <c r="G91" s="174"/>
      <c r="H91" s="174"/>
      <c r="I91" s="174"/>
      <c r="J91" s="174"/>
      <c r="K91" s="174"/>
      <c r="L91" s="174"/>
      <c r="M91" s="174"/>
      <c r="N91" s="174"/>
      <c r="O91" s="174"/>
      <c r="P91" s="58"/>
      <c r="Q91" s="109"/>
      <c r="R91" s="109"/>
      <c r="S91" s="109"/>
      <c r="T91" s="109"/>
      <c r="U91" s="109"/>
      <c r="V91" s="109"/>
      <c r="W91" s="109"/>
      <c r="X91" s="109"/>
      <c r="Y91" s="109"/>
      <c r="Z91" s="109"/>
      <c r="AA91" s="60"/>
      <c r="AB91" s="174"/>
      <c r="AC91" s="1139"/>
      <c r="AD91" s="1136"/>
      <c r="AE91" s="1136"/>
      <c r="AF91" s="1136"/>
      <c r="AG91" s="1294"/>
      <c r="AH91" s="1080"/>
      <c r="AI91" s="1081"/>
      <c r="AJ91" s="58"/>
      <c r="AK91" s="109"/>
      <c r="AL91" s="109"/>
      <c r="AM91" s="109"/>
      <c r="AN91" s="109"/>
      <c r="AO91" s="109"/>
      <c r="AP91" s="109"/>
      <c r="AQ91" s="109"/>
      <c r="AR91" s="109"/>
      <c r="AS91" s="109"/>
      <c r="AT91" s="109"/>
      <c r="AU91" s="109"/>
      <c r="AV91" s="1003"/>
      <c r="AW91" s="1083"/>
      <c r="AX91" s="1293"/>
      <c r="AY91" s="1136"/>
      <c r="AZ91" s="1136"/>
      <c r="BA91" s="1136"/>
      <c r="BB91" s="1137"/>
      <c r="BC91" s="174"/>
      <c r="BD91" s="58"/>
      <c r="BE91" s="109"/>
      <c r="BF91" s="109"/>
      <c r="BG91" s="109"/>
      <c r="BH91" s="109"/>
      <c r="BI91" s="109"/>
      <c r="BJ91" s="109"/>
      <c r="BK91" s="109"/>
      <c r="BL91" s="109"/>
      <c r="BM91" s="109"/>
      <c r="BN91" s="109"/>
      <c r="BO91" s="60"/>
      <c r="BP91" s="174"/>
      <c r="BQ91" s="174"/>
      <c r="BR91" s="174"/>
      <c r="BS91" s="174"/>
      <c r="BT91" s="174"/>
      <c r="BU91" s="174"/>
      <c r="BV91" s="174"/>
      <c r="BW91" s="174"/>
      <c r="BX91" s="174"/>
      <c r="BY91" s="174"/>
      <c r="BZ91" s="174"/>
      <c r="CA91" s="174"/>
      <c r="CB91" s="177"/>
    </row>
    <row r="92" spans="2:80" ht="9.9499999999999993" customHeight="1" thickBot="1">
      <c r="B92" s="1"/>
      <c r="C92" s="174"/>
      <c r="D92" s="174"/>
      <c r="E92" s="174"/>
      <c r="F92" s="174"/>
      <c r="G92" s="174"/>
      <c r="H92" s="174"/>
      <c r="I92" s="174"/>
      <c r="J92" s="174"/>
      <c r="K92" s="174"/>
      <c r="L92" s="174"/>
      <c r="M92" s="174"/>
      <c r="N92" s="174"/>
      <c r="O92" s="174"/>
      <c r="P92" s="61"/>
      <c r="Q92" s="110"/>
      <c r="R92" s="110"/>
      <c r="S92" s="110"/>
      <c r="T92" s="110"/>
      <c r="U92" s="110"/>
      <c r="V92" s="110"/>
      <c r="W92" s="110"/>
      <c r="X92" s="110"/>
      <c r="Y92" s="110"/>
      <c r="Z92" s="110"/>
      <c r="AA92" s="63"/>
      <c r="AB92" s="174"/>
      <c r="AC92" s="1153"/>
      <c r="AD92" s="1150"/>
      <c r="AE92" s="1150"/>
      <c r="AF92" s="1150"/>
      <c r="AG92" s="1299"/>
      <c r="AH92" s="1109"/>
      <c r="AI92" s="1110"/>
      <c r="AJ92" s="61"/>
      <c r="AK92" s="110"/>
      <c r="AL92" s="110"/>
      <c r="AM92" s="110"/>
      <c r="AN92" s="110"/>
      <c r="AO92" s="110"/>
      <c r="AP92" s="110"/>
      <c r="AQ92" s="110"/>
      <c r="AR92" s="110"/>
      <c r="AS92" s="110"/>
      <c r="AT92" s="110"/>
      <c r="AU92" s="110"/>
      <c r="AV92" s="1004"/>
      <c r="AW92" s="1113"/>
      <c r="AX92" s="1300"/>
      <c r="AY92" s="1150"/>
      <c r="AZ92" s="1150"/>
      <c r="BA92" s="1150"/>
      <c r="BB92" s="1151"/>
      <c r="BC92" s="174"/>
      <c r="BD92" s="61"/>
      <c r="BE92" s="110"/>
      <c r="BF92" s="110"/>
      <c r="BG92" s="110"/>
      <c r="BH92" s="110"/>
      <c r="BI92" s="110"/>
      <c r="BJ92" s="110"/>
      <c r="BK92" s="110"/>
      <c r="BL92" s="110"/>
      <c r="BM92" s="110"/>
      <c r="BN92" s="110"/>
      <c r="BO92" s="63"/>
      <c r="BP92" s="174"/>
      <c r="BQ92" s="174"/>
      <c r="BR92" s="174"/>
      <c r="BS92" s="174"/>
      <c r="BT92" s="174"/>
      <c r="BU92" s="174"/>
      <c r="BV92" s="174"/>
      <c r="BW92" s="174"/>
      <c r="BX92" s="174"/>
      <c r="BY92" s="174"/>
      <c r="BZ92" s="174"/>
      <c r="CA92" s="174"/>
      <c r="CB92" s="177"/>
    </row>
    <row r="93" spans="2:80" ht="9.9499999999999993" customHeight="1">
      <c r="B93" s="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120"/>
      <c r="AK93" s="1121"/>
      <c r="AL93" s="1121"/>
      <c r="AM93" s="1040">
        <v>1</v>
      </c>
      <c r="AN93" s="1040"/>
      <c r="AO93" s="1040"/>
      <c r="AP93" s="1040">
        <v>2</v>
      </c>
      <c r="AQ93" s="1040"/>
      <c r="AR93" s="1040"/>
      <c r="AS93" s="1040">
        <v>1</v>
      </c>
      <c r="AT93" s="1040"/>
      <c r="AU93" s="1041"/>
      <c r="AV93" s="174"/>
      <c r="AW93" s="174"/>
      <c r="AX93" s="174"/>
      <c r="AY93" s="174"/>
      <c r="AZ93" s="174"/>
      <c r="BA93" s="174"/>
      <c r="BB93" s="174"/>
      <c r="BC93" s="174"/>
      <c r="BD93" s="174"/>
      <c r="BE93" s="174"/>
      <c r="BF93" s="174"/>
      <c r="BG93" s="1138"/>
      <c r="BH93" s="1134"/>
      <c r="BI93" s="1134"/>
      <c r="BJ93" s="1134"/>
      <c r="BK93" s="1233" t="s">
        <v>99</v>
      </c>
      <c r="BL93" s="1236">
        <f>AH84+AH81+AS79</f>
        <v>899</v>
      </c>
      <c r="BM93" s="1239">
        <v>2</v>
      </c>
      <c r="BN93" s="174"/>
      <c r="BO93" s="174"/>
      <c r="BP93" s="174"/>
      <c r="BQ93" s="174"/>
      <c r="BR93" s="174"/>
      <c r="BS93" s="174"/>
      <c r="BT93" s="174"/>
      <c r="BU93" s="174"/>
      <c r="BV93" s="174"/>
      <c r="BW93" s="174"/>
      <c r="BX93" s="174"/>
      <c r="BY93" s="174"/>
      <c r="BZ93" s="174"/>
      <c r="CA93" s="174"/>
      <c r="CB93" s="177"/>
    </row>
    <row r="94" spans="2:80" ht="9.9499999999999993" customHeigh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122">
        <f>NBU_Master</f>
        <v>0</v>
      </c>
      <c r="AK94" s="1123"/>
      <c r="AL94" s="1123"/>
      <c r="AM94" s="1123">
        <f>NBL_Master</f>
        <v>0</v>
      </c>
      <c r="AN94" s="1123"/>
      <c r="AO94" s="1123"/>
      <c r="AP94" s="1123">
        <f>NBT_Master</f>
        <v>1260</v>
      </c>
      <c r="AQ94" s="1123"/>
      <c r="AR94" s="1123"/>
      <c r="AS94" s="1123">
        <f>NBR_Master</f>
        <v>1060</v>
      </c>
      <c r="AT94" s="1123"/>
      <c r="AU94" s="1124"/>
      <c r="AV94" s="174"/>
      <c r="AW94" s="174"/>
      <c r="AX94" s="174"/>
      <c r="AY94" s="174"/>
      <c r="AZ94" s="174"/>
      <c r="BA94" s="174"/>
      <c r="BB94" s="174"/>
      <c r="BC94" s="174"/>
      <c r="BD94" s="174"/>
      <c r="BE94" s="174"/>
      <c r="BF94" s="174"/>
      <c r="BG94" s="1139"/>
      <c r="BH94" s="1136"/>
      <c r="BI94" s="1136"/>
      <c r="BJ94" s="1136"/>
      <c r="BK94" s="1234"/>
      <c r="BL94" s="1237"/>
      <c r="BM94" s="1081"/>
      <c r="BN94" s="174"/>
      <c r="BO94" s="174"/>
      <c r="BP94" s="174"/>
      <c r="BQ94" s="174"/>
      <c r="BR94" s="174"/>
      <c r="BS94" s="174"/>
      <c r="BT94" s="174"/>
      <c r="BU94" s="174"/>
      <c r="BV94" s="174"/>
      <c r="BW94" s="174"/>
      <c r="BX94" s="174"/>
      <c r="BY94" s="174"/>
      <c r="BZ94" s="174"/>
      <c r="CA94" s="174"/>
      <c r="CB94" s="177"/>
    </row>
    <row r="95" spans="2:80" ht="9.9499999999999993" customHeight="1" thickBo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045" t="s">
        <v>99</v>
      </c>
      <c r="AK95" s="1046"/>
      <c r="AL95" s="1046"/>
      <c r="AM95" s="1046" t="s">
        <v>99</v>
      </c>
      <c r="AN95" s="1046"/>
      <c r="AO95" s="1046"/>
      <c r="AP95" s="1046" t="s">
        <v>99</v>
      </c>
      <c r="AQ95" s="1046"/>
      <c r="AR95" s="1046"/>
      <c r="AS95" s="1046" t="s">
        <v>99</v>
      </c>
      <c r="AT95" s="1046"/>
      <c r="AU95" s="1047"/>
      <c r="AV95" s="174"/>
      <c r="AW95" s="174"/>
      <c r="AX95" s="174"/>
      <c r="AY95" s="174"/>
      <c r="AZ95" s="174"/>
      <c r="BA95" s="174"/>
      <c r="BB95" s="174"/>
      <c r="BC95" s="174"/>
      <c r="BD95" s="174"/>
      <c r="BE95" s="174"/>
      <c r="BF95" s="174"/>
      <c r="BG95" s="1153"/>
      <c r="BH95" s="1150"/>
      <c r="BI95" s="1150"/>
      <c r="BJ95" s="1150"/>
      <c r="BK95" s="1235"/>
      <c r="BL95" s="1238"/>
      <c r="BM95" s="1110"/>
      <c r="BN95" s="174"/>
      <c r="BO95" s="174"/>
      <c r="BP95" s="174"/>
      <c r="BQ95" s="174"/>
      <c r="BR95" s="174"/>
      <c r="BS95" s="174"/>
      <c r="BT95" s="174"/>
      <c r="BU95" s="174"/>
      <c r="BV95" s="174"/>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099"/>
      <c r="AK96" s="1068"/>
      <c r="AL96" s="1068"/>
      <c r="AM96" s="1068"/>
      <c r="AN96" s="1068"/>
      <c r="AO96" s="1068"/>
      <c r="AP96" s="1068"/>
      <c r="AQ96" s="1068"/>
      <c r="AR96" s="1068"/>
      <c r="AS96" s="1068"/>
      <c r="AT96" s="1068"/>
      <c r="AU96" s="1069"/>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4"/>
      <c r="S97" s="174"/>
      <c r="T97" s="174"/>
      <c r="U97" s="174"/>
      <c r="V97" s="174"/>
      <c r="W97" s="174"/>
      <c r="X97" s="174"/>
      <c r="Y97" s="174"/>
      <c r="Z97" s="174"/>
      <c r="AA97" s="174"/>
      <c r="AB97" s="174"/>
      <c r="AC97" s="174"/>
      <c r="AD97" s="174"/>
      <c r="AE97" s="174"/>
      <c r="AF97" s="174"/>
      <c r="AG97" s="174"/>
      <c r="AH97" s="174"/>
      <c r="AI97" s="174"/>
      <c r="AJ97" s="1099"/>
      <c r="AK97" s="1068"/>
      <c r="AL97" s="1068"/>
      <c r="AM97" s="1068"/>
      <c r="AN97" s="1068"/>
      <c r="AO97" s="1068"/>
      <c r="AP97" s="1068"/>
      <c r="AQ97" s="1068"/>
      <c r="AR97" s="1068"/>
      <c r="AS97" s="1068"/>
      <c r="AT97" s="1068"/>
      <c r="AU97" s="1069"/>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4"/>
      <c r="S98" s="174"/>
      <c r="T98" s="174"/>
      <c r="U98" s="174"/>
      <c r="V98" s="174"/>
      <c r="W98" s="174"/>
      <c r="X98" s="174"/>
      <c r="Y98" s="174"/>
      <c r="Z98" s="174"/>
      <c r="AA98" s="174"/>
      <c r="AB98" s="174"/>
      <c r="AC98" s="174"/>
      <c r="AD98" s="174"/>
      <c r="AE98" s="174"/>
      <c r="AF98" s="174"/>
      <c r="AG98" s="174"/>
      <c r="AH98" s="174"/>
      <c r="AI98" s="174"/>
      <c r="AJ98" s="1099"/>
      <c r="AK98" s="1068"/>
      <c r="AL98" s="1068"/>
      <c r="AM98" s="1068"/>
      <c r="AN98" s="1068"/>
      <c r="AO98" s="1068"/>
      <c r="AP98" s="1068"/>
      <c r="AQ98" s="1068"/>
      <c r="AR98" s="1068"/>
      <c r="AS98" s="1068"/>
      <c r="AT98" s="1068"/>
      <c r="AU98" s="1069"/>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7"/>
    </row>
    <row r="99" spans="2:80" ht="9.9499999999999993" customHeight="1" thickBo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167"/>
      <c r="AK99" s="1070"/>
      <c r="AL99" s="1070"/>
      <c r="AM99" s="1070"/>
      <c r="AN99" s="1070"/>
      <c r="AO99" s="1070"/>
      <c r="AP99" s="1070"/>
      <c r="AQ99" s="1070"/>
      <c r="AR99" s="1070"/>
      <c r="AS99" s="1070"/>
      <c r="AT99" s="1070"/>
      <c r="AU99" s="1071"/>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7"/>
    </row>
    <row r="102" spans="2:80" ht="9.9499999999999993" customHeigh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115">
    <mergeCell ref="K10:BC11"/>
    <mergeCell ref="C12:J13"/>
    <mergeCell ref="K12:BC13"/>
    <mergeCell ref="BD6:CA7"/>
    <mergeCell ref="BD8:BI9"/>
    <mergeCell ref="BJ8:BO9"/>
    <mergeCell ref="BP8:BU9"/>
    <mergeCell ref="BV8:CA9"/>
    <mergeCell ref="BD10:BO13"/>
    <mergeCell ref="BP10:CA13"/>
    <mergeCell ref="AJ96:AL99"/>
    <mergeCell ref="AM96:AO99"/>
    <mergeCell ref="AP96:AR99"/>
    <mergeCell ref="AS96:AU99"/>
    <mergeCell ref="B1:CB2"/>
    <mergeCell ref="B3:CB4"/>
    <mergeCell ref="C6:J7"/>
    <mergeCell ref="K6:BC7"/>
    <mergeCell ref="BL93:BL95"/>
    <mergeCell ref="AJ94:AL94"/>
    <mergeCell ref="AM94:AO94"/>
    <mergeCell ref="AP94:AR94"/>
    <mergeCell ref="AS94:AU94"/>
    <mergeCell ref="AJ95:AL95"/>
    <mergeCell ref="AM95:AO95"/>
    <mergeCell ref="AP95:AR95"/>
    <mergeCell ref="AS95:AU95"/>
    <mergeCell ref="AJ93:AL93"/>
    <mergeCell ref="AM93:AO93"/>
    <mergeCell ref="AP93:AR93"/>
    <mergeCell ref="AS93:AU93"/>
    <mergeCell ref="C8:J9"/>
    <mergeCell ref="K8:BC9"/>
    <mergeCell ref="C10:J11"/>
    <mergeCell ref="BG93:BJ95"/>
    <mergeCell ref="BK93:BK95"/>
    <mergeCell ref="AY87:BB89"/>
    <mergeCell ref="BF87:BM89"/>
    <mergeCell ref="AC90:AF92"/>
    <mergeCell ref="AG90:AG92"/>
    <mergeCell ref="AH90:AH92"/>
    <mergeCell ref="AI90:AI92"/>
    <mergeCell ref="AV90:AV92"/>
    <mergeCell ref="AW90:AW92"/>
    <mergeCell ref="AX90:AX92"/>
    <mergeCell ref="AY90:BB92"/>
    <mergeCell ref="AH87:AH89"/>
    <mergeCell ref="AI87:AI89"/>
    <mergeCell ref="AL87:AS89"/>
    <mergeCell ref="AV87:AV89"/>
    <mergeCell ref="AW87:AW89"/>
    <mergeCell ref="AX87:AX89"/>
    <mergeCell ref="BM93:BM95"/>
    <mergeCell ref="BQ84:BQ86"/>
    <mergeCell ref="BR84:BR86"/>
    <mergeCell ref="BS84:BV86"/>
    <mergeCell ref="I86:L88"/>
    <mergeCell ref="M86:M88"/>
    <mergeCell ref="N86:N88"/>
    <mergeCell ref="O86:O88"/>
    <mergeCell ref="R87:Y89"/>
    <mergeCell ref="AC87:AF89"/>
    <mergeCell ref="AG87:AG89"/>
    <mergeCell ref="AV84:AV86"/>
    <mergeCell ref="AW84:AW86"/>
    <mergeCell ref="AX84:AX86"/>
    <mergeCell ref="AY84:BB86"/>
    <mergeCell ref="BF84:BM86"/>
    <mergeCell ref="BP84:BP86"/>
    <mergeCell ref="AV81:AV83"/>
    <mergeCell ref="AW81:AW83"/>
    <mergeCell ref="AX81:AX83"/>
    <mergeCell ref="AY81:BB83"/>
    <mergeCell ref="R84:Y86"/>
    <mergeCell ref="AC84:AF86"/>
    <mergeCell ref="AG84:AG86"/>
    <mergeCell ref="AH84:AH86"/>
    <mergeCell ref="AI84:AI86"/>
    <mergeCell ref="AL84:AS86"/>
    <mergeCell ref="AC81:AF83"/>
    <mergeCell ref="AG81:AG83"/>
    <mergeCell ref="AH81:AH83"/>
    <mergeCell ref="AI81:AI83"/>
    <mergeCell ref="B57:CB58"/>
    <mergeCell ref="B59:CB60"/>
    <mergeCell ref="AJ74:AL77"/>
    <mergeCell ref="AM74:AO77"/>
    <mergeCell ref="AP74:AR77"/>
    <mergeCell ref="AS74:AU77"/>
    <mergeCell ref="AP80:AR80"/>
    <mergeCell ref="AS80:AU80"/>
    <mergeCell ref="AP78:AR78"/>
    <mergeCell ref="AS78:AU78"/>
    <mergeCell ref="AJ79:AL79"/>
    <mergeCell ref="AM79:AO79"/>
    <mergeCell ref="AP79:AR79"/>
    <mergeCell ref="AS79:AU79"/>
    <mergeCell ref="R78:R80"/>
    <mergeCell ref="S78:S80"/>
    <mergeCell ref="T78:T80"/>
    <mergeCell ref="U78:X80"/>
    <mergeCell ref="AJ78:AL78"/>
    <mergeCell ref="AM78:AO78"/>
    <mergeCell ref="AJ80:AL80"/>
    <mergeCell ref="AM80:AO80"/>
    <mergeCell ref="K25:O27"/>
    <mergeCell ref="AK24:AO26"/>
    <mergeCell ref="AP24:AT26"/>
    <mergeCell ref="BP25:BT27"/>
    <mergeCell ref="BU25:BY27"/>
    <mergeCell ref="F22:O24"/>
    <mergeCell ref="AK21:AT23"/>
    <mergeCell ref="BP22:BY24"/>
    <mergeCell ref="W55:BF55"/>
    <mergeCell ref="F25:J27"/>
  </mergeCells>
  <conditionalFormatting sqref="AK21 F22 BP22 R87 AL87 BF87">
    <cfRule type="cellIs" dxfId="115" priority="20" operator="between">
      <formula>0.75*CLV_Limit</formula>
      <formula>0.875*CLV_Limit-1</formula>
    </cfRule>
    <cfRule type="cellIs" dxfId="114" priority="21" operator="between">
      <formula>0.875*CLV_Limit</formula>
      <formula>CLV_Limit-1</formula>
    </cfRule>
    <cfRule type="cellIs" dxfId="113" priority="22" operator="greaterThanOrEqual">
      <formula>CLV_Limit</formula>
    </cfRule>
  </conditionalFormatting>
  <conditionalFormatting sqref="BP10 AK24 F25 BP25">
    <cfRule type="cellIs" dxfId="112" priority="10" operator="between">
      <formula>0.75</formula>
      <formula>0.875</formula>
    </cfRule>
    <cfRule type="cellIs" dxfId="111" priority="11" operator="between">
      <formula>0.875</formula>
      <formula>1</formula>
    </cfRule>
    <cfRule type="cellIs" dxfId="110" priority="12"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FC257"/>
  <sheetViews>
    <sheetView showGridLines="0" topLeftCell="A49" zoomScale="80" zoomScaleNormal="80" workbookViewId="0">
      <selection activeCell="BH47" sqref="BH47"/>
    </sheetView>
  </sheetViews>
  <sheetFormatPr defaultColWidth="0" defaultRowHeight="12.75" customHeight="1" zeroHeight="1"/>
  <cols>
    <col min="1" max="1" width="0.5703125" customWidth="1"/>
    <col min="2" max="61" width="1.7109375" customWidth="1"/>
    <col min="62" max="62" width="0.5703125" customWidth="1"/>
    <col min="63" max="63" width="0.5703125" hidden="1" customWidth="1"/>
    <col min="64" max="123" width="1.7109375" hidden="1" customWidth="1"/>
    <col min="124" max="124" width="0.5703125" hidden="1" customWidth="1"/>
    <col min="125" max="159" width="1.7109375" hidden="1" customWidth="1"/>
    <col min="160" max="16384" width="9.140625" hidden="1"/>
  </cols>
  <sheetData>
    <row r="1" spans="2:123" ht="9.9499999999999993" customHeight="1">
      <c r="B1" s="178" t="s">
        <v>0</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13"/>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7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1"/>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7"/>
    </row>
    <row r="3" spans="2:123" ht="9.9499999999999993" customHeight="1">
      <c r="B3" s="184" t="s">
        <v>1</v>
      </c>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6"/>
      <c r="BJ3" s="174"/>
      <c r="BK3" s="174"/>
      <c r="BL3" s="1"/>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74"/>
      <c r="DJ3" s="174"/>
      <c r="DK3" s="174"/>
      <c r="DL3" s="174"/>
      <c r="DM3" s="174"/>
      <c r="DN3" s="174"/>
      <c r="DO3" s="174"/>
      <c r="DP3" s="174"/>
      <c r="DQ3" s="174"/>
      <c r="DR3" s="174"/>
      <c r="DS3" s="177"/>
    </row>
    <row r="4" spans="2:123" ht="9.9499999999999993" customHeight="1">
      <c r="B4" s="184"/>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6"/>
      <c r="BJ4" s="174"/>
      <c r="BK4" s="174"/>
      <c r="BL4" s="1"/>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7"/>
    </row>
    <row r="5" spans="2:123" ht="9.9499999999999993" customHeigh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c r="B7" s="1"/>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7"/>
      <c r="BJ8" s="174"/>
      <c r="BK8" s="174"/>
      <c r="BL8" s="1"/>
      <c r="BM8" s="174"/>
      <c r="BN8" s="174"/>
      <c r="BO8" s="174"/>
      <c r="BP8" s="174"/>
      <c r="BQ8" s="174"/>
      <c r="BR8" s="174"/>
      <c r="BS8" s="174"/>
      <c r="BT8" s="174"/>
      <c r="BU8" s="87"/>
      <c r="BV8" s="88"/>
      <c r="BW8" s="88"/>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c r="B9" s="1"/>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7"/>
      <c r="BJ9" s="174"/>
      <c r="BK9" s="174"/>
      <c r="BL9" s="1"/>
      <c r="BM9" s="174"/>
      <c r="BN9" s="174"/>
      <c r="BO9" s="174"/>
      <c r="BP9" s="174"/>
      <c r="BQ9" s="174"/>
      <c r="BR9" s="174"/>
      <c r="BS9" s="174"/>
      <c r="BT9" s="174"/>
      <c r="BU9" s="88"/>
      <c r="BV9" s="88"/>
      <c r="BW9" s="88"/>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7"/>
      <c r="BJ10" s="174"/>
      <c r="BK10" s="174"/>
      <c r="BL10" s="1"/>
      <c r="BM10" s="174"/>
      <c r="BN10" s="174"/>
      <c r="BO10" s="174"/>
      <c r="BP10" s="174"/>
      <c r="BQ10" s="174"/>
      <c r="BR10" s="174"/>
      <c r="BS10" s="174"/>
      <c r="BT10" s="174"/>
      <c r="BU10" s="88"/>
      <c r="BV10" s="88"/>
      <c r="BW10" s="88"/>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7"/>
      <c r="BJ11" s="174"/>
      <c r="BK11" s="174"/>
      <c r="BL11" s="1"/>
      <c r="BM11" s="174"/>
      <c r="BN11" s="174"/>
      <c r="BO11" s="174"/>
      <c r="BP11" s="174"/>
      <c r="BQ11" s="174"/>
      <c r="BR11" s="174"/>
      <c r="BS11" s="174"/>
      <c r="BT11" s="174"/>
      <c r="BU11" s="88"/>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74"/>
      <c r="DK11" s="174"/>
      <c r="DL11" s="174"/>
      <c r="DM11" s="174"/>
      <c r="DN11" s="174"/>
      <c r="DO11" s="174"/>
      <c r="DP11" s="174"/>
      <c r="DQ11" s="174"/>
      <c r="DR11" s="174"/>
      <c r="DS11" s="177"/>
    </row>
    <row r="12" spans="2:123" ht="9.9499999999999993" customHeight="1">
      <c r="B12" s="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7"/>
      <c r="BJ12" s="174"/>
      <c r="BK12" s="174"/>
      <c r="BL12" s="1"/>
      <c r="BM12" s="174"/>
      <c r="BN12" s="174"/>
      <c r="BO12" s="174"/>
      <c r="BP12" s="174"/>
      <c r="BQ12" s="174"/>
      <c r="BR12" s="174"/>
      <c r="BS12" s="174"/>
      <c r="BT12" s="174"/>
      <c r="BU12" s="88"/>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74"/>
      <c r="DK12" s="174"/>
      <c r="DL12" s="174"/>
      <c r="DM12" s="174"/>
      <c r="DN12" s="174"/>
      <c r="DO12" s="174"/>
      <c r="DP12" s="174"/>
      <c r="DQ12" s="174"/>
      <c r="DR12" s="174"/>
      <c r="DS12" s="177"/>
    </row>
    <row r="13" spans="2:123" ht="9.9499999999999993" customHeight="1">
      <c r="B13" s="1"/>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7"/>
      <c r="BJ13" s="174"/>
      <c r="BK13" s="174"/>
      <c r="BL13" s="1"/>
      <c r="BM13" s="174"/>
      <c r="BN13" s="174"/>
      <c r="BO13" s="174"/>
      <c r="BP13" s="174"/>
      <c r="BQ13" s="174"/>
      <c r="BR13" s="174"/>
      <c r="BS13" s="174"/>
      <c r="BT13" s="174"/>
      <c r="BU13" s="88"/>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74"/>
      <c r="DK13" s="174"/>
      <c r="DL13" s="174"/>
      <c r="DM13" s="174"/>
      <c r="DN13" s="174"/>
      <c r="DO13" s="174"/>
      <c r="DP13" s="174"/>
      <c r="DQ13" s="174"/>
      <c r="DR13" s="174"/>
      <c r="DS13" s="177"/>
    </row>
    <row r="14" spans="2:123" ht="9.9499999999999993" customHeight="1">
      <c r="B14" s="1"/>
      <c r="C14" s="174"/>
      <c r="D14" s="174"/>
      <c r="E14" s="174"/>
      <c r="F14" s="174"/>
      <c r="G14" s="174"/>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174"/>
      <c r="BE14" s="174"/>
      <c r="BF14" s="174"/>
      <c r="BG14" s="174"/>
      <c r="BH14" s="174"/>
      <c r="BI14" s="177"/>
      <c r="BJ14" s="174"/>
      <c r="BK14" s="174"/>
      <c r="BL14" s="1"/>
      <c r="BM14" s="174"/>
      <c r="BN14" s="174"/>
      <c r="BO14" s="174"/>
      <c r="BP14" s="174"/>
      <c r="BQ14" s="174"/>
      <c r="BR14" s="174"/>
      <c r="BS14" s="174"/>
      <c r="BT14" s="174"/>
      <c r="BU14" s="88"/>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74"/>
      <c r="DK14" s="174"/>
      <c r="DL14" s="174"/>
      <c r="DM14" s="174"/>
      <c r="DN14" s="174"/>
      <c r="DO14" s="174"/>
      <c r="DP14" s="174"/>
      <c r="DQ14" s="174"/>
      <c r="DR14" s="174"/>
      <c r="DS14" s="177"/>
    </row>
    <row r="15" spans="2:123" ht="9.9499999999999993" customHeight="1">
      <c r="B15" s="1"/>
      <c r="C15" s="174"/>
      <c r="D15" s="174"/>
      <c r="E15" s="174"/>
      <c r="F15" s="174"/>
      <c r="G15" s="174"/>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174"/>
      <c r="BE15" s="174"/>
      <c r="BF15" s="174"/>
      <c r="BG15" s="174"/>
      <c r="BH15" s="174"/>
      <c r="BI15" s="177"/>
      <c r="BJ15" s="174"/>
      <c r="BK15" s="174"/>
      <c r="BL15" s="1"/>
      <c r="BM15" s="174"/>
      <c r="BN15" s="174"/>
      <c r="BO15" s="174"/>
      <c r="BP15" s="174"/>
      <c r="BQ15" s="174"/>
      <c r="BR15" s="174"/>
      <c r="BS15" s="174"/>
      <c r="BT15" s="174"/>
      <c r="BU15" s="88"/>
      <c r="BV15" s="6"/>
      <c r="BW15" s="6"/>
      <c r="BX15" s="6"/>
      <c r="BY15" s="6"/>
      <c r="BZ15" s="6"/>
      <c r="CA15" s="6"/>
      <c r="CB15" s="6"/>
      <c r="CC15" s="6"/>
      <c r="CD15" s="6"/>
      <c r="CE15" s="6"/>
      <c r="CF15" s="6"/>
      <c r="CG15" s="6"/>
      <c r="CH15" s="6"/>
      <c r="CI15" s="6"/>
      <c r="CJ15" s="6"/>
      <c r="CK15" s="107"/>
      <c r="CL15" s="107"/>
      <c r="CM15" s="107"/>
      <c r="CN15" s="107"/>
      <c r="CO15" s="107"/>
      <c r="CP15" s="107"/>
      <c r="CQ15" s="107"/>
      <c r="CR15" s="107"/>
      <c r="CS15" s="107"/>
      <c r="CT15" s="108"/>
      <c r="CU15" s="108"/>
      <c r="CV15" s="108"/>
      <c r="CW15" s="108"/>
      <c r="CX15" s="108"/>
      <c r="CY15" s="108"/>
      <c r="CZ15" s="108"/>
      <c r="DA15" s="108"/>
      <c r="DB15" s="108"/>
      <c r="DC15" s="108"/>
      <c r="DD15" s="108"/>
      <c r="DE15" s="108"/>
      <c r="DF15" s="108"/>
      <c r="DG15" s="108"/>
      <c r="DH15" s="108"/>
      <c r="DI15" s="108"/>
      <c r="DJ15" s="174"/>
      <c r="DK15" s="174"/>
      <c r="DL15" s="174"/>
      <c r="DM15" s="174"/>
      <c r="DN15" s="174"/>
      <c r="DO15" s="174"/>
      <c r="DP15" s="174"/>
      <c r="DQ15" s="174"/>
      <c r="DR15" s="174"/>
      <c r="DS15" s="177"/>
    </row>
    <row r="16" spans="2:123" ht="9.9499999999999993" customHeight="1">
      <c r="B16" s="1"/>
      <c r="C16" s="174"/>
      <c r="D16" s="174"/>
      <c r="E16" s="174"/>
      <c r="F16" s="174"/>
      <c r="G16" s="174"/>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174"/>
      <c r="BE16" s="174"/>
      <c r="BF16" s="174"/>
      <c r="BG16" s="173"/>
      <c r="BH16" s="174"/>
      <c r="BI16" s="177"/>
      <c r="BJ16" s="174"/>
      <c r="BK16" s="174"/>
      <c r="BL16" s="1"/>
      <c r="BM16" s="174"/>
      <c r="BN16" s="174"/>
      <c r="BO16" s="174"/>
      <c r="BP16" s="174"/>
      <c r="BQ16" s="174"/>
      <c r="BR16" s="174"/>
      <c r="BS16" s="174"/>
      <c r="BT16" s="174"/>
      <c r="BU16" s="88"/>
      <c r="BV16" s="6"/>
      <c r="BW16" s="6"/>
      <c r="BX16" s="6"/>
      <c r="BY16" s="6"/>
      <c r="BZ16" s="6"/>
      <c r="CA16" s="6"/>
      <c r="CB16" s="6"/>
      <c r="CC16" s="6"/>
      <c r="CD16" s="6"/>
      <c r="CE16" s="6"/>
      <c r="CF16" s="6"/>
      <c r="CG16" s="6"/>
      <c r="CH16" s="6"/>
      <c r="CI16" s="6"/>
      <c r="CJ16" s="6"/>
      <c r="CK16" s="107"/>
      <c r="CL16" s="107"/>
      <c r="CM16" s="107"/>
      <c r="CN16" s="107"/>
      <c r="CO16" s="107"/>
      <c r="CP16" s="107"/>
      <c r="CQ16" s="107"/>
      <c r="CR16" s="107"/>
      <c r="CS16" s="107"/>
      <c r="CT16" s="108"/>
      <c r="CU16" s="108"/>
      <c r="CV16" s="108"/>
      <c r="CW16" s="108"/>
      <c r="CX16" s="108"/>
      <c r="CY16" s="108"/>
      <c r="CZ16" s="108"/>
      <c r="DA16" s="108"/>
      <c r="DB16" s="108"/>
      <c r="DC16" s="108"/>
      <c r="DD16" s="108"/>
      <c r="DE16" s="108"/>
      <c r="DF16" s="108"/>
      <c r="DG16" s="108"/>
      <c r="DH16" s="108"/>
      <c r="DI16" s="108"/>
      <c r="DJ16" s="174"/>
      <c r="DK16" s="174"/>
      <c r="DL16" s="174"/>
      <c r="DM16" s="174"/>
      <c r="DN16" s="174"/>
      <c r="DO16" s="174"/>
      <c r="DP16" s="174"/>
      <c r="DQ16" s="174"/>
      <c r="DR16" s="174"/>
      <c r="DS16" s="177"/>
    </row>
    <row r="17" spans="2:123" ht="9.9499999999999993" customHeight="1">
      <c r="B17" s="1"/>
      <c r="C17" s="174"/>
      <c r="D17" s="174"/>
      <c r="E17" s="174"/>
      <c r="F17" s="174"/>
      <c r="G17" s="174"/>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174"/>
      <c r="BE17" s="174"/>
      <c r="BF17" s="174"/>
      <c r="BG17" s="173"/>
      <c r="BH17" s="174"/>
      <c r="BI17" s="177"/>
      <c r="BJ17" s="174"/>
      <c r="BK17" s="174"/>
      <c r="BL17" s="1"/>
      <c r="BM17" s="174"/>
      <c r="BN17" s="174"/>
      <c r="BO17" s="174"/>
      <c r="BP17" s="174"/>
      <c r="BQ17" s="174"/>
      <c r="BR17" s="174"/>
      <c r="BS17" s="174"/>
      <c r="BT17" s="174"/>
      <c r="BU17" s="88"/>
      <c r="BV17" s="6"/>
      <c r="BW17" s="6"/>
      <c r="BX17" s="6"/>
      <c r="BY17" s="6"/>
      <c r="BZ17" s="6"/>
      <c r="CA17" s="6"/>
      <c r="CB17" s="6"/>
      <c r="CC17" s="6"/>
      <c r="CD17" s="6"/>
      <c r="CE17" s="6"/>
      <c r="CF17" s="6"/>
      <c r="CG17" s="6"/>
      <c r="CH17" s="6"/>
      <c r="CI17" s="6"/>
      <c r="CJ17" s="6"/>
      <c r="CK17" s="107"/>
      <c r="CL17" s="107"/>
      <c r="CM17" s="107"/>
      <c r="CN17" s="107"/>
      <c r="CO17" s="107"/>
      <c r="CP17" s="107"/>
      <c r="CQ17" s="107"/>
      <c r="CR17" s="107"/>
      <c r="CS17" s="107"/>
      <c r="CT17" s="108"/>
      <c r="CU17" s="108"/>
      <c r="CV17" s="108"/>
      <c r="CW17" s="108"/>
      <c r="CX17" s="108"/>
      <c r="CY17" s="108"/>
      <c r="CZ17" s="108"/>
      <c r="DA17" s="108"/>
      <c r="DB17" s="108"/>
      <c r="DC17" s="108"/>
      <c r="DD17" s="108"/>
      <c r="DE17" s="108"/>
      <c r="DF17" s="108"/>
      <c r="DG17" s="108"/>
      <c r="DH17" s="108"/>
      <c r="DI17" s="108"/>
      <c r="DJ17" s="174"/>
      <c r="DK17" s="174"/>
      <c r="DL17" s="174"/>
      <c r="DM17" s="174"/>
      <c r="DN17" s="174"/>
      <c r="DO17" s="174"/>
      <c r="DP17" s="174"/>
      <c r="DQ17" s="174"/>
      <c r="DR17" s="174"/>
      <c r="DS17" s="177"/>
    </row>
    <row r="18" spans="2:123" ht="9.9499999999999993" customHeight="1">
      <c r="B18" s="1"/>
      <c r="C18" s="174"/>
      <c r="D18" s="174"/>
      <c r="E18" s="174"/>
      <c r="F18" s="174"/>
      <c r="G18" s="174"/>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174"/>
      <c r="BE18" s="174"/>
      <c r="BF18" s="174"/>
      <c r="BG18" s="173"/>
      <c r="BH18" s="174"/>
      <c r="BI18" s="177"/>
      <c r="BJ18" s="174"/>
      <c r="BK18" s="174"/>
      <c r="BL18" s="1"/>
      <c r="BM18" s="174"/>
      <c r="BN18" s="174"/>
      <c r="BO18" s="174"/>
      <c r="BP18" s="174"/>
      <c r="BQ18" s="174"/>
      <c r="BR18" s="174"/>
      <c r="BS18" s="174"/>
      <c r="BT18" s="174"/>
      <c r="BU18" s="88"/>
      <c r="BV18" s="6"/>
      <c r="BW18" s="6"/>
      <c r="BX18" s="6"/>
      <c r="BY18" s="6"/>
      <c r="BZ18" s="6"/>
      <c r="CA18" s="6"/>
      <c r="CB18" s="6"/>
      <c r="CC18" s="6"/>
      <c r="CD18" s="6"/>
      <c r="CE18" s="6"/>
      <c r="CF18" s="6"/>
      <c r="CG18" s="6"/>
      <c r="CH18" s="6"/>
      <c r="CI18" s="6"/>
      <c r="CJ18" s="6"/>
      <c r="CK18" s="107"/>
      <c r="CL18" s="107"/>
      <c r="CM18" s="107"/>
      <c r="CN18" s="107"/>
      <c r="CO18" s="107"/>
      <c r="CP18" s="107"/>
      <c r="CQ18" s="107"/>
      <c r="CR18" s="107"/>
      <c r="CS18" s="107"/>
      <c r="CT18" s="108"/>
      <c r="CU18" s="108"/>
      <c r="CV18" s="108"/>
      <c r="CW18" s="108"/>
      <c r="CX18" s="108"/>
      <c r="CY18" s="108"/>
      <c r="CZ18" s="108"/>
      <c r="DA18" s="108"/>
      <c r="DB18" s="108"/>
      <c r="DC18" s="108"/>
      <c r="DD18" s="108"/>
      <c r="DE18" s="108"/>
      <c r="DF18" s="108"/>
      <c r="DG18" s="108"/>
      <c r="DH18" s="108"/>
      <c r="DI18" s="108"/>
      <c r="DJ18" s="174"/>
      <c r="DK18" s="174"/>
      <c r="DL18" s="174"/>
      <c r="DM18" s="174"/>
      <c r="DN18" s="174"/>
      <c r="DO18" s="174"/>
      <c r="DP18" s="174"/>
      <c r="DQ18" s="174"/>
      <c r="DR18" s="174"/>
      <c r="DS18" s="177"/>
    </row>
    <row r="19" spans="2:123" ht="9.9499999999999993" customHeight="1">
      <c r="B19" s="1"/>
      <c r="C19" s="174"/>
      <c r="D19" s="174"/>
      <c r="E19" s="174"/>
      <c r="F19" s="174"/>
      <c r="G19" s="174"/>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174"/>
      <c r="BE19" s="174"/>
      <c r="BF19" s="174"/>
      <c r="BG19" s="173"/>
      <c r="BH19" s="174"/>
      <c r="BI19" s="177"/>
      <c r="BJ19" s="174"/>
      <c r="BK19" s="174"/>
      <c r="BL19" s="1"/>
      <c r="BM19" s="174"/>
      <c r="BN19" s="174"/>
      <c r="BO19" s="174"/>
      <c r="BP19" s="174"/>
      <c r="BQ19" s="174"/>
      <c r="BR19" s="174"/>
      <c r="BS19" s="174"/>
      <c r="BT19" s="174"/>
      <c r="BU19" s="88"/>
      <c r="BV19" s="6"/>
      <c r="BW19" s="6"/>
      <c r="BX19" s="6"/>
      <c r="BY19" s="6"/>
      <c r="BZ19" s="6"/>
      <c r="CA19" s="6"/>
      <c r="CB19" s="6"/>
      <c r="CC19" s="6"/>
      <c r="CD19" s="6"/>
      <c r="CE19" s="6"/>
      <c r="CF19" s="6"/>
      <c r="CG19" s="6"/>
      <c r="CH19" s="6"/>
      <c r="CI19" s="6"/>
      <c r="CJ19" s="6"/>
      <c r="CK19" s="107"/>
      <c r="CL19" s="107"/>
      <c r="CM19" s="107"/>
      <c r="CN19" s="107"/>
      <c r="CO19" s="107"/>
      <c r="CP19" s="107"/>
      <c r="CQ19" s="107"/>
      <c r="CR19" s="107"/>
      <c r="CS19" s="107"/>
      <c r="CT19" s="108"/>
      <c r="CU19" s="108"/>
      <c r="CV19" s="108"/>
      <c r="CW19" s="108"/>
      <c r="CX19" s="108"/>
      <c r="CY19" s="108"/>
      <c r="CZ19" s="108"/>
      <c r="DA19" s="108"/>
      <c r="DB19" s="108"/>
      <c r="DC19" s="108"/>
      <c r="DD19" s="108"/>
      <c r="DE19" s="108"/>
      <c r="DF19" s="108"/>
      <c r="DG19" s="108"/>
      <c r="DH19" s="108"/>
      <c r="DI19" s="108"/>
      <c r="DJ19" s="174"/>
      <c r="DK19" s="174"/>
      <c r="DL19" s="174"/>
      <c r="DM19" s="174"/>
      <c r="DN19" s="174"/>
      <c r="DO19" s="174"/>
      <c r="DP19" s="174"/>
      <c r="DQ19" s="174"/>
      <c r="DR19" s="174"/>
      <c r="DS19" s="177"/>
    </row>
    <row r="20" spans="2:123" ht="9.9499999999999993" customHeight="1">
      <c r="B20" s="1"/>
      <c r="C20" s="174"/>
      <c r="D20" s="174"/>
      <c r="E20" s="174"/>
      <c r="F20" s="174"/>
      <c r="G20" s="174"/>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174"/>
      <c r="BE20" s="174"/>
      <c r="BF20" s="174"/>
      <c r="BG20" s="3"/>
      <c r="BH20" s="174"/>
      <c r="BI20" s="177"/>
      <c r="BJ20" s="174"/>
      <c r="BK20" s="174"/>
      <c r="BL20" s="1"/>
      <c r="BM20" s="174"/>
      <c r="BN20" s="174"/>
      <c r="BO20" s="174"/>
      <c r="BP20" s="174"/>
      <c r="BQ20" s="174"/>
      <c r="BR20" s="174"/>
      <c r="BS20" s="174"/>
      <c r="BT20" s="174"/>
      <c r="BU20" s="88"/>
      <c r="BV20" s="6"/>
      <c r="BW20" s="6"/>
      <c r="BX20" s="6"/>
      <c r="BY20" s="6"/>
      <c r="BZ20" s="6"/>
      <c r="CA20" s="6"/>
      <c r="CB20" s="6"/>
      <c r="CC20" s="6"/>
      <c r="CD20" s="6"/>
      <c r="CE20" s="6"/>
      <c r="CF20" s="6"/>
      <c r="CG20" s="6"/>
      <c r="CH20" s="6"/>
      <c r="CI20" s="6"/>
      <c r="CJ20" s="6"/>
      <c r="CK20" s="107"/>
      <c r="CL20" s="107"/>
      <c r="CM20" s="107"/>
      <c r="CN20" s="107"/>
      <c r="CO20" s="107"/>
      <c r="CP20" s="107"/>
      <c r="CQ20" s="107"/>
      <c r="CR20" s="107"/>
      <c r="CS20" s="107"/>
      <c r="CT20" s="108"/>
      <c r="CU20" s="108"/>
      <c r="CV20" s="108"/>
      <c r="CW20" s="108"/>
      <c r="CX20" s="108"/>
      <c r="CY20" s="108"/>
      <c r="CZ20" s="108"/>
      <c r="DA20" s="108"/>
      <c r="DB20" s="108"/>
      <c r="DC20" s="108"/>
      <c r="DD20" s="108"/>
      <c r="DE20" s="108"/>
      <c r="DF20" s="108"/>
      <c r="DG20" s="108"/>
      <c r="DH20" s="108"/>
      <c r="DI20" s="108"/>
      <c r="DJ20" s="174"/>
      <c r="DK20" s="174"/>
      <c r="DL20" s="174"/>
      <c r="DM20" s="174"/>
      <c r="DN20" s="174"/>
      <c r="DO20" s="174"/>
      <c r="DP20" s="174"/>
      <c r="DQ20" s="174"/>
      <c r="DR20" s="174"/>
      <c r="DS20" s="177"/>
    </row>
    <row r="21" spans="2:123" ht="9.9499999999999993" customHeight="1">
      <c r="B21" s="1"/>
      <c r="C21" s="174"/>
      <c r="D21" s="174"/>
      <c r="E21" s="174"/>
      <c r="F21" s="174"/>
      <c r="G21" s="174"/>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174"/>
      <c r="BE21" s="174"/>
      <c r="BF21" s="174"/>
      <c r="BG21" s="174"/>
      <c r="BH21" s="174"/>
      <c r="BI21" s="177"/>
      <c r="BJ21" s="174"/>
      <c r="BK21" s="174"/>
      <c r="BL21" s="1"/>
      <c r="BM21" s="174"/>
      <c r="BN21" s="174"/>
      <c r="BO21" s="174"/>
      <c r="BP21" s="174"/>
      <c r="BQ21" s="174"/>
      <c r="BR21" s="174"/>
      <c r="BS21" s="174"/>
      <c r="BT21" s="174"/>
      <c r="BU21" s="88"/>
      <c r="BV21" s="6"/>
      <c r="BW21" s="6"/>
      <c r="BX21" s="6"/>
      <c r="BY21" s="6"/>
      <c r="BZ21" s="6"/>
      <c r="CA21" s="6"/>
      <c r="CB21" s="6"/>
      <c r="CC21" s="6"/>
      <c r="CD21" s="6"/>
      <c r="CE21" s="6"/>
      <c r="CF21" s="6"/>
      <c r="CG21" s="6"/>
      <c r="CH21" s="6"/>
      <c r="CI21" s="6"/>
      <c r="CJ21" s="6"/>
      <c r="CK21" s="107"/>
      <c r="CL21" s="107"/>
      <c r="CM21" s="107"/>
      <c r="CN21" s="107"/>
      <c r="CO21" s="107"/>
      <c r="CP21" s="107"/>
      <c r="CQ21" s="107"/>
      <c r="CR21" s="107"/>
      <c r="CS21" s="107"/>
      <c r="CT21" s="108"/>
      <c r="CU21" s="108"/>
      <c r="CV21" s="108"/>
      <c r="CW21" s="108"/>
      <c r="CX21" s="108"/>
      <c r="CY21" s="108"/>
      <c r="CZ21" s="108"/>
      <c r="DA21" s="108"/>
      <c r="DB21" s="108"/>
      <c r="DC21" s="108"/>
      <c r="DD21" s="108"/>
      <c r="DE21" s="108"/>
      <c r="DF21" s="108"/>
      <c r="DG21" s="108"/>
      <c r="DH21" s="108"/>
      <c r="DI21" s="108"/>
      <c r="DJ21" s="174"/>
      <c r="DK21" s="174"/>
      <c r="DL21" s="174"/>
      <c r="DM21" s="174"/>
      <c r="DN21" s="174"/>
      <c r="DO21" s="174"/>
      <c r="DP21" s="174"/>
      <c r="DQ21" s="174"/>
      <c r="DR21" s="174"/>
      <c r="DS21" s="177"/>
    </row>
    <row r="22" spans="2:123" ht="9.9499999999999993" customHeight="1">
      <c r="B22" s="1"/>
      <c r="C22" s="4"/>
      <c r="D22" s="4"/>
      <c r="E22" s="174"/>
      <c r="F22" s="174"/>
      <c r="G22" s="174"/>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174"/>
      <c r="BE22" s="174"/>
      <c r="BF22" s="174"/>
      <c r="BG22" s="174"/>
      <c r="BH22" s="174"/>
      <c r="BI22" s="177"/>
      <c r="BJ22" s="174"/>
      <c r="BK22" s="174"/>
      <c r="BL22" s="1"/>
      <c r="BM22" s="174"/>
      <c r="BN22" s="174"/>
      <c r="BO22" s="174"/>
      <c r="BP22" s="174"/>
      <c r="BQ22" s="174"/>
      <c r="BR22" s="174"/>
      <c r="BS22" s="174"/>
      <c r="BT22" s="174"/>
      <c r="BU22" s="88"/>
      <c r="BV22" s="6"/>
      <c r="BW22" s="6"/>
      <c r="BX22" s="6"/>
      <c r="BY22" s="6"/>
      <c r="BZ22" s="6"/>
      <c r="CA22" s="6"/>
      <c r="CB22" s="6"/>
      <c r="CC22" s="6"/>
      <c r="CD22" s="6"/>
      <c r="CE22" s="6"/>
      <c r="CF22" s="6"/>
      <c r="CG22" s="6"/>
      <c r="CH22" s="6"/>
      <c r="CI22" s="6"/>
      <c r="CJ22" s="6"/>
      <c r="CK22" s="107"/>
      <c r="CL22" s="107"/>
      <c r="CM22" s="107"/>
      <c r="CN22" s="107"/>
      <c r="CO22" s="107"/>
      <c r="CP22" s="107"/>
      <c r="CQ22" s="107"/>
      <c r="CR22" s="107"/>
      <c r="CS22" s="107"/>
      <c r="CT22" s="108"/>
      <c r="CU22" s="108"/>
      <c r="CV22" s="108"/>
      <c r="CW22" s="108"/>
      <c r="CX22" s="108"/>
      <c r="CY22" s="108"/>
      <c r="CZ22" s="108"/>
      <c r="DA22" s="108"/>
      <c r="DB22" s="108"/>
      <c r="DC22" s="108"/>
      <c r="DD22" s="108"/>
      <c r="DE22" s="108"/>
      <c r="DF22" s="108"/>
      <c r="DG22" s="108"/>
      <c r="DH22" s="108"/>
      <c r="DI22" s="108"/>
      <c r="DJ22" s="174"/>
      <c r="DK22" s="174"/>
      <c r="DL22" s="174"/>
      <c r="DM22" s="174"/>
      <c r="DN22" s="174"/>
      <c r="DO22" s="174"/>
      <c r="DP22" s="174"/>
      <c r="DQ22" s="174"/>
      <c r="DR22" s="174"/>
      <c r="DS22" s="177"/>
    </row>
    <row r="23" spans="2:123" ht="9.9499999999999993" customHeight="1">
      <c r="B23" s="1"/>
      <c r="C23" s="4"/>
      <c r="D23" s="4"/>
      <c r="E23" s="174"/>
      <c r="F23" s="174"/>
      <c r="G23" s="174"/>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174"/>
      <c r="BE23" s="174"/>
      <c r="BF23" s="174"/>
      <c r="BG23" s="174"/>
      <c r="BH23" s="174"/>
      <c r="BI23" s="177"/>
      <c r="BJ23" s="174"/>
      <c r="BK23" s="174"/>
      <c r="BL23" s="1"/>
      <c r="BM23" s="174"/>
      <c r="BN23" s="174"/>
      <c r="BO23" s="174"/>
      <c r="BP23" s="174"/>
      <c r="BQ23" s="174"/>
      <c r="BR23" s="174"/>
      <c r="BS23" s="174"/>
      <c r="BT23" s="174"/>
      <c r="BU23" s="88"/>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74"/>
      <c r="DK23" s="174"/>
      <c r="DL23" s="174"/>
      <c r="DM23" s="174"/>
      <c r="DN23" s="174"/>
      <c r="DO23" s="174"/>
      <c r="DP23" s="174"/>
      <c r="DQ23" s="174"/>
      <c r="DR23" s="174"/>
      <c r="DS23" s="177"/>
    </row>
    <row r="24" spans="2:123" ht="9.9499999999999993" customHeight="1">
      <c r="B24" s="1"/>
      <c r="C24" s="4"/>
      <c r="D24" s="4"/>
      <c r="E24" s="174"/>
      <c r="F24" s="174"/>
      <c r="G24" s="174"/>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174"/>
      <c r="BE24" s="174"/>
      <c r="BF24" s="174"/>
      <c r="BG24" s="174"/>
      <c r="BH24" s="174"/>
      <c r="BI24" s="177"/>
      <c r="BJ24" s="174"/>
      <c r="BK24" s="174"/>
      <c r="BL24" s="1"/>
      <c r="BM24" s="174"/>
      <c r="BN24" s="174"/>
      <c r="BO24" s="174"/>
      <c r="BP24" s="174"/>
      <c r="BQ24" s="174"/>
      <c r="BR24" s="174"/>
      <c r="BS24" s="174"/>
      <c r="BT24" s="174"/>
      <c r="BU24" s="174"/>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74"/>
      <c r="DK24" s="174"/>
      <c r="DL24" s="174"/>
      <c r="DM24" s="174"/>
      <c r="DN24" s="174"/>
      <c r="DO24" s="174"/>
      <c r="DP24" s="174"/>
      <c r="DQ24" s="174"/>
      <c r="DR24" s="174"/>
      <c r="DS24" s="177"/>
    </row>
    <row r="25" spans="2:123" ht="9.9499999999999993" customHeight="1">
      <c r="B25" s="1"/>
      <c r="C25" s="4"/>
      <c r="D25" s="4"/>
      <c r="E25" s="174"/>
      <c r="F25" s="174"/>
      <c r="G25" s="174"/>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174"/>
      <c r="BE25" s="174"/>
      <c r="BF25" s="174"/>
      <c r="BG25" s="174"/>
      <c r="BH25" s="174"/>
      <c r="BI25" s="177"/>
      <c r="BJ25" s="174"/>
      <c r="BK25" s="174"/>
      <c r="BL25" s="1"/>
      <c r="BM25" s="174"/>
      <c r="BN25" s="174"/>
      <c r="BO25" s="174"/>
      <c r="BP25" s="174"/>
      <c r="BQ25" s="174"/>
      <c r="BR25" s="174"/>
      <c r="BS25" s="174"/>
      <c r="BT25" s="174"/>
      <c r="BU25" s="174"/>
      <c r="BV25" s="6"/>
      <c r="BW25" s="6"/>
      <c r="BX25" s="6"/>
      <c r="BY25" s="6"/>
      <c r="BZ25" s="6"/>
      <c r="CA25" s="6"/>
      <c r="CB25" s="6"/>
      <c r="CC25" s="6"/>
      <c r="CD25" s="6"/>
      <c r="CE25" s="6"/>
      <c r="CF25" s="6"/>
      <c r="CG25" s="6"/>
      <c r="CH25" s="6"/>
      <c r="CI25" s="6"/>
      <c r="CJ25" s="6"/>
      <c r="CK25" s="107"/>
      <c r="CL25" s="107"/>
      <c r="CM25" s="107"/>
      <c r="CN25" s="107"/>
      <c r="CO25" s="107"/>
      <c r="CP25" s="107"/>
      <c r="CQ25" s="107"/>
      <c r="CR25" s="107"/>
      <c r="CS25" s="107"/>
      <c r="CT25" s="108"/>
      <c r="CU25" s="108"/>
      <c r="CV25" s="108"/>
      <c r="CW25" s="108"/>
      <c r="CX25" s="108"/>
      <c r="CY25" s="108"/>
      <c r="CZ25" s="108"/>
      <c r="DA25" s="108"/>
      <c r="DB25" s="108"/>
      <c r="DC25" s="108"/>
      <c r="DD25" s="108"/>
      <c r="DE25" s="108"/>
      <c r="DF25" s="108"/>
      <c r="DG25" s="108"/>
      <c r="DH25" s="108"/>
      <c r="DI25" s="108"/>
      <c r="DJ25" s="174"/>
      <c r="DK25" s="174"/>
      <c r="DL25" s="174"/>
      <c r="DM25" s="174"/>
      <c r="DN25" s="174"/>
      <c r="DO25" s="174"/>
      <c r="DP25" s="174"/>
      <c r="DQ25" s="174"/>
      <c r="DR25" s="174"/>
      <c r="DS25" s="177"/>
    </row>
    <row r="26" spans="2:123" ht="9.9499999999999993" customHeight="1">
      <c r="B26" s="1"/>
      <c r="C26" s="174"/>
      <c r="D26" s="174"/>
      <c r="E26" s="174"/>
      <c r="F26" s="174"/>
      <c r="G26" s="174"/>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174"/>
      <c r="BE26" s="174"/>
      <c r="BF26" s="174"/>
      <c r="BG26" s="174"/>
      <c r="BH26" s="174"/>
      <c r="BI26" s="177"/>
      <c r="BJ26" s="174"/>
      <c r="BK26" s="174"/>
      <c r="BL26" s="1"/>
      <c r="BM26" s="174"/>
      <c r="BN26" s="174"/>
      <c r="BO26" s="174"/>
      <c r="BP26" s="174"/>
      <c r="BQ26" s="174"/>
      <c r="BR26" s="174"/>
      <c r="BS26" s="174"/>
      <c r="BT26" s="174"/>
      <c r="BU26" s="174"/>
      <c r="BV26" s="6"/>
      <c r="BW26" s="6"/>
      <c r="BX26" s="6"/>
      <c r="BY26" s="6"/>
      <c r="BZ26" s="6"/>
      <c r="CA26" s="6"/>
      <c r="CB26" s="6"/>
      <c r="CC26" s="6"/>
      <c r="CD26" s="6"/>
      <c r="CE26" s="6"/>
      <c r="CF26" s="6"/>
      <c r="CG26" s="6"/>
      <c r="CH26" s="6"/>
      <c r="CI26" s="6"/>
      <c r="CJ26" s="6"/>
      <c r="CK26" s="107"/>
      <c r="CL26" s="107"/>
      <c r="CM26" s="107"/>
      <c r="CN26" s="107"/>
      <c r="CO26" s="107"/>
      <c r="CP26" s="107"/>
      <c r="CQ26" s="107"/>
      <c r="CR26" s="107"/>
      <c r="CS26" s="107"/>
      <c r="CT26" s="108"/>
      <c r="CU26" s="108"/>
      <c r="CV26" s="108"/>
      <c r="CW26" s="108"/>
      <c r="CX26" s="108"/>
      <c r="CY26" s="108"/>
      <c r="CZ26" s="108"/>
      <c r="DA26" s="108"/>
      <c r="DB26" s="108"/>
      <c r="DC26" s="108"/>
      <c r="DD26" s="108"/>
      <c r="DE26" s="108"/>
      <c r="DF26" s="108"/>
      <c r="DG26" s="108"/>
      <c r="DH26" s="108"/>
      <c r="DI26" s="108"/>
      <c r="DJ26" s="174"/>
      <c r="DK26" s="174"/>
      <c r="DL26" s="174"/>
      <c r="DM26" s="174"/>
      <c r="DN26" s="174"/>
      <c r="DO26" s="174"/>
      <c r="DP26" s="174"/>
      <c r="DQ26" s="174"/>
      <c r="DR26" s="174"/>
      <c r="DS26" s="177"/>
    </row>
    <row r="27" spans="2:123" ht="9.9499999999999993" customHeight="1">
      <c r="B27" s="1"/>
      <c r="C27" s="174"/>
      <c r="D27" s="174"/>
      <c r="E27" s="174"/>
      <c r="F27" s="174"/>
      <c r="G27" s="174"/>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174"/>
      <c r="BE27" s="174"/>
      <c r="BF27" s="174"/>
      <c r="BG27" s="174"/>
      <c r="BH27" s="174"/>
      <c r="BI27" s="177"/>
      <c r="BJ27" s="174"/>
      <c r="BK27" s="174"/>
      <c r="BL27" s="1"/>
      <c r="BM27" s="174"/>
      <c r="BN27" s="174"/>
      <c r="BO27" s="174"/>
      <c r="BP27" s="174"/>
      <c r="BQ27" s="174"/>
      <c r="BR27" s="174"/>
      <c r="BS27" s="174"/>
      <c r="BT27" s="174"/>
      <c r="BU27" s="174"/>
      <c r="BV27" s="6"/>
      <c r="BW27" s="6"/>
      <c r="BX27" s="6"/>
      <c r="BY27" s="6"/>
      <c r="BZ27" s="6"/>
      <c r="CA27" s="6"/>
      <c r="CB27" s="6"/>
      <c r="CC27" s="6"/>
      <c r="CD27" s="6"/>
      <c r="CE27" s="6"/>
      <c r="CF27" s="6"/>
      <c r="CG27" s="6"/>
      <c r="CH27" s="6"/>
      <c r="CI27" s="6"/>
      <c r="CJ27" s="6"/>
      <c r="CK27" s="107"/>
      <c r="CL27" s="107"/>
      <c r="CM27" s="107"/>
      <c r="CN27" s="107"/>
      <c r="CO27" s="107"/>
      <c r="CP27" s="107"/>
      <c r="CQ27" s="107"/>
      <c r="CR27" s="107"/>
      <c r="CS27" s="107"/>
      <c r="CT27" s="108"/>
      <c r="CU27" s="108"/>
      <c r="CV27" s="108"/>
      <c r="CW27" s="108"/>
      <c r="CX27" s="108"/>
      <c r="CY27" s="108"/>
      <c r="CZ27" s="108"/>
      <c r="DA27" s="108"/>
      <c r="DB27" s="108"/>
      <c r="DC27" s="108"/>
      <c r="DD27" s="108"/>
      <c r="DE27" s="108"/>
      <c r="DF27" s="108"/>
      <c r="DG27" s="108"/>
      <c r="DH27" s="108"/>
      <c r="DI27" s="108"/>
      <c r="DJ27" s="174"/>
      <c r="DK27" s="174"/>
      <c r="DL27" s="174"/>
      <c r="DM27" s="174"/>
      <c r="DN27" s="174"/>
      <c r="DO27" s="174"/>
      <c r="DP27" s="174"/>
      <c r="DQ27" s="174"/>
      <c r="DR27" s="174"/>
      <c r="DS27" s="177"/>
    </row>
    <row r="28" spans="2:123" ht="9.9499999999999993" customHeight="1">
      <c r="B28" s="1"/>
      <c r="C28" s="174"/>
      <c r="D28" s="174"/>
      <c r="E28" s="174"/>
      <c r="F28" s="174"/>
      <c r="G28" s="174"/>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174"/>
      <c r="BE28" s="174"/>
      <c r="BF28" s="174"/>
      <c r="BG28" s="174"/>
      <c r="BH28" s="174"/>
      <c r="BI28" s="177"/>
      <c r="BJ28" s="174"/>
      <c r="BK28" s="174"/>
      <c r="BL28" s="1"/>
      <c r="BM28" s="174"/>
      <c r="BN28" s="174"/>
      <c r="BO28" s="174"/>
      <c r="BP28" s="174"/>
      <c r="BQ28" s="174"/>
      <c r="BR28" s="174"/>
      <c r="BS28" s="174"/>
      <c r="BT28" s="174"/>
      <c r="BU28" s="174"/>
      <c r="BV28" s="6"/>
      <c r="BW28" s="6"/>
      <c r="BX28" s="6"/>
      <c r="BY28" s="6"/>
      <c r="BZ28" s="6"/>
      <c r="CA28" s="6"/>
      <c r="CB28" s="6"/>
      <c r="CC28" s="6"/>
      <c r="CD28" s="6"/>
      <c r="CE28" s="6"/>
      <c r="CF28" s="6"/>
      <c r="CG28" s="6"/>
      <c r="CH28" s="6"/>
      <c r="CI28" s="6"/>
      <c r="CJ28" s="6"/>
      <c r="CK28" s="107"/>
      <c r="CL28" s="107"/>
      <c r="CM28" s="107"/>
      <c r="CN28" s="107"/>
      <c r="CO28" s="107"/>
      <c r="CP28" s="107"/>
      <c r="CQ28" s="107"/>
      <c r="CR28" s="107"/>
      <c r="CS28" s="107"/>
      <c r="CT28" s="108"/>
      <c r="CU28" s="108"/>
      <c r="CV28" s="108"/>
      <c r="CW28" s="108"/>
      <c r="CX28" s="108"/>
      <c r="CY28" s="108"/>
      <c r="CZ28" s="108"/>
      <c r="DA28" s="108"/>
      <c r="DB28" s="108"/>
      <c r="DC28" s="108"/>
      <c r="DD28" s="108"/>
      <c r="DE28" s="108"/>
      <c r="DF28" s="108"/>
      <c r="DG28" s="108"/>
      <c r="DH28" s="108"/>
      <c r="DI28" s="108"/>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J29" s="174"/>
      <c r="BK29" s="174"/>
      <c r="BL29" s="1"/>
      <c r="BM29" s="174"/>
      <c r="BN29" s="174"/>
      <c r="BO29" s="174"/>
      <c r="BP29" s="174"/>
      <c r="BQ29" s="174"/>
      <c r="BR29" s="174"/>
      <c r="BS29" s="174"/>
      <c r="BT29" s="174"/>
      <c r="BU29" s="174"/>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J30" s="174"/>
      <c r="BK30" s="174"/>
      <c r="BL30" s="1"/>
      <c r="BM30" s="174"/>
      <c r="BN30" s="174"/>
      <c r="BO30" s="174"/>
      <c r="BP30" s="174"/>
      <c r="BQ30" s="174"/>
      <c r="BR30" s="174"/>
      <c r="BS30" s="174"/>
      <c r="BT30" s="174"/>
      <c r="BU30" s="174"/>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7"/>
      <c r="BJ31" s="174"/>
      <c r="BK31" s="174"/>
      <c r="BL31" s="1"/>
      <c r="BM31" s="174"/>
      <c r="BN31" s="174"/>
      <c r="BO31" s="174"/>
      <c r="BP31" s="174"/>
      <c r="BQ31" s="174"/>
      <c r="BR31" s="174"/>
      <c r="BS31" s="174"/>
      <c r="BT31" s="174"/>
      <c r="BU31" s="174"/>
      <c r="BV31" s="6"/>
      <c r="BW31" s="6"/>
      <c r="BX31" s="6"/>
      <c r="BY31" s="6"/>
      <c r="BZ31" s="6"/>
      <c r="CA31" s="6"/>
      <c r="CB31" s="6"/>
      <c r="CC31" s="6"/>
      <c r="CD31" s="6"/>
      <c r="CE31" s="6"/>
      <c r="CF31" s="6"/>
      <c r="CG31" s="6"/>
      <c r="CH31" s="6"/>
      <c r="CI31" s="6"/>
      <c r="CJ31" s="6"/>
      <c r="CK31" s="107"/>
      <c r="CL31" s="107"/>
      <c r="CM31" s="107"/>
      <c r="CN31" s="107"/>
      <c r="CO31" s="107"/>
      <c r="CP31" s="107"/>
      <c r="CQ31" s="107"/>
      <c r="CR31" s="107"/>
      <c r="CS31" s="107"/>
      <c r="CT31" s="108"/>
      <c r="CU31" s="108"/>
      <c r="CV31" s="108"/>
      <c r="CW31" s="108"/>
      <c r="CX31" s="108"/>
      <c r="CY31" s="108"/>
      <c r="CZ31" s="108"/>
      <c r="DA31" s="108"/>
      <c r="DB31" s="108"/>
      <c r="DC31" s="108"/>
      <c r="DD31" s="108"/>
      <c r="DE31" s="108"/>
      <c r="DF31" s="108"/>
      <c r="DG31" s="108"/>
      <c r="DH31" s="108"/>
      <c r="DI31" s="108"/>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7"/>
      <c r="BJ32" s="174"/>
      <c r="BK32" s="174"/>
      <c r="BL32" s="1"/>
      <c r="BM32" s="174"/>
      <c r="BN32" s="174"/>
      <c r="BO32" s="174"/>
      <c r="BP32" s="174"/>
      <c r="BQ32" s="174"/>
      <c r="BR32" s="174"/>
      <c r="BS32" s="174"/>
      <c r="BT32" s="174"/>
      <c r="BU32" s="174"/>
      <c r="BV32" s="6"/>
      <c r="BW32" s="6"/>
      <c r="BX32" s="6"/>
      <c r="BY32" s="6"/>
      <c r="BZ32" s="6"/>
      <c r="CA32" s="6"/>
      <c r="CB32" s="6"/>
      <c r="CC32" s="6"/>
      <c r="CD32" s="6"/>
      <c r="CE32" s="6"/>
      <c r="CF32" s="6"/>
      <c r="CG32" s="6"/>
      <c r="CH32" s="6"/>
      <c r="CI32" s="6"/>
      <c r="CJ32" s="6"/>
      <c r="CK32" s="107"/>
      <c r="CL32" s="107"/>
      <c r="CM32" s="107"/>
      <c r="CN32" s="107"/>
      <c r="CO32" s="107"/>
      <c r="CP32" s="107"/>
      <c r="CQ32" s="107"/>
      <c r="CR32" s="107"/>
      <c r="CS32" s="107"/>
      <c r="CT32" s="108"/>
      <c r="CU32" s="108"/>
      <c r="CV32" s="108"/>
      <c r="CW32" s="108"/>
      <c r="CX32" s="108"/>
      <c r="CY32" s="108"/>
      <c r="CZ32" s="108"/>
      <c r="DA32" s="108"/>
      <c r="DB32" s="108"/>
      <c r="DC32" s="108"/>
      <c r="DD32" s="108"/>
      <c r="DE32" s="108"/>
      <c r="DF32" s="108"/>
      <c r="DG32" s="108"/>
      <c r="DH32" s="108"/>
      <c r="DI32" s="108"/>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90"/>
      <c r="Z33" s="90"/>
      <c r="AA33" s="90"/>
      <c r="AB33" s="90"/>
      <c r="AC33" s="90"/>
      <c r="AD33" s="90"/>
      <c r="AE33" s="90"/>
      <c r="AF33" s="90"/>
      <c r="AG33" s="90"/>
      <c r="AH33" s="90"/>
      <c r="AI33" s="90"/>
      <c r="AJ33" s="90"/>
      <c r="AK33" s="90"/>
      <c r="AL33" s="90"/>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6"/>
      <c r="BW33" s="6"/>
      <c r="BX33" s="6"/>
      <c r="BY33" s="6"/>
      <c r="BZ33" s="6"/>
      <c r="CA33" s="6"/>
      <c r="CB33" s="6"/>
      <c r="CC33" s="6"/>
      <c r="CD33" s="6"/>
      <c r="CE33" s="6"/>
      <c r="CF33" s="6"/>
      <c r="CG33" s="6"/>
      <c r="CH33" s="6"/>
      <c r="CI33" s="6"/>
      <c r="CJ33" s="6"/>
      <c r="CK33" s="107"/>
      <c r="CL33" s="107"/>
      <c r="CM33" s="107"/>
      <c r="CN33" s="107"/>
      <c r="CO33" s="107"/>
      <c r="CP33" s="107"/>
      <c r="CQ33" s="107"/>
      <c r="CR33" s="107"/>
      <c r="CS33" s="107"/>
      <c r="CT33" s="108"/>
      <c r="CU33" s="108"/>
      <c r="CV33" s="108"/>
      <c r="CW33" s="108"/>
      <c r="CX33" s="108"/>
      <c r="CY33" s="108"/>
      <c r="CZ33" s="108"/>
      <c r="DA33" s="108"/>
      <c r="DB33" s="108"/>
      <c r="DC33" s="108"/>
      <c r="DD33" s="108"/>
      <c r="DE33" s="108"/>
      <c r="DF33" s="108"/>
      <c r="DG33" s="108"/>
      <c r="DH33" s="108"/>
      <c r="DI33" s="108"/>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90"/>
      <c r="Z34" s="90"/>
      <c r="AA34" s="90"/>
      <c r="AB34" s="90"/>
      <c r="AC34" s="90"/>
      <c r="AD34" s="90"/>
      <c r="AE34" s="90"/>
      <c r="AF34" s="90"/>
      <c r="AG34" s="90"/>
      <c r="AH34" s="90"/>
      <c r="AI34" s="90"/>
      <c r="AJ34" s="90"/>
      <c r="AK34" s="90"/>
      <c r="AL34" s="90"/>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6"/>
      <c r="BW34" s="6"/>
      <c r="BX34" s="6"/>
      <c r="BY34" s="6"/>
      <c r="BZ34" s="6"/>
      <c r="CA34" s="6"/>
      <c r="CB34" s="6"/>
      <c r="CC34" s="6"/>
      <c r="CD34" s="6"/>
      <c r="CE34" s="6"/>
      <c r="CF34" s="6"/>
      <c r="CG34" s="6"/>
      <c r="CH34" s="6"/>
      <c r="CI34" s="6"/>
      <c r="CJ34" s="6"/>
      <c r="CK34" s="107"/>
      <c r="CL34" s="107"/>
      <c r="CM34" s="107"/>
      <c r="CN34" s="107"/>
      <c r="CO34" s="107"/>
      <c r="CP34" s="107"/>
      <c r="CQ34" s="107"/>
      <c r="CR34" s="107"/>
      <c r="CS34" s="107"/>
      <c r="CT34" s="108"/>
      <c r="CU34" s="108"/>
      <c r="CV34" s="108"/>
      <c r="CW34" s="108"/>
      <c r="CX34" s="108"/>
      <c r="CY34" s="108"/>
      <c r="CZ34" s="108"/>
      <c r="DA34" s="108"/>
      <c r="DB34" s="108"/>
      <c r="DC34" s="108"/>
      <c r="DD34" s="108"/>
      <c r="DE34" s="108"/>
      <c r="DF34" s="108"/>
      <c r="DG34" s="108"/>
      <c r="DH34" s="108"/>
      <c r="DI34" s="108"/>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90"/>
      <c r="Z35" s="90"/>
      <c r="AA35" s="90"/>
      <c r="AB35" s="90"/>
      <c r="AC35" s="90"/>
      <c r="AD35" s="90"/>
      <c r="AE35" s="90"/>
      <c r="AF35" s="90"/>
      <c r="AG35" s="90"/>
      <c r="AH35" s="90"/>
      <c r="AI35" s="90"/>
      <c r="AJ35" s="90"/>
      <c r="AK35" s="90"/>
      <c r="AL35" s="90"/>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6"/>
      <c r="BW35" s="6"/>
      <c r="BX35" s="6"/>
      <c r="BY35" s="6"/>
      <c r="BZ35" s="6"/>
      <c r="CA35" s="6"/>
      <c r="CB35" s="6"/>
      <c r="CC35" s="6"/>
      <c r="CD35" s="6"/>
      <c r="CE35" s="6"/>
      <c r="CF35" s="6"/>
      <c r="CG35" s="6"/>
      <c r="CH35" s="6"/>
      <c r="CI35" s="6"/>
      <c r="CJ35" s="6"/>
      <c r="CK35" s="107"/>
      <c r="CL35" s="107"/>
      <c r="CM35" s="107"/>
      <c r="CN35" s="107"/>
      <c r="CO35" s="107"/>
      <c r="CP35" s="107"/>
      <c r="CQ35" s="107"/>
      <c r="CR35" s="107"/>
      <c r="CS35" s="107"/>
      <c r="CT35" s="108"/>
      <c r="CU35" s="108"/>
      <c r="CV35" s="108"/>
      <c r="CW35" s="108"/>
      <c r="CX35" s="108"/>
      <c r="CY35" s="108"/>
      <c r="CZ35" s="108"/>
      <c r="DA35" s="108"/>
      <c r="DB35" s="108"/>
      <c r="DC35" s="108"/>
      <c r="DD35" s="108"/>
      <c r="DE35" s="108"/>
      <c r="DF35" s="108"/>
      <c r="DG35" s="108"/>
      <c r="DH35" s="108"/>
      <c r="DI35" s="108"/>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6"/>
      <c r="BW36" s="6"/>
      <c r="BX36" s="6"/>
      <c r="BY36" s="6"/>
      <c r="BZ36" s="6"/>
      <c r="CA36" s="6"/>
      <c r="CB36" s="6"/>
      <c r="CC36" s="6"/>
      <c r="CD36" s="6"/>
      <c r="CE36" s="6"/>
      <c r="CF36" s="6"/>
      <c r="CG36" s="6"/>
      <c r="CH36" s="6"/>
      <c r="CI36" s="6"/>
      <c r="CJ36" s="6"/>
      <c r="CK36" s="107"/>
      <c r="CL36" s="107"/>
      <c r="CM36" s="107"/>
      <c r="CN36" s="107"/>
      <c r="CO36" s="107"/>
      <c r="CP36" s="107"/>
      <c r="CQ36" s="107"/>
      <c r="CR36" s="107"/>
      <c r="CS36" s="107"/>
      <c r="CT36" s="108"/>
      <c r="CU36" s="108"/>
      <c r="CV36" s="108"/>
      <c r="CW36" s="108"/>
      <c r="CX36" s="108"/>
      <c r="CY36" s="108"/>
      <c r="CZ36" s="108"/>
      <c r="DA36" s="108"/>
      <c r="DB36" s="108"/>
      <c r="DC36" s="108"/>
      <c r="DD36" s="108"/>
      <c r="DE36" s="108"/>
      <c r="DF36" s="108"/>
      <c r="DG36" s="108"/>
      <c r="DH36" s="108"/>
      <c r="DI36" s="108"/>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53"/>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6"/>
      <c r="BW37" s="6"/>
      <c r="BX37" s="6"/>
      <c r="BY37" s="6"/>
      <c r="BZ37" s="6"/>
      <c r="CA37" s="6"/>
      <c r="CB37" s="6"/>
      <c r="CC37" s="6"/>
      <c r="CD37" s="6"/>
      <c r="CE37" s="6"/>
      <c r="CF37" s="6"/>
      <c r="CG37" s="6"/>
      <c r="CH37" s="6"/>
      <c r="CI37" s="6"/>
      <c r="CJ37" s="6"/>
      <c r="CK37" s="107"/>
      <c r="CL37" s="107"/>
      <c r="CM37" s="107"/>
      <c r="CN37" s="107"/>
      <c r="CO37" s="107"/>
      <c r="CP37" s="107"/>
      <c r="CQ37" s="107"/>
      <c r="CR37" s="107"/>
      <c r="CS37" s="107"/>
      <c r="CT37" s="108"/>
      <c r="CU37" s="108"/>
      <c r="CV37" s="108"/>
      <c r="CW37" s="108"/>
      <c r="CX37" s="108"/>
      <c r="CY37" s="108"/>
      <c r="CZ37" s="108"/>
      <c r="DA37" s="108"/>
      <c r="DB37" s="108"/>
      <c r="DC37" s="108"/>
      <c r="DD37" s="108"/>
      <c r="DE37" s="108"/>
      <c r="DF37" s="108"/>
      <c r="DG37" s="108"/>
      <c r="DH37" s="108"/>
      <c r="DI37" s="108"/>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6"/>
      <c r="BW38" s="6"/>
      <c r="BX38" s="6"/>
      <c r="BY38" s="6"/>
      <c r="BZ38" s="6"/>
      <c r="CA38" s="6"/>
      <c r="CB38" s="6"/>
      <c r="CC38" s="6"/>
      <c r="CD38" s="6"/>
      <c r="CE38" s="6"/>
      <c r="CF38" s="6"/>
      <c r="CG38" s="6"/>
      <c r="CH38" s="6"/>
      <c r="CI38" s="6"/>
      <c r="CJ38" s="6"/>
      <c r="CK38" s="107"/>
      <c r="CL38" s="107"/>
      <c r="CM38" s="107"/>
      <c r="CN38" s="107"/>
      <c r="CO38" s="107"/>
      <c r="CP38" s="107"/>
      <c r="CQ38" s="107"/>
      <c r="CR38" s="107"/>
      <c r="CS38" s="107"/>
      <c r="CT38" s="108"/>
      <c r="CU38" s="108"/>
      <c r="CV38" s="108"/>
      <c r="CW38" s="108"/>
      <c r="CX38" s="108"/>
      <c r="CY38" s="108"/>
      <c r="CZ38" s="108"/>
      <c r="DA38" s="108"/>
      <c r="DB38" s="108"/>
      <c r="DC38" s="108"/>
      <c r="DD38" s="108"/>
      <c r="DE38" s="108"/>
      <c r="DF38" s="108"/>
      <c r="DG38" s="108"/>
      <c r="DH38" s="108"/>
      <c r="DI38" s="108"/>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6"/>
      <c r="BW39" s="6"/>
      <c r="BX39" s="6"/>
      <c r="BY39" s="6"/>
      <c r="BZ39" s="6"/>
      <c r="CA39" s="6"/>
      <c r="CB39" s="6"/>
      <c r="CC39" s="6"/>
      <c r="CD39" s="6"/>
      <c r="CE39" s="6"/>
      <c r="CF39" s="6"/>
      <c r="CG39" s="6"/>
      <c r="CH39" s="6"/>
      <c r="CI39" s="6"/>
      <c r="CJ39" s="6"/>
      <c r="CK39" s="107"/>
      <c r="CL39" s="107"/>
      <c r="CM39" s="107"/>
      <c r="CN39" s="107"/>
      <c r="CO39" s="107"/>
      <c r="CP39" s="107"/>
      <c r="CQ39" s="107"/>
      <c r="CR39" s="107"/>
      <c r="CS39" s="107"/>
      <c r="CT39" s="108"/>
      <c r="CU39" s="108"/>
      <c r="CV39" s="108"/>
      <c r="CW39" s="108"/>
      <c r="CX39" s="108"/>
      <c r="CY39" s="108"/>
      <c r="CZ39" s="108"/>
      <c r="DA39" s="108"/>
      <c r="DB39" s="108"/>
      <c r="DC39" s="108"/>
      <c r="DD39" s="108"/>
      <c r="DE39" s="108"/>
      <c r="DF39" s="108"/>
      <c r="DG39" s="108"/>
      <c r="DH39" s="108"/>
      <c r="DI39" s="108"/>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6"/>
      <c r="BW40" s="6"/>
      <c r="BX40" s="6"/>
      <c r="BY40" s="6"/>
      <c r="BZ40" s="6"/>
      <c r="CA40" s="6"/>
      <c r="CB40" s="6"/>
      <c r="CC40" s="6"/>
      <c r="CD40" s="6"/>
      <c r="CE40" s="6"/>
      <c r="CF40" s="6"/>
      <c r="CG40" s="6"/>
      <c r="CH40" s="6"/>
      <c r="CI40" s="6"/>
      <c r="CJ40" s="6"/>
      <c r="CK40" s="107"/>
      <c r="CL40" s="107"/>
      <c r="CM40" s="107"/>
      <c r="CN40" s="107"/>
      <c r="CO40" s="107"/>
      <c r="CP40" s="107"/>
      <c r="CQ40" s="107"/>
      <c r="CR40" s="107"/>
      <c r="CS40" s="107"/>
      <c r="CT40" s="108"/>
      <c r="CU40" s="108"/>
      <c r="CV40" s="108"/>
      <c r="CW40" s="108"/>
      <c r="CX40" s="108"/>
      <c r="CY40" s="108"/>
      <c r="CZ40" s="108"/>
      <c r="DA40" s="108"/>
      <c r="DB40" s="108"/>
      <c r="DC40" s="108"/>
      <c r="DD40" s="108"/>
      <c r="DE40" s="108"/>
      <c r="DF40" s="108"/>
      <c r="DG40" s="108"/>
      <c r="DH40" s="108"/>
      <c r="DI40" s="108"/>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52"/>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0"/>
      <c r="BB61" s="10"/>
      <c r="BC61" s="10"/>
      <c r="BD61" s="10"/>
      <c r="BE61" s="10"/>
      <c r="BF61" s="10"/>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1"/>
      <c r="F62" s="9"/>
      <c r="G62" s="9"/>
      <c r="H62" s="9"/>
      <c r="I62" s="9"/>
      <c r="J62" s="174"/>
      <c r="K62" s="9"/>
      <c r="L62" s="9"/>
      <c r="M62" s="9"/>
      <c r="N62" s="9"/>
      <c r="O62" s="9"/>
      <c r="P62" s="9"/>
      <c r="Q62" s="9"/>
      <c r="R62" s="9"/>
      <c r="S62" s="9"/>
      <c r="T62" s="9"/>
      <c r="U62" s="9"/>
      <c r="V62" s="9"/>
      <c r="W62" s="9"/>
      <c r="X62" s="9"/>
      <c r="Y62" s="174"/>
      <c r="Z62" s="174"/>
      <c r="AA62" s="174"/>
      <c r="AB62" s="174"/>
      <c r="AC62" s="174"/>
      <c r="AD62" s="174"/>
      <c r="AE62" s="174"/>
      <c r="AF62" s="174"/>
      <c r="AG62" s="174"/>
      <c r="AH62" s="174"/>
      <c r="AI62" s="174"/>
      <c r="AJ62" s="174"/>
      <c r="AK62" s="174"/>
      <c r="AL62" s="174"/>
      <c r="AM62" s="6"/>
      <c r="AN62" s="6"/>
      <c r="AO62" s="6"/>
      <c r="AP62" s="6"/>
      <c r="AQ62" s="6"/>
      <c r="AR62" s="6"/>
      <c r="AS62" s="6"/>
      <c r="AT62" s="6"/>
      <c r="AU62" s="6"/>
      <c r="AV62" s="10"/>
      <c r="AW62" s="10"/>
      <c r="AX62" s="10"/>
      <c r="AY62" s="10"/>
      <c r="AZ62" s="10"/>
      <c r="BA62" s="10"/>
      <c r="BB62" s="10"/>
      <c r="BC62" s="10"/>
      <c r="BD62" s="10"/>
      <c r="BE62" s="10"/>
      <c r="BF62" s="10"/>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9"/>
      <c r="F63" s="9"/>
      <c r="G63" s="9"/>
      <c r="H63" s="9"/>
      <c r="I63" s="9"/>
      <c r="J63" s="9"/>
      <c r="K63" s="9"/>
      <c r="L63" s="9"/>
      <c r="M63" s="9"/>
      <c r="N63" s="9"/>
      <c r="O63" s="9"/>
      <c r="P63" s="9"/>
      <c r="Q63" s="9"/>
      <c r="R63" s="9"/>
      <c r="S63" s="9"/>
      <c r="T63" s="9"/>
      <c r="U63" s="9"/>
      <c r="V63" s="9"/>
      <c r="W63" s="9"/>
      <c r="X63" s="9"/>
      <c r="Y63" s="174"/>
      <c r="Z63" s="174"/>
      <c r="AA63" s="174"/>
      <c r="AB63" s="174"/>
      <c r="AC63" s="174"/>
      <c r="AD63" s="174"/>
      <c r="AE63" s="174"/>
      <c r="AF63" s="174"/>
      <c r="AG63" s="174"/>
      <c r="AH63" s="174"/>
      <c r="AI63" s="174"/>
      <c r="AJ63" s="174"/>
      <c r="AK63" s="174"/>
      <c r="AL63" s="174"/>
      <c r="AM63" s="6"/>
      <c r="AN63" s="6"/>
      <c r="AO63" s="6"/>
      <c r="AP63" s="6"/>
      <c r="AQ63" s="6"/>
      <c r="AR63" s="6"/>
      <c r="AS63" s="6"/>
      <c r="AT63" s="6"/>
      <c r="AU63" s="10"/>
      <c r="AV63" s="10"/>
      <c r="AW63" s="10"/>
      <c r="AX63" s="10"/>
      <c r="AY63" s="10"/>
      <c r="AZ63" s="10"/>
      <c r="BA63" s="10"/>
      <c r="BB63" s="10"/>
      <c r="BC63" s="10"/>
      <c r="BD63" s="10"/>
      <c r="BE63" s="10"/>
      <c r="BF63" s="10"/>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1"/>
      <c r="F64" s="9"/>
      <c r="G64" s="9"/>
      <c r="H64" s="9"/>
      <c r="I64" s="9"/>
      <c r="J64" s="9"/>
      <c r="K64" s="9"/>
      <c r="L64" s="9"/>
      <c r="M64" s="9"/>
      <c r="N64" s="9"/>
      <c r="O64" s="9"/>
      <c r="P64" s="9"/>
      <c r="Q64" s="9"/>
      <c r="R64" s="9"/>
      <c r="S64" s="9"/>
      <c r="T64" s="9"/>
      <c r="U64" s="9"/>
      <c r="V64" s="9"/>
      <c r="W64" s="9"/>
      <c r="X64" s="9"/>
      <c r="Y64" s="174"/>
      <c r="Z64" s="174"/>
      <c r="AA64" s="174"/>
      <c r="AB64" s="174"/>
      <c r="AC64" s="174"/>
      <c r="AD64" s="174"/>
      <c r="AE64" s="174"/>
      <c r="AF64" s="174"/>
      <c r="AG64" s="174"/>
      <c r="AH64" s="174"/>
      <c r="AI64" s="174"/>
      <c r="AJ64" s="174"/>
      <c r="AK64" s="174"/>
      <c r="AL64" s="174"/>
      <c r="AM64" s="9"/>
      <c r="AN64" s="9"/>
      <c r="AO64" s="9"/>
      <c r="AP64" s="9"/>
      <c r="AQ64" s="9"/>
      <c r="AR64" s="9"/>
      <c r="AS64" s="9"/>
      <c r="AT64" s="9"/>
      <c r="AU64" s="9"/>
      <c r="AV64" s="9"/>
      <c r="AW64" s="9"/>
      <c r="AX64" s="9"/>
      <c r="AY64" s="9"/>
      <c r="AZ64" s="9"/>
      <c r="BA64" s="9"/>
      <c r="BB64" s="9"/>
      <c r="BC64" s="9"/>
      <c r="BD64" s="9"/>
      <c r="BE64" s="9"/>
      <c r="BF64" s="9"/>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9"/>
      <c r="F65" s="9"/>
      <c r="G65" s="9"/>
      <c r="H65" s="9"/>
      <c r="I65" s="9"/>
      <c r="J65" s="9"/>
      <c r="K65" s="9"/>
      <c r="L65" s="9"/>
      <c r="M65" s="9"/>
      <c r="N65" s="9"/>
      <c r="O65" s="9"/>
      <c r="P65" s="9"/>
      <c r="Q65" s="9"/>
      <c r="R65" s="9"/>
      <c r="S65" s="9"/>
      <c r="T65" s="9"/>
      <c r="U65" s="9"/>
      <c r="V65" s="9"/>
      <c r="W65" s="9"/>
      <c r="X65" s="9"/>
      <c r="Y65" s="174"/>
      <c r="Z65" s="174"/>
      <c r="AA65" s="174"/>
      <c r="AB65" s="174"/>
      <c r="AC65" s="174"/>
      <c r="AD65" s="174"/>
      <c r="AE65" s="174"/>
      <c r="AF65" s="174"/>
      <c r="AG65" s="174"/>
      <c r="AH65" s="174"/>
      <c r="AI65" s="174"/>
      <c r="AJ65" s="174"/>
      <c r="AK65" s="174"/>
      <c r="AL65" s="174"/>
      <c r="AM65" s="9"/>
      <c r="AN65" s="9"/>
      <c r="AO65" s="9"/>
      <c r="AP65" s="9"/>
      <c r="AQ65" s="9"/>
      <c r="AR65" s="9"/>
      <c r="AS65" s="9"/>
      <c r="AT65" s="9"/>
      <c r="AU65" s="9"/>
      <c r="AV65" s="9"/>
      <c r="AW65" s="9"/>
      <c r="AX65" s="9"/>
      <c r="AY65" s="9"/>
      <c r="AZ65" s="9"/>
      <c r="BA65" s="9"/>
      <c r="BB65" s="9"/>
      <c r="BC65" s="9"/>
      <c r="BD65" s="9"/>
      <c r="BE65" s="9"/>
      <c r="BF65" s="9"/>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91"/>
      <c r="Z69" s="91"/>
      <c r="AA69" s="91"/>
      <c r="AB69" s="91"/>
      <c r="AC69" s="91"/>
      <c r="AD69" s="91"/>
      <c r="AE69" s="91"/>
      <c r="AF69" s="91"/>
      <c r="AG69" s="91"/>
      <c r="AH69" s="91"/>
      <c r="AI69" s="91"/>
      <c r="AJ69" s="91"/>
      <c r="AK69" s="91"/>
      <c r="AL69" s="91"/>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91"/>
      <c r="Z70" s="91"/>
      <c r="AA70" s="91"/>
      <c r="AB70" s="91"/>
      <c r="AC70" s="91"/>
      <c r="AD70" s="91"/>
      <c r="AE70" s="91"/>
      <c r="AF70" s="91"/>
      <c r="AG70" s="91"/>
      <c r="AH70" s="91"/>
      <c r="AI70" s="91"/>
      <c r="AJ70" s="91"/>
      <c r="AK70" s="91"/>
      <c r="AL70" s="91"/>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91"/>
      <c r="Z71" s="91"/>
      <c r="AA71" s="91"/>
      <c r="AB71" s="91"/>
      <c r="AC71" s="91"/>
      <c r="AD71" s="91"/>
      <c r="AE71" s="91"/>
      <c r="AF71" s="91"/>
      <c r="AG71" s="91"/>
      <c r="AH71" s="91"/>
      <c r="AI71" s="91"/>
      <c r="AJ71" s="91"/>
      <c r="AK71" s="91"/>
      <c r="AL71" s="91"/>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spans="11:51" ht="9.9499999999999993" hidden="1" customHeight="1">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row>
    <row r="82" spans="11:51" ht="9.9499999999999993" hidden="1" customHeight="1">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row>
    <row r="83" spans="11:51" ht="9.9499999999999993" hidden="1" customHeight="1">
      <c r="K83" s="87"/>
      <c r="L83" s="88"/>
      <c r="M83" s="88"/>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row>
    <row r="84" spans="11:51" ht="9.9499999999999993" hidden="1" customHeight="1">
      <c r="K84" s="88"/>
      <c r="L84" s="88"/>
      <c r="M84" s="88"/>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row>
    <row r="85" spans="11:51" ht="9.9499999999999993" hidden="1" customHeight="1">
      <c r="K85" s="88"/>
      <c r="L85" s="88"/>
      <c r="M85" s="88"/>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row>
    <row r="86" spans="11:51" ht="9.9499999999999993" hidden="1" customHeight="1">
      <c r="K86" s="88"/>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row>
    <row r="87" spans="11:51" ht="9.9499999999999993" hidden="1" customHeight="1">
      <c r="K87" s="88"/>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row>
    <row r="88" spans="11:51" ht="9.9499999999999993" hidden="1" customHeight="1">
      <c r="K88" s="88"/>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row>
    <row r="89" spans="11:51" ht="9.9499999999999993" hidden="1" customHeight="1">
      <c r="K89" s="88"/>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row>
    <row r="90" spans="11:51" ht="9.9499999999999993" hidden="1" customHeight="1">
      <c r="K90" s="88"/>
      <c r="L90" s="6"/>
      <c r="M90" s="6"/>
      <c r="N90" s="6"/>
      <c r="O90" s="6"/>
      <c r="P90" s="6"/>
      <c r="Q90" s="6"/>
      <c r="R90" s="6"/>
      <c r="S90" s="6"/>
      <c r="T90" s="6"/>
      <c r="U90" s="6"/>
      <c r="V90" s="6"/>
      <c r="W90" s="6"/>
      <c r="X90" s="6"/>
      <c r="Y90" s="6"/>
      <c r="Z90" s="6"/>
      <c r="AA90" s="107"/>
      <c r="AB90" s="107"/>
      <c r="AC90" s="107"/>
      <c r="AD90" s="107"/>
      <c r="AE90" s="107"/>
      <c r="AF90" s="107"/>
      <c r="AG90" s="107"/>
      <c r="AH90" s="107"/>
      <c r="AI90" s="107"/>
      <c r="AJ90" s="108"/>
      <c r="AK90" s="108"/>
      <c r="AL90" s="108"/>
      <c r="AM90" s="108"/>
      <c r="AN90" s="108"/>
      <c r="AO90" s="108"/>
      <c r="AP90" s="108"/>
      <c r="AQ90" s="108"/>
      <c r="AR90" s="108"/>
      <c r="AS90" s="108"/>
      <c r="AT90" s="108"/>
      <c r="AU90" s="108"/>
      <c r="AV90" s="108"/>
      <c r="AW90" s="108"/>
      <c r="AX90" s="108"/>
      <c r="AY90" s="108"/>
    </row>
    <row r="91" spans="11:51" ht="9.9499999999999993" hidden="1" customHeight="1">
      <c r="K91" s="88"/>
      <c r="L91" s="6"/>
      <c r="M91" s="6"/>
      <c r="N91" s="6"/>
      <c r="O91" s="6"/>
      <c r="P91" s="6"/>
      <c r="Q91" s="6"/>
      <c r="R91" s="6"/>
      <c r="S91" s="6"/>
      <c r="T91" s="6"/>
      <c r="U91" s="6"/>
      <c r="V91" s="6"/>
      <c r="W91" s="6"/>
      <c r="X91" s="6"/>
      <c r="Y91" s="6"/>
      <c r="Z91" s="6"/>
      <c r="AA91" s="107"/>
      <c r="AB91" s="107"/>
      <c r="AC91" s="107"/>
      <c r="AD91" s="107"/>
      <c r="AE91" s="107"/>
      <c r="AF91" s="107"/>
      <c r="AG91" s="107"/>
      <c r="AH91" s="107"/>
      <c r="AI91" s="107"/>
      <c r="AJ91" s="108"/>
      <c r="AK91" s="108"/>
      <c r="AL91" s="108"/>
      <c r="AM91" s="108"/>
      <c r="AN91" s="108"/>
      <c r="AO91" s="108"/>
      <c r="AP91" s="108"/>
      <c r="AQ91" s="108"/>
      <c r="AR91" s="108"/>
      <c r="AS91" s="108"/>
      <c r="AT91" s="108"/>
      <c r="AU91" s="108"/>
      <c r="AV91" s="108"/>
      <c r="AW91" s="108"/>
      <c r="AX91" s="108"/>
      <c r="AY91" s="108"/>
    </row>
    <row r="92" spans="11:51" ht="9.9499999999999993" hidden="1" customHeight="1">
      <c r="K92" s="88"/>
      <c r="L92" s="6"/>
      <c r="M92" s="6"/>
      <c r="N92" s="6"/>
      <c r="O92" s="6"/>
      <c r="P92" s="6"/>
      <c r="Q92" s="6"/>
      <c r="R92" s="6"/>
      <c r="S92" s="6"/>
      <c r="T92" s="6"/>
      <c r="U92" s="6"/>
      <c r="V92" s="6"/>
      <c r="W92" s="6"/>
      <c r="X92" s="6"/>
      <c r="Y92" s="6"/>
      <c r="Z92" s="6"/>
      <c r="AA92" s="107"/>
      <c r="AB92" s="107"/>
      <c r="AC92" s="107"/>
      <c r="AD92" s="107"/>
      <c r="AE92" s="107"/>
      <c r="AF92" s="107"/>
      <c r="AG92" s="107"/>
      <c r="AH92" s="107"/>
      <c r="AI92" s="107"/>
      <c r="AJ92" s="108"/>
      <c r="AK92" s="108"/>
      <c r="AL92" s="108"/>
      <c r="AM92" s="108"/>
      <c r="AN92" s="108"/>
      <c r="AO92" s="108"/>
      <c r="AP92" s="108"/>
      <c r="AQ92" s="108"/>
      <c r="AR92" s="108"/>
      <c r="AS92" s="108"/>
      <c r="AT92" s="108"/>
      <c r="AU92" s="108"/>
      <c r="AV92" s="108"/>
      <c r="AW92" s="108"/>
      <c r="AX92" s="108"/>
      <c r="AY92" s="108"/>
    </row>
    <row r="93" spans="11:51" ht="9.9499999999999993" hidden="1" customHeight="1">
      <c r="K93" s="88"/>
      <c r="L93" s="6"/>
      <c r="M93" s="6"/>
      <c r="N93" s="6"/>
      <c r="O93" s="6"/>
      <c r="P93" s="6"/>
      <c r="Q93" s="6"/>
      <c r="R93" s="6"/>
      <c r="S93" s="6"/>
      <c r="T93" s="6"/>
      <c r="U93" s="6"/>
      <c r="V93" s="6"/>
      <c r="W93" s="6"/>
      <c r="X93" s="6"/>
      <c r="Y93" s="6"/>
      <c r="Z93" s="6"/>
      <c r="AA93" s="107"/>
      <c r="AB93" s="107"/>
      <c r="AC93" s="107"/>
      <c r="AD93" s="107"/>
      <c r="AE93" s="107"/>
      <c r="AF93" s="107"/>
      <c r="AG93" s="107"/>
      <c r="AH93" s="107"/>
      <c r="AI93" s="107"/>
      <c r="AJ93" s="108"/>
      <c r="AK93" s="108"/>
      <c r="AL93" s="108"/>
      <c r="AM93" s="108"/>
      <c r="AN93" s="108"/>
      <c r="AO93" s="108"/>
      <c r="AP93" s="108"/>
      <c r="AQ93" s="108"/>
      <c r="AR93" s="108"/>
      <c r="AS93" s="108"/>
      <c r="AT93" s="108"/>
      <c r="AU93" s="108"/>
      <c r="AV93" s="108"/>
      <c r="AW93" s="108"/>
      <c r="AX93" s="108"/>
      <c r="AY93" s="108"/>
    </row>
    <row r="94" spans="11:51" ht="9.9499999999999993" hidden="1" customHeight="1">
      <c r="K94" s="88"/>
      <c r="L94" s="6"/>
      <c r="M94" s="6"/>
      <c r="N94" s="6"/>
      <c r="O94" s="6"/>
      <c r="P94" s="6"/>
      <c r="Q94" s="6"/>
      <c r="R94" s="6"/>
      <c r="S94" s="6"/>
      <c r="T94" s="6"/>
      <c r="U94" s="6"/>
      <c r="V94" s="6"/>
      <c r="W94" s="6"/>
      <c r="X94" s="6"/>
      <c r="Y94" s="6"/>
      <c r="Z94" s="6"/>
      <c r="AA94" s="107"/>
      <c r="AB94" s="107"/>
      <c r="AC94" s="107"/>
      <c r="AD94" s="107"/>
      <c r="AE94" s="107"/>
      <c r="AF94" s="107"/>
      <c r="AG94" s="107"/>
      <c r="AH94" s="107"/>
      <c r="AI94" s="107"/>
      <c r="AJ94" s="108"/>
      <c r="AK94" s="108"/>
      <c r="AL94" s="108"/>
      <c r="AM94" s="108"/>
      <c r="AN94" s="108"/>
      <c r="AO94" s="108"/>
      <c r="AP94" s="108"/>
      <c r="AQ94" s="108"/>
      <c r="AR94" s="108"/>
      <c r="AS94" s="108"/>
      <c r="AT94" s="108"/>
      <c r="AU94" s="108"/>
      <c r="AV94" s="108"/>
      <c r="AW94" s="108"/>
      <c r="AX94" s="108"/>
      <c r="AY94" s="108"/>
    </row>
    <row r="95" spans="11:51" ht="9.9499999999999993" hidden="1" customHeight="1">
      <c r="K95" s="88"/>
      <c r="L95" s="6"/>
      <c r="M95" s="6"/>
      <c r="N95" s="6"/>
      <c r="O95" s="6"/>
      <c r="P95" s="6"/>
      <c r="Q95" s="6"/>
      <c r="R95" s="6"/>
      <c r="S95" s="6"/>
      <c r="T95" s="6"/>
      <c r="U95" s="6"/>
      <c r="V95" s="6"/>
      <c r="W95" s="6"/>
      <c r="X95" s="6"/>
      <c r="Y95" s="6"/>
      <c r="Z95" s="6"/>
      <c r="AA95" s="107"/>
      <c r="AB95" s="107"/>
      <c r="AC95" s="107"/>
      <c r="AD95" s="107"/>
      <c r="AE95" s="107"/>
      <c r="AF95" s="107"/>
      <c r="AG95" s="107"/>
      <c r="AH95" s="107"/>
      <c r="AI95" s="107"/>
      <c r="AJ95" s="108"/>
      <c r="AK95" s="108"/>
      <c r="AL95" s="108"/>
      <c r="AM95" s="108"/>
      <c r="AN95" s="108"/>
      <c r="AO95" s="108"/>
      <c r="AP95" s="108"/>
      <c r="AQ95" s="108"/>
      <c r="AR95" s="108"/>
      <c r="AS95" s="108"/>
      <c r="AT95" s="108"/>
      <c r="AU95" s="108"/>
      <c r="AV95" s="108"/>
      <c r="AW95" s="108"/>
      <c r="AX95" s="108"/>
      <c r="AY95" s="108"/>
    </row>
    <row r="96" spans="11:51" ht="9.9499999999999993" hidden="1" customHeight="1">
      <c r="K96" s="88"/>
      <c r="L96" s="6"/>
      <c r="M96" s="6"/>
      <c r="N96" s="6"/>
      <c r="O96" s="6"/>
      <c r="P96" s="6"/>
      <c r="Q96" s="6"/>
      <c r="R96" s="6"/>
      <c r="S96" s="6"/>
      <c r="T96" s="6"/>
      <c r="U96" s="6"/>
      <c r="V96" s="6"/>
      <c r="W96" s="6"/>
      <c r="X96" s="6"/>
      <c r="Y96" s="6"/>
      <c r="Z96" s="6"/>
      <c r="AA96" s="107"/>
      <c r="AB96" s="107"/>
      <c r="AC96" s="107"/>
      <c r="AD96" s="107"/>
      <c r="AE96" s="107"/>
      <c r="AF96" s="107"/>
      <c r="AG96" s="107"/>
      <c r="AH96" s="107"/>
      <c r="AI96" s="107"/>
      <c r="AJ96" s="108"/>
      <c r="AK96" s="108"/>
      <c r="AL96" s="108"/>
      <c r="AM96" s="108"/>
      <c r="AN96" s="108"/>
      <c r="AO96" s="108"/>
      <c r="AP96" s="108"/>
      <c r="AQ96" s="108"/>
      <c r="AR96" s="108"/>
      <c r="AS96" s="108"/>
      <c r="AT96" s="108"/>
      <c r="AU96" s="108"/>
      <c r="AV96" s="108"/>
      <c r="AW96" s="108"/>
      <c r="AX96" s="108"/>
      <c r="AY96" s="108"/>
    </row>
    <row r="97" spans="11:51" ht="9.9499999999999993" hidden="1" customHeight="1">
      <c r="K97" s="88"/>
      <c r="L97" s="6"/>
      <c r="M97" s="6"/>
      <c r="N97" s="6"/>
      <c r="O97" s="6"/>
      <c r="P97" s="6"/>
      <c r="Q97" s="6"/>
      <c r="R97" s="6"/>
      <c r="S97" s="6"/>
      <c r="T97" s="6"/>
      <c r="U97" s="6"/>
      <c r="V97" s="6"/>
      <c r="W97" s="6"/>
      <c r="X97" s="6"/>
      <c r="Y97" s="6"/>
      <c r="Z97" s="6"/>
      <c r="AA97" s="107"/>
      <c r="AB97" s="107"/>
      <c r="AC97" s="107"/>
      <c r="AD97" s="107"/>
      <c r="AE97" s="107"/>
      <c r="AF97" s="107"/>
      <c r="AG97" s="107"/>
      <c r="AH97" s="107"/>
      <c r="AI97" s="107"/>
      <c r="AJ97" s="108"/>
      <c r="AK97" s="108"/>
      <c r="AL97" s="108"/>
      <c r="AM97" s="108"/>
      <c r="AN97" s="108"/>
      <c r="AO97" s="108"/>
      <c r="AP97" s="108"/>
      <c r="AQ97" s="108"/>
      <c r="AR97" s="108"/>
      <c r="AS97" s="108"/>
      <c r="AT97" s="108"/>
      <c r="AU97" s="108"/>
      <c r="AV97" s="108"/>
      <c r="AW97" s="108"/>
      <c r="AX97" s="108"/>
      <c r="AY97" s="108"/>
    </row>
    <row r="98" spans="11:51" ht="9.9499999999999993" hidden="1" customHeight="1">
      <c r="K98" s="88"/>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row>
    <row r="99" spans="11:51" ht="9.9499999999999993" hidden="1" customHeight="1">
      <c r="K99" s="174"/>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row>
    <row r="100" spans="11:51" ht="9.9499999999999993" hidden="1" customHeight="1">
      <c r="K100" s="174"/>
      <c r="L100" s="6"/>
      <c r="M100" s="6"/>
      <c r="N100" s="6"/>
      <c r="O100" s="6"/>
      <c r="P100" s="6"/>
      <c r="Q100" s="6"/>
      <c r="R100" s="6"/>
      <c r="S100" s="6"/>
      <c r="T100" s="6"/>
      <c r="U100" s="6"/>
      <c r="V100" s="6"/>
      <c r="W100" s="6"/>
      <c r="X100" s="6"/>
      <c r="Y100" s="6"/>
      <c r="Z100" s="6"/>
      <c r="AA100" s="107"/>
      <c r="AB100" s="107"/>
      <c r="AC100" s="107"/>
      <c r="AD100" s="107"/>
      <c r="AE100" s="107"/>
      <c r="AF100" s="107"/>
      <c r="AG100" s="107"/>
      <c r="AH100" s="107"/>
      <c r="AI100" s="107"/>
      <c r="AJ100" s="108"/>
      <c r="AK100" s="108"/>
      <c r="AL100" s="108"/>
      <c r="AM100" s="108"/>
      <c r="AN100" s="108"/>
      <c r="AO100" s="108"/>
      <c r="AP100" s="108"/>
      <c r="AQ100" s="108"/>
      <c r="AR100" s="108"/>
      <c r="AS100" s="108"/>
      <c r="AT100" s="108"/>
      <c r="AU100" s="108"/>
      <c r="AV100" s="108"/>
      <c r="AW100" s="108"/>
      <c r="AX100" s="108"/>
      <c r="AY100" s="108"/>
    </row>
    <row r="101" spans="11:51" ht="9.9499999999999993" hidden="1" customHeight="1">
      <c r="K101" s="174"/>
      <c r="L101" s="6"/>
      <c r="M101" s="6"/>
      <c r="N101" s="6"/>
      <c r="O101" s="6"/>
      <c r="P101" s="6"/>
      <c r="Q101" s="6"/>
      <c r="R101" s="6"/>
      <c r="S101" s="6"/>
      <c r="T101" s="6"/>
      <c r="U101" s="6"/>
      <c r="V101" s="6"/>
      <c r="W101" s="6"/>
      <c r="X101" s="6"/>
      <c r="Y101" s="6"/>
      <c r="Z101" s="6"/>
      <c r="AA101" s="107"/>
      <c r="AB101" s="107"/>
      <c r="AC101" s="107"/>
      <c r="AD101" s="107"/>
      <c r="AE101" s="107"/>
      <c r="AF101" s="107"/>
      <c r="AG101" s="107"/>
      <c r="AH101" s="107"/>
      <c r="AI101" s="107"/>
      <c r="AJ101" s="108"/>
      <c r="AK101" s="108"/>
      <c r="AL101" s="108"/>
      <c r="AM101" s="108"/>
      <c r="AN101" s="108"/>
      <c r="AO101" s="108"/>
      <c r="AP101" s="108"/>
      <c r="AQ101" s="108"/>
      <c r="AR101" s="108"/>
      <c r="AS101" s="108"/>
      <c r="AT101" s="108"/>
      <c r="AU101" s="108"/>
      <c r="AV101" s="108"/>
      <c r="AW101" s="108"/>
      <c r="AX101" s="108"/>
      <c r="AY101" s="108"/>
    </row>
    <row r="102" spans="11:51" ht="9.9499999999999993" hidden="1" customHeight="1">
      <c r="K102" s="174"/>
      <c r="L102" s="6"/>
      <c r="M102" s="6"/>
      <c r="N102" s="6"/>
      <c r="O102" s="6"/>
      <c r="P102" s="6"/>
      <c r="Q102" s="6"/>
      <c r="R102" s="6"/>
      <c r="S102" s="6"/>
      <c r="T102" s="6"/>
      <c r="U102" s="6"/>
      <c r="V102" s="6"/>
      <c r="W102" s="6"/>
      <c r="X102" s="6"/>
      <c r="Y102" s="6"/>
      <c r="Z102" s="6"/>
      <c r="AA102" s="107"/>
      <c r="AB102" s="107"/>
      <c r="AC102" s="107"/>
      <c r="AD102" s="107"/>
      <c r="AE102" s="107"/>
      <c r="AF102" s="107"/>
      <c r="AG102" s="107"/>
      <c r="AH102" s="107"/>
      <c r="AI102" s="107"/>
      <c r="AJ102" s="108"/>
      <c r="AK102" s="108"/>
      <c r="AL102" s="108"/>
      <c r="AM102" s="108"/>
      <c r="AN102" s="108"/>
      <c r="AO102" s="108"/>
      <c r="AP102" s="108"/>
      <c r="AQ102" s="108"/>
      <c r="AR102" s="108"/>
      <c r="AS102" s="108"/>
      <c r="AT102" s="108"/>
      <c r="AU102" s="108"/>
      <c r="AV102" s="108"/>
      <c r="AW102" s="108"/>
      <c r="AX102" s="108"/>
      <c r="AY102" s="108"/>
    </row>
    <row r="103" spans="11:51" ht="9.9499999999999993" hidden="1" customHeight="1">
      <c r="K103" s="174"/>
      <c r="L103" s="6"/>
      <c r="M103" s="6"/>
      <c r="N103" s="6"/>
      <c r="O103" s="6"/>
      <c r="P103" s="6"/>
      <c r="Q103" s="6"/>
      <c r="R103" s="6"/>
      <c r="S103" s="6"/>
      <c r="T103" s="6"/>
      <c r="U103" s="6"/>
      <c r="V103" s="6"/>
      <c r="W103" s="6"/>
      <c r="X103" s="6"/>
      <c r="Y103" s="6"/>
      <c r="Z103" s="6"/>
      <c r="AA103" s="107"/>
      <c r="AB103" s="107"/>
      <c r="AC103" s="107"/>
      <c r="AD103" s="107"/>
      <c r="AE103" s="107"/>
      <c r="AF103" s="107"/>
      <c r="AG103" s="107"/>
      <c r="AH103" s="107"/>
      <c r="AI103" s="107"/>
      <c r="AJ103" s="108"/>
      <c r="AK103" s="108"/>
      <c r="AL103" s="108"/>
      <c r="AM103" s="108"/>
      <c r="AN103" s="108"/>
      <c r="AO103" s="108"/>
      <c r="AP103" s="108"/>
      <c r="AQ103" s="108"/>
      <c r="AR103" s="108"/>
      <c r="AS103" s="108"/>
      <c r="AT103" s="108"/>
      <c r="AU103" s="108"/>
      <c r="AV103" s="108"/>
      <c r="AW103" s="108"/>
      <c r="AX103" s="108"/>
      <c r="AY103" s="108"/>
    </row>
    <row r="104" spans="11:51" ht="9.9499999999999993" hidden="1" customHeight="1">
      <c r="K104" s="174"/>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row>
    <row r="105" spans="11:51" ht="9.9499999999999993" hidden="1" customHeight="1">
      <c r="K105" s="174"/>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row>
    <row r="106" spans="11:51" ht="9.9499999999999993" hidden="1" customHeight="1">
      <c r="K106" s="174"/>
      <c r="L106" s="6"/>
      <c r="M106" s="6"/>
      <c r="N106" s="6"/>
      <c r="O106" s="6"/>
      <c r="P106" s="6"/>
      <c r="Q106" s="6"/>
      <c r="R106" s="6"/>
      <c r="S106" s="6"/>
      <c r="T106" s="6"/>
      <c r="U106" s="6"/>
      <c r="V106" s="6"/>
      <c r="W106" s="6"/>
      <c r="X106" s="6"/>
      <c r="Y106" s="6"/>
      <c r="Z106" s="6"/>
      <c r="AA106" s="107"/>
      <c r="AB106" s="107"/>
      <c r="AC106" s="107"/>
      <c r="AD106" s="107"/>
      <c r="AE106" s="107"/>
      <c r="AF106" s="107"/>
      <c r="AG106" s="107"/>
      <c r="AH106" s="107"/>
      <c r="AI106" s="107"/>
      <c r="AJ106" s="108"/>
      <c r="AK106" s="108"/>
      <c r="AL106" s="108"/>
      <c r="AM106" s="108"/>
      <c r="AN106" s="108"/>
      <c r="AO106" s="108"/>
      <c r="AP106" s="108"/>
      <c r="AQ106" s="108"/>
      <c r="AR106" s="108"/>
      <c r="AS106" s="108"/>
      <c r="AT106" s="108"/>
      <c r="AU106" s="108"/>
      <c r="AV106" s="108"/>
      <c r="AW106" s="108"/>
      <c r="AX106" s="108"/>
      <c r="AY106" s="108"/>
    </row>
    <row r="107" spans="11:51" ht="9.9499999999999993" hidden="1" customHeight="1">
      <c r="K107" s="174"/>
      <c r="L107" s="6"/>
      <c r="M107" s="6"/>
      <c r="N107" s="6"/>
      <c r="O107" s="6"/>
      <c r="P107" s="6"/>
      <c r="Q107" s="6"/>
      <c r="R107" s="6"/>
      <c r="S107" s="6"/>
      <c r="T107" s="6"/>
      <c r="U107" s="6"/>
      <c r="V107" s="6"/>
      <c r="W107" s="6"/>
      <c r="X107" s="6"/>
      <c r="Y107" s="6"/>
      <c r="Z107" s="6"/>
      <c r="AA107" s="107"/>
      <c r="AB107" s="107"/>
      <c r="AC107" s="107"/>
      <c r="AD107" s="107"/>
      <c r="AE107" s="107"/>
      <c r="AF107" s="107"/>
      <c r="AG107" s="107"/>
      <c r="AH107" s="107"/>
      <c r="AI107" s="107"/>
      <c r="AJ107" s="108"/>
      <c r="AK107" s="108"/>
      <c r="AL107" s="108"/>
      <c r="AM107" s="108"/>
      <c r="AN107" s="108"/>
      <c r="AO107" s="108"/>
      <c r="AP107" s="108"/>
      <c r="AQ107" s="108"/>
      <c r="AR107" s="108"/>
      <c r="AS107" s="108"/>
      <c r="AT107" s="108"/>
      <c r="AU107" s="108"/>
      <c r="AV107" s="108"/>
      <c r="AW107" s="108"/>
      <c r="AX107" s="108"/>
      <c r="AY107" s="108"/>
    </row>
    <row r="108" spans="11:51" ht="9.9499999999999993" hidden="1" customHeight="1">
      <c r="K108" s="174"/>
      <c r="L108" s="6"/>
      <c r="M108" s="6"/>
      <c r="N108" s="6"/>
      <c r="O108" s="6"/>
      <c r="P108" s="6"/>
      <c r="Q108" s="6"/>
      <c r="R108" s="6"/>
      <c r="S108" s="6"/>
      <c r="T108" s="6"/>
      <c r="U108" s="6"/>
      <c r="V108" s="6"/>
      <c r="W108" s="6"/>
      <c r="X108" s="6"/>
      <c r="Y108" s="6"/>
      <c r="Z108" s="6"/>
      <c r="AA108" s="107"/>
      <c r="AB108" s="107"/>
      <c r="AC108" s="107"/>
      <c r="AD108" s="107"/>
      <c r="AE108" s="107"/>
      <c r="AF108" s="107"/>
      <c r="AG108" s="107"/>
      <c r="AH108" s="107"/>
      <c r="AI108" s="107"/>
      <c r="AJ108" s="108"/>
      <c r="AK108" s="108"/>
      <c r="AL108" s="108"/>
      <c r="AM108" s="108"/>
      <c r="AN108" s="108"/>
      <c r="AO108" s="108"/>
      <c r="AP108" s="108"/>
      <c r="AQ108" s="108"/>
      <c r="AR108" s="108"/>
      <c r="AS108" s="108"/>
      <c r="AT108" s="108"/>
      <c r="AU108" s="108"/>
      <c r="AV108" s="108"/>
      <c r="AW108" s="108"/>
      <c r="AX108" s="108"/>
      <c r="AY108" s="108"/>
    </row>
    <row r="109" spans="11:51" ht="9.9499999999999993" hidden="1" customHeight="1">
      <c r="K109" s="174"/>
      <c r="L109" s="6"/>
      <c r="M109" s="6"/>
      <c r="N109" s="6"/>
      <c r="O109" s="6"/>
      <c r="P109" s="6"/>
      <c r="Q109" s="6"/>
      <c r="R109" s="6"/>
      <c r="S109" s="6"/>
      <c r="T109" s="6"/>
      <c r="U109" s="6"/>
      <c r="V109" s="6"/>
      <c r="W109" s="6"/>
      <c r="X109" s="6"/>
      <c r="Y109" s="6"/>
      <c r="Z109" s="6"/>
      <c r="AA109" s="107"/>
      <c r="AB109" s="107"/>
      <c r="AC109" s="107"/>
      <c r="AD109" s="107"/>
      <c r="AE109" s="107"/>
      <c r="AF109" s="107"/>
      <c r="AG109" s="107"/>
      <c r="AH109" s="107"/>
      <c r="AI109" s="107"/>
      <c r="AJ109" s="108"/>
      <c r="AK109" s="108"/>
      <c r="AL109" s="108"/>
      <c r="AM109" s="108"/>
      <c r="AN109" s="108"/>
      <c r="AO109" s="108"/>
      <c r="AP109" s="108"/>
      <c r="AQ109" s="108"/>
      <c r="AR109" s="108"/>
      <c r="AS109" s="108"/>
      <c r="AT109" s="108"/>
      <c r="AU109" s="108"/>
      <c r="AV109" s="108"/>
      <c r="AW109" s="108"/>
      <c r="AX109" s="108"/>
      <c r="AY109" s="108"/>
    </row>
    <row r="110" spans="11:51" ht="9.9499999999999993" hidden="1" customHeight="1">
      <c r="K110" s="174"/>
      <c r="L110" s="6"/>
      <c r="M110" s="6"/>
      <c r="N110" s="6"/>
      <c r="O110" s="6"/>
      <c r="P110" s="6"/>
      <c r="Q110" s="6"/>
      <c r="R110" s="6"/>
      <c r="S110" s="6"/>
      <c r="T110" s="6"/>
      <c r="U110" s="6"/>
      <c r="V110" s="6"/>
      <c r="W110" s="6"/>
      <c r="X110" s="6"/>
      <c r="Y110" s="6"/>
      <c r="Z110" s="6"/>
      <c r="AA110" s="107"/>
      <c r="AB110" s="107"/>
      <c r="AC110" s="107"/>
      <c r="AD110" s="107"/>
      <c r="AE110" s="107"/>
      <c r="AF110" s="107"/>
      <c r="AG110" s="107"/>
      <c r="AH110" s="107"/>
      <c r="AI110" s="107"/>
      <c r="AJ110" s="108"/>
      <c r="AK110" s="108"/>
      <c r="AL110" s="108"/>
      <c r="AM110" s="108"/>
      <c r="AN110" s="108"/>
      <c r="AO110" s="108"/>
      <c r="AP110" s="108"/>
      <c r="AQ110" s="108"/>
      <c r="AR110" s="108"/>
      <c r="AS110" s="108"/>
      <c r="AT110" s="108"/>
      <c r="AU110" s="108"/>
      <c r="AV110" s="108"/>
      <c r="AW110" s="108"/>
      <c r="AX110" s="108"/>
      <c r="AY110" s="108"/>
    </row>
    <row r="111" spans="11:51" ht="9.9499999999999993" hidden="1" customHeight="1">
      <c r="K111" s="174"/>
      <c r="L111" s="6"/>
      <c r="M111" s="6"/>
      <c r="N111" s="6"/>
      <c r="O111" s="6"/>
      <c r="P111" s="6"/>
      <c r="Q111" s="6"/>
      <c r="R111" s="6"/>
      <c r="S111" s="6"/>
      <c r="T111" s="6"/>
      <c r="U111" s="6"/>
      <c r="V111" s="6"/>
      <c r="W111" s="6"/>
      <c r="X111" s="6"/>
      <c r="Y111" s="6"/>
      <c r="Z111" s="6"/>
      <c r="AA111" s="107"/>
      <c r="AB111" s="107"/>
      <c r="AC111" s="107"/>
      <c r="AD111" s="107"/>
      <c r="AE111" s="107"/>
      <c r="AF111" s="107"/>
      <c r="AG111" s="107"/>
      <c r="AH111" s="107"/>
      <c r="AI111" s="107"/>
      <c r="AJ111" s="108"/>
      <c r="AK111" s="108"/>
      <c r="AL111" s="108"/>
      <c r="AM111" s="108"/>
      <c r="AN111" s="108"/>
      <c r="AO111" s="108"/>
      <c r="AP111" s="108"/>
      <c r="AQ111" s="108"/>
      <c r="AR111" s="108"/>
      <c r="AS111" s="108"/>
      <c r="AT111" s="108"/>
      <c r="AU111" s="108"/>
      <c r="AV111" s="108"/>
      <c r="AW111" s="108"/>
      <c r="AX111" s="108"/>
      <c r="AY111" s="108"/>
    </row>
    <row r="112" spans="11:51" ht="9.9499999999999993" hidden="1" customHeight="1">
      <c r="K112" s="174"/>
      <c r="L112" s="6"/>
      <c r="M112" s="6"/>
      <c r="N112" s="6"/>
      <c r="O112" s="6"/>
      <c r="P112" s="6"/>
      <c r="Q112" s="6"/>
      <c r="R112" s="6"/>
      <c r="S112" s="6"/>
      <c r="T112" s="6"/>
      <c r="U112" s="6"/>
      <c r="V112" s="6"/>
      <c r="W112" s="6"/>
      <c r="X112" s="6"/>
      <c r="Y112" s="6"/>
      <c r="Z112" s="6"/>
      <c r="AA112" s="107"/>
      <c r="AB112" s="107"/>
      <c r="AC112" s="107"/>
      <c r="AD112" s="107"/>
      <c r="AE112" s="107"/>
      <c r="AF112" s="107"/>
      <c r="AG112" s="107"/>
      <c r="AH112" s="107"/>
      <c r="AI112" s="107"/>
      <c r="AJ112" s="108"/>
      <c r="AK112" s="108"/>
      <c r="AL112" s="108"/>
      <c r="AM112" s="108"/>
      <c r="AN112" s="108"/>
      <c r="AO112" s="108"/>
      <c r="AP112" s="108"/>
      <c r="AQ112" s="108"/>
      <c r="AR112" s="108"/>
      <c r="AS112" s="108"/>
      <c r="AT112" s="108"/>
      <c r="AU112" s="108"/>
      <c r="AV112" s="108"/>
      <c r="AW112" s="108"/>
      <c r="AX112" s="108"/>
      <c r="AY112" s="108"/>
    </row>
    <row r="113" spans="12:51" ht="9.9499999999999993" hidden="1" customHeight="1">
      <c r="L113" s="6"/>
      <c r="M113" s="6"/>
      <c r="N113" s="6"/>
      <c r="O113" s="6"/>
      <c r="P113" s="6"/>
      <c r="Q113" s="6"/>
      <c r="R113" s="6"/>
      <c r="S113" s="6"/>
      <c r="T113" s="6"/>
      <c r="U113" s="6"/>
      <c r="V113" s="6"/>
      <c r="W113" s="6"/>
      <c r="X113" s="6"/>
      <c r="Y113" s="6"/>
      <c r="Z113" s="6"/>
      <c r="AA113" s="107"/>
      <c r="AB113" s="107"/>
      <c r="AC113" s="107"/>
      <c r="AD113" s="107"/>
      <c r="AE113" s="107"/>
      <c r="AF113" s="107"/>
      <c r="AG113" s="107"/>
      <c r="AH113" s="107"/>
      <c r="AI113" s="107"/>
      <c r="AJ113" s="108"/>
      <c r="AK113" s="108"/>
      <c r="AL113" s="108"/>
      <c r="AM113" s="108"/>
      <c r="AN113" s="108"/>
      <c r="AO113" s="108"/>
      <c r="AP113" s="108"/>
      <c r="AQ113" s="108"/>
      <c r="AR113" s="108"/>
      <c r="AS113" s="108"/>
      <c r="AT113" s="108"/>
      <c r="AU113" s="108"/>
      <c r="AV113" s="108"/>
      <c r="AW113" s="108"/>
      <c r="AX113" s="108"/>
      <c r="AY113" s="108"/>
    </row>
    <row r="114" spans="12:51" ht="9.9499999999999993" hidden="1" customHeight="1">
      <c r="L114" s="6"/>
      <c r="M114" s="6"/>
      <c r="N114" s="6"/>
      <c r="O114" s="6"/>
      <c r="P114" s="6"/>
      <c r="Q114" s="6"/>
      <c r="R114" s="6"/>
      <c r="S114" s="6"/>
      <c r="T114" s="6"/>
      <c r="U114" s="6"/>
      <c r="V114" s="6"/>
      <c r="W114" s="6"/>
      <c r="X114" s="6"/>
      <c r="Y114" s="6"/>
      <c r="Z114" s="6"/>
      <c r="AA114" s="107"/>
      <c r="AB114" s="107"/>
      <c r="AC114" s="107"/>
      <c r="AD114" s="107"/>
      <c r="AE114" s="107"/>
      <c r="AF114" s="107"/>
      <c r="AG114" s="107"/>
      <c r="AH114" s="107"/>
      <c r="AI114" s="107"/>
      <c r="AJ114" s="108"/>
      <c r="AK114" s="108"/>
      <c r="AL114" s="108"/>
      <c r="AM114" s="108"/>
      <c r="AN114" s="108"/>
      <c r="AO114" s="108"/>
      <c r="AP114" s="108"/>
      <c r="AQ114" s="108"/>
      <c r="AR114" s="108"/>
      <c r="AS114" s="108"/>
      <c r="AT114" s="108"/>
      <c r="AU114" s="108"/>
      <c r="AV114" s="108"/>
      <c r="AW114" s="108"/>
      <c r="AX114" s="108"/>
      <c r="AY114" s="108"/>
    </row>
    <row r="115" spans="12:51" ht="9.9499999999999993" hidden="1" customHeight="1">
      <c r="L115" s="6"/>
      <c r="M115" s="6"/>
      <c r="N115" s="6"/>
      <c r="O115" s="6"/>
      <c r="P115" s="6"/>
      <c r="Q115" s="6"/>
      <c r="R115" s="6"/>
      <c r="S115" s="6"/>
      <c r="T115" s="6"/>
      <c r="U115" s="6"/>
      <c r="V115" s="6"/>
      <c r="W115" s="6"/>
      <c r="X115" s="6"/>
      <c r="Y115" s="6"/>
      <c r="Z115" s="6"/>
      <c r="AA115" s="107"/>
      <c r="AB115" s="107"/>
      <c r="AC115" s="107"/>
      <c r="AD115" s="107"/>
      <c r="AE115" s="107"/>
      <c r="AF115" s="107"/>
      <c r="AG115" s="107"/>
      <c r="AH115" s="107"/>
      <c r="AI115" s="107"/>
      <c r="AJ115" s="108"/>
      <c r="AK115" s="108"/>
      <c r="AL115" s="108"/>
      <c r="AM115" s="108"/>
      <c r="AN115" s="108"/>
      <c r="AO115" s="108"/>
      <c r="AP115" s="108"/>
      <c r="AQ115" s="108"/>
      <c r="AR115" s="108"/>
      <c r="AS115" s="108"/>
      <c r="AT115" s="108"/>
      <c r="AU115" s="108"/>
      <c r="AV115" s="108"/>
      <c r="AW115" s="108"/>
      <c r="AX115" s="108"/>
      <c r="AY115" s="108"/>
    </row>
    <row r="116" spans="12:51" ht="9.9499999999999993" hidden="1" customHeight="1">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row>
    <row r="117" spans="12:51" ht="9.9499999999999993" hidden="1" customHeight="1">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row>
    <row r="118" spans="12:51" ht="9.9499999999999993" hidden="1" customHeight="1">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row>
    <row r="119" spans="12:51" ht="9.9499999999999993" hidden="1" customHeight="1">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row>
    <row r="120" spans="12:51" ht="9.9499999999999993" hidden="1" customHeight="1">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row>
    <row r="121" spans="12:51" ht="9.9499999999999993" hidden="1" customHeight="1">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row>
    <row r="122" spans="12:51" ht="9.9499999999999993" hidden="1" customHeight="1">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row>
    <row r="123" spans="12:51" ht="9.9499999999999993" hidden="1" customHeight="1">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row>
    <row r="124" spans="12:51" ht="9.9499999999999993" hidden="1" customHeight="1">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row>
    <row r="125" spans="12:51" ht="9.9499999999999993" hidden="1" customHeight="1">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row>
    <row r="126" spans="12:51" ht="9.9499999999999993" hidden="1" customHeight="1">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row>
    <row r="127" spans="12:51" ht="9.9499999999999993" hidden="1" customHeight="1">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row>
    <row r="128" spans="12:51" ht="9.9499999999999993" hidden="1" customHeight="1">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row>
    <row r="129" customFormat="1" ht="9.9499999999999993" hidden="1" customHeight="1"/>
    <row r="130" customFormat="1" ht="9.9499999999999993" hidden="1" customHeight="1"/>
    <row r="131" customFormat="1" ht="9.9499999999999993" hidden="1" customHeight="1"/>
    <row r="132" customFormat="1" ht="9.9499999999999993" hidden="1" customHeight="1"/>
    <row r="133" customFormat="1" ht="9.9499999999999993" hidden="1" customHeight="1"/>
    <row r="134" customFormat="1" ht="9.9499999999999993" hidden="1" customHeight="1"/>
    <row r="135" customFormat="1" ht="9.9499999999999993" hidden="1" customHeight="1"/>
    <row r="136" customFormat="1" ht="9.9499999999999993" hidden="1" customHeight="1"/>
    <row r="137" customFormat="1" ht="9.9499999999999993" hidden="1" customHeight="1"/>
    <row r="138" customFormat="1" ht="9.9499999999999993" hidden="1" customHeight="1"/>
    <row r="139" customFormat="1" ht="9.9499999999999993" hidden="1" customHeight="1"/>
    <row r="140" customFormat="1" ht="9.9499999999999993" hidden="1" customHeight="1"/>
    <row r="141" customFormat="1" ht="9.9499999999999993" hidden="1" customHeight="1"/>
    <row r="142" customFormat="1" ht="9.9499999999999993" hidden="1" customHeight="1"/>
    <row r="143" customFormat="1" ht="9.9499999999999993" hidden="1" customHeight="1"/>
    <row r="144" customFormat="1" ht="9.9499999999999993" hidden="1" customHeight="1"/>
    <row r="145" customFormat="1" ht="9.9499999999999993" hidden="1" customHeight="1"/>
    <row r="146" customFormat="1" ht="9.9499999999999993" hidden="1" customHeight="1"/>
    <row r="147" customFormat="1" ht="9.9499999999999993" hidden="1" customHeight="1"/>
    <row r="148" customFormat="1" ht="9.9499999999999993" hidden="1" customHeight="1"/>
    <row r="149" customFormat="1" ht="9.9499999999999993" hidden="1" customHeight="1"/>
    <row r="150" customFormat="1" ht="3.6"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sheetData>
  <sheetProtection sheet="1" objects="1" scenarios="1" selectLockedCells="1" selectUnlockedCells="1"/>
  <mergeCells count="2">
    <mergeCell ref="B1:BI2"/>
    <mergeCell ref="B3:BI4"/>
  </mergeCells>
  <pageMargins left="0.25" right="0.25" top="0.5" bottom="0.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39997558519241921"/>
  </sheetPr>
  <dimension ref="A1:HL157"/>
  <sheetViews>
    <sheetView showGridLines="0" showRowColHeaders="0" topLeftCell="A2" zoomScaleNormal="100" zoomScalePageLayoutView="85" workbookViewId="0">
      <selection activeCell="CR64" sqref="CR64:CT64"/>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5703125" customWidth="1"/>
    <col min="125" max="220" width="1.7109375" hidden="1" customWidth="1"/>
    <col min="221" max="16384" width="9.140625" hidden="1"/>
  </cols>
  <sheetData>
    <row r="1" spans="1:123" ht="9.9499999999999993" customHeight="1">
      <c r="A1" s="140"/>
      <c r="B1" s="571" t="s">
        <v>126</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01"/>
      <c r="BL1" s="571" t="s">
        <v>126</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1:123" ht="9.9499999999999993" customHeight="1">
      <c r="A2" s="174"/>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01"/>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1:123" ht="9.9499999999999993" customHeight="1">
      <c r="A3" s="174"/>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2"/>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1:123" ht="9.9499999999999993" customHeight="1">
      <c r="A4" s="174"/>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2"/>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1:123" ht="9.9499999999999993" customHeight="1" thickBot="1">
      <c r="A5" s="174"/>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1:123" ht="9.9499999999999993" customHeight="1" thickBot="1">
      <c r="A6" s="174"/>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1:123" ht="9.9499999999999993" customHeight="1" thickBot="1">
      <c r="A7" s="174"/>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051"/>
      <c r="CI7" s="1052"/>
      <c r="CJ7" s="1052"/>
      <c r="CK7" s="1052"/>
      <c r="CL7" s="1052"/>
      <c r="CM7" s="1052"/>
      <c r="CN7" s="1052"/>
      <c r="CO7" s="1052"/>
      <c r="CP7" s="1052"/>
      <c r="CQ7" s="1052"/>
      <c r="CR7" s="1052"/>
      <c r="CS7" s="1057"/>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1:123" ht="9.9499999999999993" customHeight="1">
      <c r="A8" s="174"/>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053"/>
      <c r="CI8" s="1054"/>
      <c r="CJ8" s="1054"/>
      <c r="CK8" s="1054"/>
      <c r="CL8" s="1054"/>
      <c r="CM8" s="1054"/>
      <c r="CN8" s="1054"/>
      <c r="CO8" s="1054"/>
      <c r="CP8" s="1054"/>
      <c r="CQ8" s="1054"/>
      <c r="CR8" s="1054"/>
      <c r="CS8" s="1058"/>
      <c r="CT8" s="174"/>
      <c r="CU8" s="174"/>
      <c r="CV8" s="174"/>
      <c r="CW8" s="174"/>
      <c r="CX8" s="5"/>
      <c r="CY8" s="5"/>
      <c r="CZ8" s="5"/>
      <c r="DA8" s="5"/>
      <c r="DB8" s="5"/>
      <c r="DC8" s="5"/>
      <c r="DD8" s="5"/>
      <c r="DE8" s="37"/>
      <c r="DF8" s="37"/>
      <c r="DG8" s="37"/>
      <c r="DH8" s="37"/>
      <c r="DI8" s="37"/>
      <c r="DJ8" s="37"/>
      <c r="DK8" s="37"/>
      <c r="DL8" s="37"/>
      <c r="DM8" s="37"/>
      <c r="DN8" s="37"/>
      <c r="DO8" s="37"/>
      <c r="DP8" s="37"/>
      <c r="DQ8" s="174"/>
      <c r="DR8" s="174"/>
      <c r="DS8" s="177"/>
    </row>
    <row r="9" spans="1:123" ht="9.9499999999999993" customHeight="1" thickBot="1">
      <c r="A9" s="174"/>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053"/>
      <c r="CI9" s="1054"/>
      <c r="CJ9" s="1054"/>
      <c r="CK9" s="1054"/>
      <c r="CL9" s="1054"/>
      <c r="CM9" s="1054"/>
      <c r="CN9" s="1054"/>
      <c r="CO9" s="1054"/>
      <c r="CP9" s="1054"/>
      <c r="CQ9" s="1054"/>
      <c r="CR9" s="1054"/>
      <c r="CS9" s="1058"/>
      <c r="CT9" s="174"/>
      <c r="CU9" s="174"/>
      <c r="CV9" s="174"/>
      <c r="CW9" s="174"/>
      <c r="CX9" s="5"/>
      <c r="CY9" s="5"/>
      <c r="CZ9" s="5"/>
      <c r="DA9" s="5"/>
      <c r="DB9" s="5"/>
      <c r="DC9" s="5"/>
      <c r="DD9" s="5"/>
      <c r="DE9" s="37"/>
      <c r="DF9" s="37"/>
      <c r="DG9" s="37"/>
      <c r="DH9" s="37"/>
      <c r="DI9" s="37"/>
      <c r="DJ9" s="37"/>
      <c r="DK9" s="37"/>
      <c r="DL9" s="37"/>
      <c r="DM9" s="37"/>
      <c r="DN9" s="37"/>
      <c r="DO9" s="37"/>
      <c r="DP9" s="37"/>
      <c r="DQ9" s="174"/>
      <c r="DR9" s="174"/>
      <c r="DS9" s="177"/>
    </row>
    <row r="10" spans="1:123" ht="9.9499999999999993" customHeight="1">
      <c r="A10" s="174"/>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474"/>
      <c r="AM10" s="1474"/>
      <c r="AN10" s="1474"/>
      <c r="AO10" s="1474"/>
      <c r="AP10" s="1474"/>
      <c r="AQ10" s="1474"/>
      <c r="AR10" s="1475"/>
      <c r="AS10" s="1459" t="s">
        <v>127</v>
      </c>
      <c r="AT10" s="1460"/>
      <c r="AU10" s="1460"/>
      <c r="AV10" s="1461"/>
      <c r="AW10" s="1471">
        <f>J23</f>
        <v>5.1173451592007559</v>
      </c>
      <c r="AX10" s="1472"/>
      <c r="AY10" s="1472"/>
      <c r="AZ10" s="1473"/>
      <c r="BA10" s="1459" t="s">
        <v>128</v>
      </c>
      <c r="BB10" s="1460"/>
      <c r="BC10" s="1460"/>
      <c r="BD10" s="1461"/>
      <c r="BE10" s="1471">
        <f>AU25</f>
        <v>-0.99755955648485695</v>
      </c>
      <c r="BF10" s="1472"/>
      <c r="BG10" s="1472"/>
      <c r="BH10" s="1473"/>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053"/>
      <c r="CI10" s="1054"/>
      <c r="CJ10" s="1054"/>
      <c r="CK10" s="1054"/>
      <c r="CL10" s="1054"/>
      <c r="CM10" s="1054"/>
      <c r="CN10" s="1054"/>
      <c r="CO10" s="1054"/>
      <c r="CP10" s="1054"/>
      <c r="CQ10" s="1054"/>
      <c r="CR10" s="1054"/>
      <c r="CS10" s="1058"/>
      <c r="CT10" s="174"/>
      <c r="CU10" s="174"/>
      <c r="CV10" s="174"/>
      <c r="CW10" s="174"/>
      <c r="CX10" s="157"/>
      <c r="CY10" s="157"/>
      <c r="CZ10" s="157"/>
      <c r="DA10" s="157"/>
      <c r="DB10" s="157"/>
      <c r="DC10" s="158"/>
      <c r="DD10" s="159"/>
      <c r="DE10" s="160"/>
      <c r="DF10" s="160"/>
      <c r="DG10" s="160"/>
      <c r="DH10" s="160"/>
      <c r="DI10" s="160"/>
      <c r="DJ10" s="158"/>
      <c r="DK10" s="159"/>
      <c r="DL10" s="160"/>
      <c r="DM10" s="160"/>
      <c r="DN10" s="160"/>
      <c r="DO10" s="160"/>
      <c r="DP10" s="160"/>
      <c r="DQ10" s="174"/>
      <c r="DR10" s="174"/>
      <c r="DS10" s="177"/>
    </row>
    <row r="11" spans="1:123" ht="9.9499999999999993" customHeight="1" thickBot="1">
      <c r="A11" s="174"/>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366" t="s">
        <v>99</v>
      </c>
      <c r="CI11" s="1367"/>
      <c r="CJ11" s="1367"/>
      <c r="CK11" s="1367" t="s">
        <v>99</v>
      </c>
      <c r="CL11" s="1367"/>
      <c r="CM11" s="1367"/>
      <c r="CN11" s="1367" t="s">
        <v>99</v>
      </c>
      <c r="CO11" s="1367"/>
      <c r="CP11" s="1367"/>
      <c r="CQ11" s="1367" t="s">
        <v>99</v>
      </c>
      <c r="CR11" s="1367"/>
      <c r="CS11" s="1368"/>
      <c r="CT11" s="174"/>
      <c r="CU11" s="174"/>
      <c r="CV11" s="174"/>
      <c r="CW11" s="174"/>
      <c r="CX11" s="157"/>
      <c r="CY11" s="157"/>
      <c r="CZ11" s="157"/>
      <c r="DA11" s="157"/>
      <c r="DB11" s="157"/>
      <c r="DC11" s="159"/>
      <c r="DD11" s="159"/>
      <c r="DE11" s="160"/>
      <c r="DF11" s="160"/>
      <c r="DG11" s="160"/>
      <c r="DH11" s="160"/>
      <c r="DI11" s="160"/>
      <c r="DJ11" s="159"/>
      <c r="DK11" s="159"/>
      <c r="DL11" s="160"/>
      <c r="DM11" s="160"/>
      <c r="DN11" s="160"/>
      <c r="DO11" s="160"/>
      <c r="DP11" s="160"/>
      <c r="DQ11" s="174"/>
      <c r="DR11" s="174"/>
      <c r="DS11" s="177"/>
    </row>
    <row r="12" spans="1:123" ht="9.9499999999999993" customHeight="1" thickBot="1">
      <c r="A12" s="174"/>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476"/>
      <c r="AL12" s="1477"/>
      <c r="AM12" s="1477"/>
      <c r="AN12" s="1477"/>
      <c r="AO12" s="1477"/>
      <c r="AP12" s="1477"/>
      <c r="AQ12" s="1477"/>
      <c r="AR12" s="1478"/>
      <c r="AS12" s="1459" t="s">
        <v>129</v>
      </c>
      <c r="AT12" s="1460"/>
      <c r="AU12" s="1460"/>
      <c r="AV12" s="1461"/>
      <c r="AW12" s="1465">
        <f>J65</f>
        <v>-0.65807250951355512</v>
      </c>
      <c r="AX12" s="1466"/>
      <c r="AY12" s="1466"/>
      <c r="AZ12" s="1467"/>
      <c r="BA12" s="1459" t="s">
        <v>130</v>
      </c>
      <c r="BB12" s="1460"/>
      <c r="BC12" s="1460"/>
      <c r="BD12" s="1461"/>
      <c r="BE12" s="1471">
        <f>AT65</f>
        <v>-4.4171966033281311</v>
      </c>
      <c r="BF12" s="1472"/>
      <c r="BG12" s="1472"/>
      <c r="BH12" s="1473"/>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444">
        <f>ROUND('Input Worksheet'!AI32*('Input Worksheet'!AY32+1),0)</f>
        <v>0</v>
      </c>
      <c r="CI12" s="1445"/>
      <c r="CJ12" s="1445"/>
      <c r="CK12" s="1445">
        <f>ROUND('Input Worksheet'!AA32*('Input Worksheet'!AY32+1),0)</f>
        <v>1447</v>
      </c>
      <c r="CL12" s="1445"/>
      <c r="CM12" s="1445"/>
      <c r="CN12" s="1445">
        <f>ROUND('Input Worksheet'!S32*('Input Worksheet'!AY32+1),0)</f>
        <v>607</v>
      </c>
      <c r="CO12" s="1445"/>
      <c r="CP12" s="1445"/>
      <c r="CQ12" s="1445">
        <f>ROUND('Input Worksheet'!K32*('Input Worksheet'!AY32+1),0)</f>
        <v>0</v>
      </c>
      <c r="CR12" s="1445"/>
      <c r="CS12" s="1446"/>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1:123" ht="9.9499999999999993" customHeight="1" thickBot="1">
      <c r="A13" s="174"/>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476"/>
      <c r="AL13" s="1477"/>
      <c r="AM13" s="1477"/>
      <c r="AN13" s="1477"/>
      <c r="AO13" s="1477"/>
      <c r="AP13" s="1477"/>
      <c r="AQ13" s="1477"/>
      <c r="AR13" s="1478"/>
      <c r="AS13" s="1462"/>
      <c r="AT13" s="1463"/>
      <c r="AU13" s="1463"/>
      <c r="AV13" s="1464"/>
      <c r="AW13" s="1468"/>
      <c r="AX13" s="1469"/>
      <c r="AY13" s="1469"/>
      <c r="AZ13" s="1470"/>
      <c r="BA13" s="1462"/>
      <c r="BB13" s="1463"/>
      <c r="BC13" s="1463"/>
      <c r="BD13" s="1464"/>
      <c r="BE13" s="1468"/>
      <c r="BF13" s="1469"/>
      <c r="BG13" s="1469"/>
      <c r="BH13" s="1470"/>
      <c r="BI13" s="177"/>
      <c r="BJ13" s="174"/>
      <c r="BK13" s="174"/>
      <c r="BL13" s="17"/>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35"/>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1:123" ht="9.9499999999999993" customHeight="1" thickBot="1">
      <c r="A14" s="174"/>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174"/>
      <c r="BN14" s="174"/>
      <c r="BO14" s="174"/>
      <c r="BP14" s="174"/>
      <c r="BQ14" s="174"/>
      <c r="BR14" s="174"/>
      <c r="BS14" s="174"/>
      <c r="BT14" s="174"/>
      <c r="BU14" s="174"/>
      <c r="BV14" s="174"/>
      <c r="BW14" s="174"/>
      <c r="BX14" s="174"/>
      <c r="BY14" s="174"/>
      <c r="BZ14" s="174"/>
      <c r="CA14" s="174"/>
      <c r="CB14" s="174"/>
      <c r="CC14" s="174"/>
      <c r="CD14" s="174"/>
      <c r="CE14" s="1301" t="s">
        <v>131</v>
      </c>
      <c r="CF14" s="1302"/>
      <c r="CG14" s="1302"/>
      <c r="CH14" s="1335">
        <f>CH12-CH15</f>
        <v>-4</v>
      </c>
      <c r="CI14" s="1335"/>
      <c r="CJ14" s="1335"/>
      <c r="CK14" s="1335">
        <f t="shared" ref="CK14" si="0">CK12-CK15</f>
        <v>1447</v>
      </c>
      <c r="CL14" s="1335"/>
      <c r="CM14" s="1335"/>
      <c r="CN14" s="1335">
        <f t="shared" ref="CN14" si="1">CN12-CN15</f>
        <v>603</v>
      </c>
      <c r="CO14" s="1335"/>
      <c r="CP14" s="1335"/>
      <c r="CQ14" s="1335">
        <f t="shared" ref="CQ14" si="2">CQ12-CQ15</f>
        <v>0</v>
      </c>
      <c r="CR14" s="1335"/>
      <c r="CS14" s="1336"/>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1:123" ht="9.9499999999999993" customHeight="1" thickBot="1">
      <c r="A15" s="174"/>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7"/>
      <c r="BM15" s="174"/>
      <c r="BN15" s="174"/>
      <c r="BO15" s="174"/>
      <c r="BP15" s="174"/>
      <c r="BQ15" s="174"/>
      <c r="BR15" s="174"/>
      <c r="BS15" s="174"/>
      <c r="BT15" s="174"/>
      <c r="BU15" s="174"/>
      <c r="BV15" s="174"/>
      <c r="BW15" s="174"/>
      <c r="BX15" s="174"/>
      <c r="BY15" s="174"/>
      <c r="BZ15" s="174"/>
      <c r="CA15" s="174"/>
      <c r="CB15" s="174"/>
      <c r="CC15" s="174"/>
      <c r="CD15" s="174"/>
      <c r="CE15" s="1303" t="s">
        <v>18</v>
      </c>
      <c r="CF15" s="1304"/>
      <c r="CG15" s="1304"/>
      <c r="CH15" s="1320">
        <v>4</v>
      </c>
      <c r="CI15" s="1320"/>
      <c r="CJ15" s="1320"/>
      <c r="CK15" s="1320">
        <v>0</v>
      </c>
      <c r="CL15" s="1320"/>
      <c r="CM15" s="1320"/>
      <c r="CN15" s="1320">
        <v>4</v>
      </c>
      <c r="CO15" s="1320"/>
      <c r="CP15" s="1320"/>
      <c r="CQ15" s="1320">
        <v>0</v>
      </c>
      <c r="CR15" s="1320"/>
      <c r="CS15" s="1321"/>
      <c r="CT15" s="1311">
        <f>SUM(CH15:CS15)/SUM(CH14:CS15)</f>
        <v>3.8948393378773127E-3</v>
      </c>
      <c r="CU15" s="1312"/>
      <c r="CV15" s="1313"/>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1:123" ht="9.9499999999999993" customHeight="1">
      <c r="A16" s="174"/>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J16" s="174"/>
      <c r="BK16" s="174"/>
      <c r="BL16" s="17"/>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66"/>
      <c r="CI16" s="4"/>
      <c r="CJ16" s="4"/>
      <c r="CK16" s="4"/>
      <c r="CL16" s="4"/>
      <c r="CM16" s="4"/>
      <c r="CN16" s="4"/>
      <c r="CO16" s="4"/>
      <c r="CP16" s="4"/>
      <c r="CQ16" s="4"/>
      <c r="CR16" s="4"/>
      <c r="CS16" s="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thickBo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J17" s="174"/>
      <c r="BK17" s="174"/>
      <c r="BL17" s="17"/>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53"/>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378" t="s">
        <v>132</v>
      </c>
      <c r="K18" s="1379"/>
      <c r="L18" s="1379"/>
      <c r="M18" s="1379"/>
      <c r="N18" s="1379"/>
      <c r="O18" s="1379"/>
      <c r="P18" s="1379"/>
      <c r="Q18" s="1380"/>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J18" s="174"/>
      <c r="BK18" s="174"/>
      <c r="BL18" s="17"/>
      <c r="BM18" s="36"/>
      <c r="BN18" s="174"/>
      <c r="BO18" s="174"/>
      <c r="BP18" s="174"/>
      <c r="BQ18" s="174"/>
      <c r="BR18" s="174"/>
      <c r="BS18" s="174"/>
      <c r="BT18" s="174"/>
      <c r="BU18" s="174"/>
      <c r="BV18" s="174"/>
      <c r="BW18" s="174"/>
      <c r="BX18" s="174"/>
      <c r="BY18" s="174"/>
      <c r="BZ18" s="174"/>
      <c r="CA18" s="174"/>
      <c r="CB18" s="174"/>
      <c r="CC18" s="35"/>
      <c r="CD18" s="174"/>
      <c r="CE18" s="174"/>
      <c r="CF18" s="174"/>
      <c r="CG18" s="174"/>
      <c r="CH18" s="12"/>
      <c r="CI18" s="174"/>
      <c r="CJ18" s="174"/>
      <c r="CK18" s="174"/>
      <c r="CL18" s="1378" t="s">
        <v>132</v>
      </c>
      <c r="CM18" s="1379"/>
      <c r="CN18" s="1379"/>
      <c r="CO18" s="1379"/>
      <c r="CP18" s="1379"/>
      <c r="CQ18" s="1379"/>
      <c r="CR18" s="1379"/>
      <c r="CS18" s="1380"/>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381"/>
      <c r="K19" s="1382"/>
      <c r="L19" s="1382"/>
      <c r="M19" s="1382"/>
      <c r="N19" s="1382"/>
      <c r="O19" s="1382"/>
      <c r="P19" s="1382"/>
      <c r="Q19" s="1383"/>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J19" s="174"/>
      <c r="BK19" s="174"/>
      <c r="BL19" s="17"/>
      <c r="BM19" s="9"/>
      <c r="BN19" s="5"/>
      <c r="BO19" s="5"/>
      <c r="BP19" s="5"/>
      <c r="BQ19" s="5"/>
      <c r="BR19" s="5"/>
      <c r="BS19" s="5"/>
      <c r="BT19" s="5"/>
      <c r="BU19" s="5"/>
      <c r="BV19" s="37"/>
      <c r="BW19" s="37"/>
      <c r="BX19" s="37"/>
      <c r="BY19" s="37"/>
      <c r="BZ19" s="37"/>
      <c r="CA19" s="37"/>
      <c r="CB19" s="37"/>
      <c r="CC19" s="35"/>
      <c r="CD19" s="174"/>
      <c r="CE19" s="174"/>
      <c r="CF19" s="174"/>
      <c r="CG19" s="174"/>
      <c r="CH19" s="1051"/>
      <c r="CI19" s="1052"/>
      <c r="CJ19" s="1057"/>
      <c r="CK19" s="174"/>
      <c r="CL19" s="1381"/>
      <c r="CM19" s="1382"/>
      <c r="CN19" s="1382"/>
      <c r="CO19" s="1382"/>
      <c r="CP19" s="1382"/>
      <c r="CQ19" s="1382"/>
      <c r="CR19" s="1382"/>
      <c r="CS19" s="1383"/>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384"/>
      <c r="K20" s="1385"/>
      <c r="L20" s="1385"/>
      <c r="M20" s="1385"/>
      <c r="N20" s="1385"/>
      <c r="O20" s="1385"/>
      <c r="P20" s="1385"/>
      <c r="Q20" s="138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74"/>
      <c r="AU20" s="1378" t="s">
        <v>132</v>
      </c>
      <c r="AV20" s="1379"/>
      <c r="AW20" s="1379"/>
      <c r="AX20" s="1379"/>
      <c r="AY20" s="1379"/>
      <c r="AZ20" s="1379"/>
      <c r="BA20" s="1379"/>
      <c r="BB20" s="1380"/>
      <c r="BC20" s="174"/>
      <c r="BD20" s="174"/>
      <c r="BE20" s="174"/>
      <c r="BF20" s="174"/>
      <c r="BG20" s="174"/>
      <c r="BH20" s="174"/>
      <c r="BI20" s="177"/>
      <c r="BJ20" s="174"/>
      <c r="BK20" s="174"/>
      <c r="BL20" s="17"/>
      <c r="BM20" s="6"/>
      <c r="BN20" s="5"/>
      <c r="BO20" s="5"/>
      <c r="BP20" s="5"/>
      <c r="BQ20" s="5"/>
      <c r="BR20" s="5"/>
      <c r="BS20" s="5"/>
      <c r="BT20" s="5"/>
      <c r="BU20" s="5"/>
      <c r="BV20" s="37"/>
      <c r="BW20" s="37"/>
      <c r="BX20" s="37"/>
      <c r="BY20" s="37"/>
      <c r="BZ20" s="37"/>
      <c r="CA20" s="37"/>
      <c r="CB20" s="37"/>
      <c r="CC20" s="174"/>
      <c r="CD20" s="174"/>
      <c r="CE20" s="174"/>
      <c r="CF20" s="174"/>
      <c r="CG20" s="174"/>
      <c r="CH20" s="1053"/>
      <c r="CI20" s="1054"/>
      <c r="CJ20" s="1058"/>
      <c r="CK20" s="174"/>
      <c r="CL20" s="1384"/>
      <c r="CM20" s="1385"/>
      <c r="CN20" s="1385"/>
      <c r="CO20" s="1385"/>
      <c r="CP20" s="1385"/>
      <c r="CQ20" s="1385"/>
      <c r="CR20" s="1385"/>
      <c r="CS20" s="1386"/>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455">
        <f>CL21</f>
        <v>401.38000000000011</v>
      </c>
      <c r="K21" s="1456"/>
      <c r="L21" s="1456"/>
      <c r="M21" s="1456"/>
      <c r="N21" s="1457" t="s">
        <v>133</v>
      </c>
      <c r="O21" s="1457"/>
      <c r="P21" s="1457"/>
      <c r="Q21" s="1458"/>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74"/>
      <c r="AU21" s="1381"/>
      <c r="AV21" s="1382"/>
      <c r="AW21" s="1382"/>
      <c r="AX21" s="1382"/>
      <c r="AY21" s="1382"/>
      <c r="AZ21" s="1382"/>
      <c r="BA21" s="1382"/>
      <c r="BB21" s="1383"/>
      <c r="BC21" s="174"/>
      <c r="BD21" s="174"/>
      <c r="BE21" s="174"/>
      <c r="BF21" s="174"/>
      <c r="BG21" s="174"/>
      <c r="BH21" s="174"/>
      <c r="BI21" s="177"/>
      <c r="BJ21" s="174"/>
      <c r="BK21" s="174"/>
      <c r="BL21" s="17"/>
      <c r="BM21" s="6"/>
      <c r="BN21" s="6"/>
      <c r="BO21" s="6"/>
      <c r="BP21" s="6"/>
      <c r="BQ21" s="6"/>
      <c r="BR21" s="6"/>
      <c r="BS21" s="6"/>
      <c r="BT21" s="6"/>
      <c r="BU21" s="6"/>
      <c r="BV21" s="6"/>
      <c r="BW21" s="6"/>
      <c r="BX21" s="6"/>
      <c r="BY21" s="6"/>
      <c r="BZ21" s="6"/>
      <c r="CA21" s="6"/>
      <c r="CB21" s="6"/>
      <c r="CC21" s="174"/>
      <c r="CD21" s="174"/>
      <c r="CE21" s="174"/>
      <c r="CF21" s="174"/>
      <c r="CG21" s="174"/>
      <c r="CH21" s="1053"/>
      <c r="CI21" s="1054"/>
      <c r="CJ21" s="1058"/>
      <c r="CK21" s="174"/>
      <c r="CL21" s="1349">
        <f>1009-1.025*CL25</f>
        <v>401.38000000000011</v>
      </c>
      <c r="CM21" s="1350"/>
      <c r="CN21" s="1350"/>
      <c r="CO21" s="1350"/>
      <c r="CP21" s="870" t="s">
        <v>133</v>
      </c>
      <c r="CQ21" s="870"/>
      <c r="CR21" s="870"/>
      <c r="CS21" s="871"/>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455"/>
      <c r="K22" s="1456"/>
      <c r="L22" s="1456"/>
      <c r="M22" s="1456"/>
      <c r="N22" s="1457"/>
      <c r="O22" s="1457"/>
      <c r="P22" s="1457"/>
      <c r="Q22" s="1458"/>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74"/>
      <c r="AU22" s="1384"/>
      <c r="AV22" s="1385"/>
      <c r="AW22" s="1385"/>
      <c r="AX22" s="1385"/>
      <c r="AY22" s="1385"/>
      <c r="AZ22" s="1385"/>
      <c r="BA22" s="1385"/>
      <c r="BB22" s="1386"/>
      <c r="BC22" s="174"/>
      <c r="BD22" s="174"/>
      <c r="BE22" s="174"/>
      <c r="BF22" s="174"/>
      <c r="BG22" s="174"/>
      <c r="BH22" s="174"/>
      <c r="BI22" s="177"/>
      <c r="BJ22" s="174"/>
      <c r="BK22" s="174"/>
      <c r="BL22" s="17"/>
      <c r="BM22" s="6"/>
      <c r="BN22" s="6"/>
      <c r="BO22" s="6"/>
      <c r="BP22" s="6"/>
      <c r="BQ22" s="6"/>
      <c r="BR22" s="6"/>
      <c r="BS22" s="6"/>
      <c r="BT22" s="6"/>
      <c r="BU22" s="6"/>
      <c r="BV22" s="6"/>
      <c r="BW22" s="6"/>
      <c r="BX22" s="6"/>
      <c r="BY22" s="6"/>
      <c r="BZ22" s="6"/>
      <c r="CA22" s="6"/>
      <c r="CB22" s="6"/>
      <c r="CC22" s="174"/>
      <c r="CD22" s="174"/>
      <c r="CE22" s="174"/>
      <c r="CF22" s="174"/>
      <c r="CG22" s="174"/>
      <c r="CH22" s="1053"/>
      <c r="CI22" s="1054"/>
      <c r="CJ22" s="1058"/>
      <c r="CK22" s="174"/>
      <c r="CL22" s="1349"/>
      <c r="CM22" s="1350"/>
      <c r="CN22" s="1350"/>
      <c r="CO22" s="1350"/>
      <c r="CP22" s="870"/>
      <c r="CQ22" s="870"/>
      <c r="CR22" s="870"/>
      <c r="CS22" s="871"/>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447">
        <f>CH31</f>
        <v>5.1173451592007559</v>
      </c>
      <c r="K23" s="1448"/>
      <c r="L23" s="1448"/>
      <c r="M23" s="1448"/>
      <c r="N23" s="1451" t="s">
        <v>55</v>
      </c>
      <c r="O23" s="1451"/>
      <c r="P23" s="1451"/>
      <c r="Q23" s="1452"/>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74"/>
      <c r="AU23" s="1455">
        <f>DA38</f>
        <v>-1215.9674999999997</v>
      </c>
      <c r="AV23" s="1456"/>
      <c r="AW23" s="1456"/>
      <c r="AX23" s="1456"/>
      <c r="AY23" s="1457" t="s">
        <v>133</v>
      </c>
      <c r="AZ23" s="1457"/>
      <c r="BA23" s="1457"/>
      <c r="BB23" s="1458"/>
      <c r="BC23" s="174"/>
      <c r="BD23" s="174"/>
      <c r="BE23" s="174"/>
      <c r="BF23" s="174"/>
      <c r="BG23" s="14"/>
      <c r="BH23" s="174"/>
      <c r="BI23" s="177"/>
      <c r="BJ23" s="174"/>
      <c r="BK23" s="174"/>
      <c r="BL23" s="17"/>
      <c r="BM23" s="6"/>
      <c r="BN23" s="9"/>
      <c r="BO23" s="9"/>
      <c r="BP23" s="107"/>
      <c r="BQ23" s="107"/>
      <c r="BR23" s="107"/>
      <c r="BS23" s="107"/>
      <c r="BT23" s="107"/>
      <c r="BU23" s="107"/>
      <c r="BV23" s="107"/>
      <c r="BW23" s="107"/>
      <c r="BX23" s="121"/>
      <c r="BY23" s="121"/>
      <c r="BZ23" s="121"/>
      <c r="CA23" s="121"/>
      <c r="CB23" s="121"/>
      <c r="CC23" s="174"/>
      <c r="CD23" s="174"/>
      <c r="CE23" s="174"/>
      <c r="CF23" s="174"/>
      <c r="CG23" s="174"/>
      <c r="CH23" s="1375" t="s">
        <v>99</v>
      </c>
      <c r="CI23" s="1376"/>
      <c r="CJ23" s="1377"/>
      <c r="CK23" s="174"/>
      <c r="CL23" s="1343" t="s">
        <v>134</v>
      </c>
      <c r="CM23" s="1344"/>
      <c r="CN23" s="1344"/>
      <c r="CO23" s="1344"/>
      <c r="CP23" s="1344"/>
      <c r="CQ23" s="1344"/>
      <c r="CR23" s="1344"/>
      <c r="CS23" s="1345"/>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449"/>
      <c r="K24" s="1450"/>
      <c r="L24" s="1450"/>
      <c r="M24" s="1450"/>
      <c r="N24" s="1453"/>
      <c r="O24" s="1453"/>
      <c r="P24" s="1453"/>
      <c r="Q24" s="1454"/>
      <c r="R24" s="55">
        <f>+IF(J23&gt;1,1,0)</f>
        <v>1</v>
      </c>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174"/>
      <c r="AU24" s="1455"/>
      <c r="AV24" s="1456"/>
      <c r="AW24" s="1456"/>
      <c r="AX24" s="1456"/>
      <c r="AY24" s="1457"/>
      <c r="AZ24" s="1457"/>
      <c r="BA24" s="1457"/>
      <c r="BB24" s="1458"/>
      <c r="BC24" s="174"/>
      <c r="BD24" s="174"/>
      <c r="BE24" s="174"/>
      <c r="BF24" s="174"/>
      <c r="BG24" s="14"/>
      <c r="BH24" s="174"/>
      <c r="BI24" s="177"/>
      <c r="BJ24" s="174"/>
      <c r="BK24" s="174"/>
      <c r="BL24" s="1"/>
      <c r="BM24" s="174"/>
      <c r="BN24" s="9"/>
      <c r="BO24" s="9"/>
      <c r="BP24" s="107"/>
      <c r="BQ24" s="107"/>
      <c r="BR24" s="107"/>
      <c r="BS24" s="107"/>
      <c r="BT24" s="107"/>
      <c r="BU24" s="107"/>
      <c r="BV24" s="107"/>
      <c r="BW24" s="107"/>
      <c r="BX24" s="121"/>
      <c r="BY24" s="121"/>
      <c r="BZ24" s="121"/>
      <c r="CA24" s="121"/>
      <c r="CB24" s="121"/>
      <c r="CC24" s="174"/>
      <c r="CD24" s="174"/>
      <c r="CE24" s="174"/>
      <c r="CF24" s="174"/>
      <c r="CG24" s="174"/>
      <c r="CH24" s="1441">
        <f>SUM(CH12:CS12)</f>
        <v>2054</v>
      </c>
      <c r="CI24" s="1442"/>
      <c r="CJ24" s="1443"/>
      <c r="CK24" s="174"/>
      <c r="CL24" s="1346"/>
      <c r="CM24" s="1347"/>
      <c r="CN24" s="1347"/>
      <c r="CO24" s="1347"/>
      <c r="CP24" s="1347"/>
      <c r="CQ24" s="1347"/>
      <c r="CR24" s="1347"/>
      <c r="CS24" s="1348"/>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6"/>
      <c r="K25" s="6"/>
      <c r="L25" s="6"/>
      <c r="M25" s="6"/>
      <c r="N25" s="6"/>
      <c r="O25" s="6"/>
      <c r="P25" s="6"/>
      <c r="Q25" s="6"/>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74"/>
      <c r="AU25" s="1447">
        <f>CV31</f>
        <v>-0.99755955648485695</v>
      </c>
      <c r="AV25" s="1448"/>
      <c r="AW25" s="1448"/>
      <c r="AX25" s="1448"/>
      <c r="AY25" s="1451" t="s">
        <v>55</v>
      </c>
      <c r="AZ25" s="1451"/>
      <c r="BA25" s="1451"/>
      <c r="BB25" s="1452"/>
      <c r="BC25" s="174"/>
      <c r="BD25" s="174"/>
      <c r="BE25" s="174"/>
      <c r="BF25" s="174"/>
      <c r="BG25" s="174"/>
      <c r="BH25" s="174"/>
      <c r="BI25" s="177"/>
      <c r="BJ25" s="174"/>
      <c r="BK25" s="174"/>
      <c r="BL25" s="1"/>
      <c r="BM25" s="174"/>
      <c r="BN25" s="9"/>
      <c r="BO25" s="9"/>
      <c r="BP25" s="107"/>
      <c r="BQ25" s="107"/>
      <c r="BR25" s="107"/>
      <c r="BS25" s="107"/>
      <c r="BT25" s="107"/>
      <c r="BU25" s="107"/>
      <c r="BV25" s="107"/>
      <c r="BW25" s="107"/>
      <c r="BX25" s="121"/>
      <c r="BY25" s="121"/>
      <c r="BZ25" s="121"/>
      <c r="CA25" s="121"/>
      <c r="CB25" s="121"/>
      <c r="CC25" s="39"/>
      <c r="CD25" s="174"/>
      <c r="CE25" s="174"/>
      <c r="CF25" s="174"/>
      <c r="CG25" s="174"/>
      <c r="CH25" s="1435">
        <v>1</v>
      </c>
      <c r="CI25" s="1436"/>
      <c r="CJ25" s="1437"/>
      <c r="CK25" s="174"/>
      <c r="CL25" s="1349">
        <f>DL34+DL37+DL40+CO65+CL65+BS36+(1.7*(DK34+CO64+BT39))</f>
        <v>592.79999999999995</v>
      </c>
      <c r="CM25" s="1350"/>
      <c r="CN25" s="1350"/>
      <c r="CO25" s="1350"/>
      <c r="CP25" s="870" t="s">
        <v>133</v>
      </c>
      <c r="CQ25" s="870"/>
      <c r="CR25" s="870"/>
      <c r="CS25" s="871"/>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74"/>
      <c r="AU26" s="1449"/>
      <c r="AV26" s="1450"/>
      <c r="AW26" s="1450"/>
      <c r="AX26" s="1450"/>
      <c r="AY26" s="1453"/>
      <c r="AZ26" s="1453"/>
      <c r="BA26" s="1453"/>
      <c r="BB26" s="1454"/>
      <c r="BC26" s="55">
        <f>+IF(AY25&gt;1,1,0)</f>
        <v>1</v>
      </c>
      <c r="BD26" s="174"/>
      <c r="BE26" s="174"/>
      <c r="BF26" s="174"/>
      <c r="BG26" s="174"/>
      <c r="BH26" s="174"/>
      <c r="BI26" s="177"/>
      <c r="BJ26" s="174"/>
      <c r="BK26" s="174"/>
      <c r="BL26" s="1"/>
      <c r="BM26" s="174"/>
      <c r="BN26" s="9"/>
      <c r="BO26" s="9"/>
      <c r="BP26" s="107"/>
      <c r="BQ26" s="107"/>
      <c r="BR26" s="107"/>
      <c r="BS26" s="107"/>
      <c r="BT26" s="107"/>
      <c r="BU26" s="107"/>
      <c r="BV26" s="107"/>
      <c r="BW26" s="107"/>
      <c r="BX26" s="121"/>
      <c r="BY26" s="121"/>
      <c r="BZ26" s="121"/>
      <c r="CA26" s="121"/>
      <c r="CB26" s="121"/>
      <c r="CC26" s="39"/>
      <c r="CD26" s="174"/>
      <c r="CE26" s="174"/>
      <c r="CF26" s="174"/>
      <c r="CG26" s="174"/>
      <c r="CH26" s="1438" t="s">
        <v>135</v>
      </c>
      <c r="CI26" s="1438"/>
      <c r="CJ26" s="1438"/>
      <c r="CK26" s="174"/>
      <c r="CL26" s="1351"/>
      <c r="CM26" s="1352"/>
      <c r="CN26" s="1352"/>
      <c r="CO26" s="1352"/>
      <c r="CP26" s="1094"/>
      <c r="CQ26" s="1094"/>
      <c r="CR26" s="1094"/>
      <c r="CS26" s="1095"/>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30"/>
      <c r="BE27" s="174"/>
      <c r="BF27" s="174"/>
      <c r="BG27" s="174"/>
      <c r="BH27" s="174"/>
      <c r="BI27" s="177"/>
      <c r="BJ27" s="174"/>
      <c r="BK27" s="174"/>
      <c r="BL27" s="1"/>
      <c r="BM27" s="174"/>
      <c r="BN27" s="36"/>
      <c r="BO27" s="9"/>
      <c r="BP27" s="131"/>
      <c r="BQ27" s="131"/>
      <c r="BR27" s="131"/>
      <c r="BS27" s="131"/>
      <c r="BT27" s="131"/>
      <c r="BU27" s="131"/>
      <c r="BV27" s="131"/>
      <c r="BW27" s="131"/>
      <c r="BX27" s="132"/>
      <c r="BY27" s="132"/>
      <c r="BZ27" s="132"/>
      <c r="CA27" s="132"/>
      <c r="CB27" s="132"/>
      <c r="CC27" s="174"/>
      <c r="CD27" s="174"/>
      <c r="CE27" s="174"/>
      <c r="CF27" s="174"/>
      <c r="CG27" s="174"/>
      <c r="CH27" s="1439"/>
      <c r="CI27" s="1439"/>
      <c r="CJ27" s="1439"/>
      <c r="CK27" s="174"/>
      <c r="CL27" s="1334" t="s">
        <v>136</v>
      </c>
      <c r="CM27" s="1334"/>
      <c r="CN27" s="1334"/>
      <c r="CO27" s="1334"/>
      <c r="CP27" s="1334"/>
      <c r="CQ27" s="1334"/>
      <c r="CR27" s="1334"/>
      <c r="CS27" s="133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J28" s="174"/>
      <c r="BK28" s="174"/>
      <c r="BL28" s="1"/>
      <c r="BM28" s="174"/>
      <c r="BN28" s="9"/>
      <c r="BO28" s="9"/>
      <c r="BP28" s="131"/>
      <c r="BQ28" s="131"/>
      <c r="BR28" s="131"/>
      <c r="BS28" s="131"/>
      <c r="BT28" s="131"/>
      <c r="BU28" s="131"/>
      <c r="BV28" s="131"/>
      <c r="BW28" s="131"/>
      <c r="BX28" s="132"/>
      <c r="BY28" s="132"/>
      <c r="BZ28" s="132"/>
      <c r="CA28" s="132"/>
      <c r="CB28" s="132"/>
      <c r="CC28" s="174"/>
      <c r="CD28" s="174"/>
      <c r="CE28" s="174"/>
      <c r="CF28" s="174"/>
      <c r="CG28" s="174"/>
      <c r="CH28" s="1439"/>
      <c r="CI28" s="1439"/>
      <c r="CJ28" s="1439"/>
      <c r="CK28" s="174"/>
      <c r="CL28" s="1078">
        <v>1</v>
      </c>
      <c r="CM28" s="1136" t="s">
        <v>137</v>
      </c>
      <c r="CN28" s="1136"/>
      <c r="CO28" s="1077"/>
      <c r="CP28" s="238"/>
      <c r="CQ28" s="238"/>
      <c r="CR28" s="238"/>
      <c r="CS28" s="238"/>
      <c r="CT28" s="174"/>
      <c r="CU28" s="174"/>
      <c r="CV28" s="174"/>
      <c r="CW28" s="174"/>
      <c r="CX28" s="174"/>
      <c r="CY28" s="174"/>
      <c r="CZ28" s="174"/>
      <c r="DA28" s="174"/>
      <c r="DB28" s="39"/>
      <c r="DC28" s="39"/>
      <c r="DD28" s="39"/>
      <c r="DE28" s="174"/>
      <c r="DF28" s="174"/>
      <c r="DG28" s="174"/>
      <c r="DH28" s="174"/>
      <c r="DI28" s="174"/>
      <c r="DJ28" s="174"/>
      <c r="DK28" s="1322">
        <f>SUM(DK31:DK42)/SUM(DK31:DL42)</f>
        <v>5.7708161582852432E-3</v>
      </c>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J29" s="174"/>
      <c r="BK29" s="174"/>
      <c r="BL29" s="1"/>
      <c r="BM29" s="174"/>
      <c r="BN29" s="36"/>
      <c r="BO29" s="9"/>
      <c r="BP29" s="107"/>
      <c r="BQ29" s="107"/>
      <c r="BR29" s="107"/>
      <c r="BS29" s="174"/>
      <c r="BT29" s="174"/>
      <c r="BU29" s="107"/>
      <c r="BV29" s="107"/>
      <c r="BW29" s="107"/>
      <c r="BX29" s="133"/>
      <c r="BY29" s="133"/>
      <c r="BZ29" s="133"/>
      <c r="CA29" s="133"/>
      <c r="CB29" s="133"/>
      <c r="CC29" s="174"/>
      <c r="CD29" s="174"/>
      <c r="CE29" s="174"/>
      <c r="CF29" s="174"/>
      <c r="CG29" s="174"/>
      <c r="CH29" s="1439"/>
      <c r="CI29" s="1439"/>
      <c r="CJ29" s="1439"/>
      <c r="CK29" s="174"/>
      <c r="CL29" s="1078"/>
      <c r="CM29" s="1136"/>
      <c r="CN29" s="1136"/>
      <c r="CO29" s="1077"/>
      <c r="CP29" s="238"/>
      <c r="CQ29" s="238"/>
      <c r="CR29" s="238"/>
      <c r="CS29" s="238"/>
      <c r="CT29" s="174"/>
      <c r="CU29" s="174"/>
      <c r="CV29" s="174"/>
      <c r="CW29" s="174"/>
      <c r="CX29" s="174"/>
      <c r="CY29" s="174"/>
      <c r="CZ29" s="174"/>
      <c r="DA29" s="174"/>
      <c r="DB29" s="174"/>
      <c r="DC29" s="174"/>
      <c r="DD29" s="174"/>
      <c r="DE29" s="174"/>
      <c r="DF29" s="174"/>
      <c r="DG29" s="174"/>
      <c r="DH29" s="174"/>
      <c r="DI29" s="174"/>
      <c r="DJ29" s="174"/>
      <c r="DK29" s="1323"/>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J30" s="174"/>
      <c r="BK30" s="174"/>
      <c r="BL30" s="1"/>
      <c r="BM30" s="174"/>
      <c r="BN30" s="9"/>
      <c r="BO30" s="9"/>
      <c r="BP30" s="107"/>
      <c r="BQ30" s="107"/>
      <c r="BR30" s="107"/>
      <c r="BS30" s="174"/>
      <c r="BT30" s="174"/>
      <c r="BU30" s="107"/>
      <c r="BV30" s="107"/>
      <c r="BW30" s="107"/>
      <c r="BX30" s="133"/>
      <c r="BY30" s="133"/>
      <c r="BZ30" s="133"/>
      <c r="CA30" s="133"/>
      <c r="CB30" s="133"/>
      <c r="CC30" s="174"/>
      <c r="CD30" s="174"/>
      <c r="CE30" s="174"/>
      <c r="CF30" s="174"/>
      <c r="CG30" s="174"/>
      <c r="CH30" s="1440"/>
      <c r="CI30" s="1440"/>
      <c r="CJ30" s="1440"/>
      <c r="CK30" s="72"/>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324"/>
      <c r="DL30" s="174"/>
      <c r="DM30" s="174"/>
      <c r="DN30" s="174"/>
      <c r="DO30" s="174"/>
      <c r="DP30" s="174"/>
      <c r="DQ30" s="174"/>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325">
        <f>CH24/CL21</f>
        <v>5.1173451592007559</v>
      </c>
      <c r="CI31" s="1326"/>
      <c r="CJ31" s="1327"/>
      <c r="CK31" s="174"/>
      <c r="CL31" s="174"/>
      <c r="CM31" s="174"/>
      <c r="CN31" s="174"/>
      <c r="CO31" s="174"/>
      <c r="CP31" s="174"/>
      <c r="CQ31" s="174"/>
      <c r="CR31" s="174"/>
      <c r="CS31" s="174"/>
      <c r="CT31" s="174"/>
      <c r="CU31" s="174"/>
      <c r="CV31" s="1419">
        <f>DD31/DA38</f>
        <v>-0.99755955648485695</v>
      </c>
      <c r="CW31" s="1420"/>
      <c r="CX31" s="1357" t="s">
        <v>135</v>
      </c>
      <c r="CY31" s="1357"/>
      <c r="CZ31" s="1357"/>
      <c r="DA31" s="1357"/>
      <c r="DB31" s="1425"/>
      <c r="DC31" s="1426">
        <v>1</v>
      </c>
      <c r="DD31" s="1429">
        <f>SUM(DN31:DN42)</f>
        <v>1213</v>
      </c>
      <c r="DE31" s="1432" t="s">
        <v>99</v>
      </c>
      <c r="DF31" s="1075"/>
      <c r="DG31" s="1075"/>
      <c r="DH31" s="1075"/>
      <c r="DI31" s="1076"/>
      <c r="DJ31" s="137"/>
      <c r="DK31" s="912">
        <v>5</v>
      </c>
      <c r="DL31" s="1314">
        <f>DN31-DK31</f>
        <v>620</v>
      </c>
      <c r="DM31" s="137"/>
      <c r="DN31" s="1417">
        <f>ROUND('Input Worksheet'!AI30*('Input Worksheet'!AY30+1),0)</f>
        <v>625</v>
      </c>
      <c r="DO31" s="1418" t="s">
        <v>99</v>
      </c>
      <c r="DP31" s="1075"/>
      <c r="DQ31" s="1075"/>
      <c r="DR31" s="1075"/>
      <c r="DS31" s="1076"/>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328"/>
      <c r="CI32" s="1329"/>
      <c r="CJ32" s="1330"/>
      <c r="CK32" s="174"/>
      <c r="CL32" s="174"/>
      <c r="CM32" s="174"/>
      <c r="CN32" s="174"/>
      <c r="CO32" s="174"/>
      <c r="CP32" s="174"/>
      <c r="CQ32" s="174"/>
      <c r="CR32" s="174"/>
      <c r="CS32" s="174"/>
      <c r="CT32" s="174"/>
      <c r="CU32" s="174"/>
      <c r="CV32" s="1421"/>
      <c r="CW32" s="1422"/>
      <c r="CX32" s="1357"/>
      <c r="CY32" s="1357"/>
      <c r="CZ32" s="1357"/>
      <c r="DA32" s="1357"/>
      <c r="DB32" s="1425"/>
      <c r="DC32" s="1427"/>
      <c r="DD32" s="1430"/>
      <c r="DE32" s="1433"/>
      <c r="DF32" s="870"/>
      <c r="DG32" s="870"/>
      <c r="DH32" s="870"/>
      <c r="DI32" s="871"/>
      <c r="DJ32" s="174"/>
      <c r="DK32" s="1082"/>
      <c r="DL32" s="1315"/>
      <c r="DM32" s="174"/>
      <c r="DN32" s="1316"/>
      <c r="DO32" s="1396"/>
      <c r="DP32" s="870"/>
      <c r="DQ32" s="870"/>
      <c r="DR32" s="870"/>
      <c r="DS32" s="871"/>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339" t="s">
        <v>131</v>
      </c>
      <c r="BT33" s="1341" t="s">
        <v>18</v>
      </c>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423"/>
      <c r="CW33" s="1424"/>
      <c r="CX33" s="1357"/>
      <c r="CY33" s="1357"/>
      <c r="CZ33" s="1357"/>
      <c r="DA33" s="1357"/>
      <c r="DB33" s="1425"/>
      <c r="DC33" s="1428"/>
      <c r="DD33" s="1431"/>
      <c r="DE33" s="1434"/>
      <c r="DF33" s="1094"/>
      <c r="DG33" s="1094"/>
      <c r="DH33" s="1094"/>
      <c r="DI33" s="1095"/>
      <c r="DJ33" s="174"/>
      <c r="DK33" s="1082"/>
      <c r="DL33" s="1315"/>
      <c r="DM33" s="174"/>
      <c r="DN33" s="1316"/>
      <c r="DO33" s="1396"/>
      <c r="DP33" s="870"/>
      <c r="DQ33" s="870"/>
      <c r="DR33" s="870"/>
      <c r="DS33" s="871"/>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340"/>
      <c r="BT34" s="1342"/>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082">
        <v>2</v>
      </c>
      <c r="DL34" s="1315">
        <f>DN34-DK34</f>
        <v>-2</v>
      </c>
      <c r="DM34" s="174"/>
      <c r="DN34" s="1316">
        <f>ROUND('Input Worksheet'!AA30*('Input Worksheet'!AY30+1),0)</f>
        <v>0</v>
      </c>
      <c r="DO34" s="1396" t="s">
        <v>99</v>
      </c>
      <c r="DP34" s="870"/>
      <c r="DQ34" s="870"/>
      <c r="DR34" s="870"/>
      <c r="DS34" s="871"/>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340"/>
      <c r="BT35" s="1342"/>
      <c r="BU35" s="174"/>
      <c r="BV35" s="174"/>
      <c r="BW35" s="1378" t="s">
        <v>132</v>
      </c>
      <c r="BX35" s="1379"/>
      <c r="BY35" s="1379"/>
      <c r="BZ35" s="1379"/>
      <c r="CA35" s="1379"/>
      <c r="CB35" s="1379"/>
      <c r="CC35" s="1379"/>
      <c r="CD35" s="1380"/>
      <c r="CE35" s="1411" t="s">
        <v>136</v>
      </c>
      <c r="CF35" s="1412">
        <v>1</v>
      </c>
      <c r="CG35" s="1413"/>
      <c r="CH35" s="174"/>
      <c r="CI35" s="174"/>
      <c r="CJ35" s="174"/>
      <c r="CK35" s="174"/>
      <c r="CL35" s="174"/>
      <c r="CM35" s="174"/>
      <c r="CN35" s="174"/>
      <c r="CO35" s="174"/>
      <c r="CP35" s="174"/>
      <c r="CQ35" s="174"/>
      <c r="CR35" s="174"/>
      <c r="CS35" s="174"/>
      <c r="CT35" s="174"/>
      <c r="CU35" s="174"/>
      <c r="CV35" s="174"/>
      <c r="CW35" s="174"/>
      <c r="CX35" s="222"/>
      <c r="CY35" s="222"/>
      <c r="CZ35" s="1416" t="s">
        <v>136</v>
      </c>
      <c r="DA35" s="1378" t="s">
        <v>132</v>
      </c>
      <c r="DB35" s="1379"/>
      <c r="DC35" s="1379"/>
      <c r="DD35" s="1379"/>
      <c r="DE35" s="1379"/>
      <c r="DF35" s="1379"/>
      <c r="DG35" s="1379"/>
      <c r="DH35" s="1380"/>
      <c r="DI35" s="174"/>
      <c r="DJ35" s="174"/>
      <c r="DK35" s="1082"/>
      <c r="DL35" s="1315"/>
      <c r="DM35" s="174"/>
      <c r="DN35" s="1316"/>
      <c r="DO35" s="1396"/>
      <c r="DP35" s="870"/>
      <c r="DQ35" s="870"/>
      <c r="DR35" s="870"/>
      <c r="DS35" s="871"/>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084"/>
      <c r="BM36" s="1075"/>
      <c r="BN36" s="1075"/>
      <c r="BO36" s="1075"/>
      <c r="BP36" s="1406" t="s">
        <v>99</v>
      </c>
      <c r="BQ36" s="1341">
        <f>ROUND('Input Worksheet'!K28*('Input Worksheet'!AY28+1),0)</f>
        <v>0</v>
      </c>
      <c r="BR36" s="174"/>
      <c r="BS36" s="1337">
        <f>BQ36-BT36</f>
        <v>0</v>
      </c>
      <c r="BT36" s="1081">
        <v>0</v>
      </c>
      <c r="BU36" s="174"/>
      <c r="BV36" s="174"/>
      <c r="BW36" s="1381"/>
      <c r="BX36" s="1382"/>
      <c r="BY36" s="1382"/>
      <c r="BZ36" s="1382"/>
      <c r="CA36" s="1382"/>
      <c r="CB36" s="1382"/>
      <c r="CC36" s="1382"/>
      <c r="CD36" s="1383"/>
      <c r="CE36" s="1411"/>
      <c r="CF36" s="1414"/>
      <c r="CG36" s="1415"/>
      <c r="CH36" s="174"/>
      <c r="CI36" s="174"/>
      <c r="CJ36" s="174"/>
      <c r="CK36" s="174"/>
      <c r="CL36" s="174"/>
      <c r="CM36" s="174"/>
      <c r="CN36" s="174"/>
      <c r="CO36" s="174"/>
      <c r="CP36" s="174"/>
      <c r="CQ36" s="174"/>
      <c r="CR36" s="174"/>
      <c r="CS36" s="174"/>
      <c r="CT36" s="174"/>
      <c r="CU36" s="174"/>
      <c r="CV36" s="174"/>
      <c r="CW36" s="174"/>
      <c r="CX36" s="222"/>
      <c r="CY36" s="222"/>
      <c r="CZ36" s="1416"/>
      <c r="DA36" s="1381"/>
      <c r="DB36" s="1382"/>
      <c r="DC36" s="1382"/>
      <c r="DD36" s="1382"/>
      <c r="DE36" s="1382"/>
      <c r="DF36" s="1382"/>
      <c r="DG36" s="1382"/>
      <c r="DH36" s="1383"/>
      <c r="DI36" s="174"/>
      <c r="DJ36" s="174"/>
      <c r="DK36" s="1082"/>
      <c r="DL36" s="1315"/>
      <c r="DM36" s="174"/>
      <c r="DN36" s="1316"/>
      <c r="DO36" s="1396"/>
      <c r="DP36" s="870"/>
      <c r="DQ36" s="870"/>
      <c r="DR36" s="870"/>
      <c r="DS36" s="871"/>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869"/>
      <c r="BM37" s="870"/>
      <c r="BN37" s="870"/>
      <c r="BO37" s="870"/>
      <c r="BP37" s="1387"/>
      <c r="BQ37" s="1342"/>
      <c r="BR37" s="174"/>
      <c r="BS37" s="1337"/>
      <c r="BT37" s="1081"/>
      <c r="BU37" s="174"/>
      <c r="BV37" s="174"/>
      <c r="BW37" s="1384"/>
      <c r="BX37" s="1385"/>
      <c r="BY37" s="1385"/>
      <c r="BZ37" s="1385"/>
      <c r="CA37" s="1385"/>
      <c r="CB37" s="1385"/>
      <c r="CC37" s="1385"/>
      <c r="CD37" s="1386"/>
      <c r="CE37" s="1411"/>
      <c r="CF37" s="1407" t="s">
        <v>137</v>
      </c>
      <c r="CG37" s="1408"/>
      <c r="CH37" s="174"/>
      <c r="CI37" s="174"/>
      <c r="CJ37" s="174"/>
      <c r="CK37" s="174"/>
      <c r="CL37" s="174"/>
      <c r="CM37" s="174"/>
      <c r="CN37" s="174"/>
      <c r="CO37" s="174"/>
      <c r="CP37" s="174"/>
      <c r="CQ37" s="174"/>
      <c r="CR37" s="174"/>
      <c r="CS37" s="174"/>
      <c r="CT37" s="174"/>
      <c r="CU37" s="174"/>
      <c r="CV37" s="174"/>
      <c r="CW37" s="174"/>
      <c r="CX37" s="222"/>
      <c r="CY37" s="222"/>
      <c r="CZ37" s="1416"/>
      <c r="DA37" s="1384"/>
      <c r="DB37" s="1385"/>
      <c r="DC37" s="1385"/>
      <c r="DD37" s="1385"/>
      <c r="DE37" s="1385"/>
      <c r="DF37" s="1385"/>
      <c r="DG37" s="1385"/>
      <c r="DH37" s="1386"/>
      <c r="DI37" s="174"/>
      <c r="DJ37" s="174"/>
      <c r="DK37" s="1082">
        <v>0</v>
      </c>
      <c r="DL37" s="1315">
        <f>DN37-DK37</f>
        <v>588</v>
      </c>
      <c r="DM37" s="174"/>
      <c r="DN37" s="1316">
        <f>ROUND('Input Worksheet'!S30*('Input Worksheet'!AY30+1),0)</f>
        <v>588</v>
      </c>
      <c r="DO37" s="1396" t="s">
        <v>99</v>
      </c>
      <c r="DP37" s="870"/>
      <c r="DQ37" s="870"/>
      <c r="DR37" s="870"/>
      <c r="DS37" s="871"/>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869"/>
      <c r="BM38" s="870"/>
      <c r="BN38" s="870"/>
      <c r="BO38" s="870"/>
      <c r="BP38" s="1387"/>
      <c r="BQ38" s="1342"/>
      <c r="BR38" s="174"/>
      <c r="BS38" s="1337"/>
      <c r="BT38" s="1081"/>
      <c r="BU38" s="174"/>
      <c r="BV38" s="174"/>
      <c r="BW38" s="1349">
        <f>1009-1.025*BW42</f>
        <v>-1694.9499999999998</v>
      </c>
      <c r="BX38" s="1350"/>
      <c r="BY38" s="1350"/>
      <c r="BZ38" s="1350"/>
      <c r="CA38" s="870" t="s">
        <v>133</v>
      </c>
      <c r="CB38" s="870"/>
      <c r="CC38" s="870"/>
      <c r="CD38" s="871"/>
      <c r="CE38" s="1411"/>
      <c r="CF38" s="1407"/>
      <c r="CG38" s="1408"/>
      <c r="CH38" s="174"/>
      <c r="CI38" s="174"/>
      <c r="CJ38" s="174"/>
      <c r="CK38" s="174"/>
      <c r="CL38" s="174"/>
      <c r="CM38" s="174"/>
      <c r="CN38" s="174"/>
      <c r="CO38" s="174"/>
      <c r="CP38" s="174"/>
      <c r="CQ38" s="174"/>
      <c r="CR38" s="174"/>
      <c r="CS38" s="174"/>
      <c r="CT38" s="174"/>
      <c r="CU38" s="174"/>
      <c r="CV38" s="174"/>
      <c r="CW38" s="174"/>
      <c r="CX38" s="222"/>
      <c r="CY38" s="222"/>
      <c r="CZ38" s="1416"/>
      <c r="DA38" s="1349">
        <f>1009-1.025*DA42</f>
        <v>-1215.9674999999997</v>
      </c>
      <c r="DB38" s="1350"/>
      <c r="DC38" s="1350"/>
      <c r="DD38" s="1350"/>
      <c r="DE38" s="870" t="s">
        <v>133</v>
      </c>
      <c r="DF38" s="870"/>
      <c r="DG38" s="870"/>
      <c r="DH38" s="871"/>
      <c r="DI38" s="174"/>
      <c r="DJ38" s="174"/>
      <c r="DK38" s="1082"/>
      <c r="DL38" s="1315"/>
      <c r="DM38" s="174"/>
      <c r="DN38" s="1316"/>
      <c r="DO38" s="1396"/>
      <c r="DP38" s="870"/>
      <c r="DQ38" s="870"/>
      <c r="DR38" s="870"/>
      <c r="DS38" s="871"/>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869"/>
      <c r="BM39" s="870"/>
      <c r="BN39" s="870"/>
      <c r="BO39" s="870"/>
      <c r="BP39" s="1387" t="s">
        <v>99</v>
      </c>
      <c r="BQ39" s="1342">
        <f>ROUND('Input Worksheet'!S28*('Input Worksheet'!AY28+1),0)</f>
        <v>899</v>
      </c>
      <c r="BR39" s="174"/>
      <c r="BS39" s="1337">
        <f>BQ39-BT39</f>
        <v>897</v>
      </c>
      <c r="BT39" s="1081">
        <v>2</v>
      </c>
      <c r="BU39" s="174"/>
      <c r="BV39" s="174"/>
      <c r="BW39" s="1349"/>
      <c r="BX39" s="1350"/>
      <c r="BY39" s="1350"/>
      <c r="BZ39" s="1350"/>
      <c r="CA39" s="870"/>
      <c r="CB39" s="870"/>
      <c r="CC39" s="870"/>
      <c r="CD39" s="871"/>
      <c r="CE39" s="1411"/>
      <c r="CF39" s="1409"/>
      <c r="CG39" s="1410"/>
      <c r="CH39" s="174"/>
      <c r="CI39" s="174"/>
      <c r="CJ39" s="174"/>
      <c r="CK39" s="174"/>
      <c r="CL39" s="174"/>
      <c r="CM39" s="174"/>
      <c r="CN39" s="174"/>
      <c r="CO39" s="174"/>
      <c r="CP39" s="174"/>
      <c r="CQ39" s="174"/>
      <c r="CR39" s="174"/>
      <c r="CS39" s="174"/>
      <c r="CT39" s="174"/>
      <c r="CU39" s="174"/>
      <c r="CV39" s="174"/>
      <c r="CW39" s="174"/>
      <c r="CX39" s="1402" t="s">
        <v>137</v>
      </c>
      <c r="CY39" s="1403"/>
      <c r="CZ39" s="1416"/>
      <c r="DA39" s="1349"/>
      <c r="DB39" s="1350"/>
      <c r="DC39" s="1350"/>
      <c r="DD39" s="1350"/>
      <c r="DE39" s="870"/>
      <c r="DF39" s="870"/>
      <c r="DG39" s="870"/>
      <c r="DH39" s="871"/>
      <c r="DI39" s="174"/>
      <c r="DJ39" s="174"/>
      <c r="DK39" s="1082"/>
      <c r="DL39" s="1315"/>
      <c r="DM39" s="174"/>
      <c r="DN39" s="1316"/>
      <c r="DO39" s="1396"/>
      <c r="DP39" s="870"/>
      <c r="DQ39" s="870"/>
      <c r="DR39" s="870"/>
      <c r="DS39" s="871"/>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869"/>
      <c r="BM40" s="870"/>
      <c r="BN40" s="870"/>
      <c r="BO40" s="870"/>
      <c r="BP40" s="1387"/>
      <c r="BQ40" s="1342"/>
      <c r="BR40" s="174"/>
      <c r="BS40" s="1337"/>
      <c r="BT40" s="1081"/>
      <c r="BU40" s="174"/>
      <c r="BV40" s="174"/>
      <c r="BW40" s="1343" t="s">
        <v>134</v>
      </c>
      <c r="BX40" s="1344"/>
      <c r="BY40" s="1344"/>
      <c r="BZ40" s="1344"/>
      <c r="CA40" s="1344"/>
      <c r="CB40" s="1344"/>
      <c r="CC40" s="1344"/>
      <c r="CD40" s="1345"/>
      <c r="CE40" s="1411"/>
      <c r="CF40" s="222"/>
      <c r="CG40" s="222"/>
      <c r="CH40" s="174"/>
      <c r="CI40" s="174"/>
      <c r="CJ40" s="174"/>
      <c r="CK40" s="174"/>
      <c r="CL40" s="174"/>
      <c r="CM40" s="174"/>
      <c r="CN40" s="174"/>
      <c r="CO40" s="174"/>
      <c r="CP40" s="174"/>
      <c r="CQ40" s="174"/>
      <c r="CR40" s="174"/>
      <c r="CS40" s="174"/>
      <c r="CT40" s="174"/>
      <c r="CU40" s="174"/>
      <c r="CV40" s="174"/>
      <c r="CW40" s="174"/>
      <c r="CX40" s="1404"/>
      <c r="CY40" s="1405"/>
      <c r="CZ40" s="1416"/>
      <c r="DA40" s="1343" t="s">
        <v>134</v>
      </c>
      <c r="DB40" s="1344"/>
      <c r="DC40" s="1344"/>
      <c r="DD40" s="1344"/>
      <c r="DE40" s="1344"/>
      <c r="DF40" s="1344"/>
      <c r="DG40" s="1344"/>
      <c r="DH40" s="1345"/>
      <c r="DI40" s="174"/>
      <c r="DJ40" s="174"/>
      <c r="DK40" s="1082">
        <v>0</v>
      </c>
      <c r="DL40" s="1315">
        <f>DN40-DK40</f>
        <v>0</v>
      </c>
      <c r="DM40" s="174"/>
      <c r="DN40" s="1316">
        <f>ROUND('Input Worksheet'!K30*('Input Worksheet'!AY30+1),0)</f>
        <v>0</v>
      </c>
      <c r="DO40" s="1396" t="s">
        <v>99</v>
      </c>
      <c r="DP40" s="870"/>
      <c r="DQ40" s="870"/>
      <c r="DR40" s="870"/>
      <c r="DS40" s="871"/>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869"/>
      <c r="BM41" s="870"/>
      <c r="BN41" s="870"/>
      <c r="BO41" s="870"/>
      <c r="BP41" s="1387"/>
      <c r="BQ41" s="1342"/>
      <c r="BR41" s="174"/>
      <c r="BS41" s="1337"/>
      <c r="BT41" s="1081"/>
      <c r="BU41" s="174"/>
      <c r="BV41" s="174"/>
      <c r="BW41" s="1346"/>
      <c r="BX41" s="1347"/>
      <c r="BY41" s="1347"/>
      <c r="BZ41" s="1347"/>
      <c r="CA41" s="1347"/>
      <c r="CB41" s="1347"/>
      <c r="CC41" s="1347"/>
      <c r="CD41" s="1348"/>
      <c r="CE41" s="1411"/>
      <c r="CF41" s="222"/>
      <c r="CG41" s="222"/>
      <c r="CH41" s="174"/>
      <c r="CI41" s="174"/>
      <c r="CJ41" s="174"/>
      <c r="CK41" s="174"/>
      <c r="CL41" s="174"/>
      <c r="CM41" s="174"/>
      <c r="CN41" s="174"/>
      <c r="CO41" s="174"/>
      <c r="CP41" s="174"/>
      <c r="CQ41" s="174"/>
      <c r="CR41" s="174"/>
      <c r="CS41" s="174"/>
      <c r="CT41" s="174"/>
      <c r="CU41" s="174"/>
      <c r="CV41" s="174"/>
      <c r="CW41" s="174"/>
      <c r="CX41" s="1404"/>
      <c r="CY41" s="1405"/>
      <c r="CZ41" s="1416"/>
      <c r="DA41" s="1346"/>
      <c r="DB41" s="1347"/>
      <c r="DC41" s="1347"/>
      <c r="DD41" s="1347"/>
      <c r="DE41" s="1347"/>
      <c r="DF41" s="1347"/>
      <c r="DG41" s="1347"/>
      <c r="DH41" s="1348"/>
      <c r="DI41" s="174"/>
      <c r="DJ41" s="174"/>
      <c r="DK41" s="1082"/>
      <c r="DL41" s="1315"/>
      <c r="DM41" s="174"/>
      <c r="DN41" s="1316"/>
      <c r="DO41" s="1396"/>
      <c r="DP41" s="870"/>
      <c r="DQ41" s="870"/>
      <c r="DR41" s="870"/>
      <c r="DS41" s="871"/>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869"/>
      <c r="BM42" s="870"/>
      <c r="BN42" s="870"/>
      <c r="BO42" s="870"/>
      <c r="BP42" s="1387" t="s">
        <v>99</v>
      </c>
      <c r="BQ42" s="1342">
        <f>ROUND('Input Worksheet'!AA28*('Input Worksheet'!AY28+1),0)</f>
        <v>0</v>
      </c>
      <c r="BR42" s="174"/>
      <c r="BS42" s="1337">
        <f>BQ42-BT42</f>
        <v>-10</v>
      </c>
      <c r="BT42" s="1081">
        <v>10</v>
      </c>
      <c r="BU42" s="174"/>
      <c r="BV42" s="174"/>
      <c r="BW42" s="1349">
        <f>(CK14+CN14+CQ14+DL37+DL40+CL65)+(1.7*(CO64+DK37+CK15))</f>
        <v>2638</v>
      </c>
      <c r="BX42" s="1350"/>
      <c r="BY42" s="1350"/>
      <c r="BZ42" s="1350"/>
      <c r="CA42" s="870" t="s">
        <v>133</v>
      </c>
      <c r="CB42" s="870"/>
      <c r="CC42" s="870"/>
      <c r="CD42" s="871"/>
      <c r="CE42" s="1411"/>
      <c r="CF42" s="222"/>
      <c r="CG42" s="222"/>
      <c r="CH42" s="174"/>
      <c r="CI42" s="174"/>
      <c r="CJ42" s="174"/>
      <c r="CK42" s="174"/>
      <c r="CL42" s="174"/>
      <c r="CM42" s="174"/>
      <c r="CN42" s="174"/>
      <c r="CO42" s="174"/>
      <c r="CP42" s="174"/>
      <c r="CQ42" s="174"/>
      <c r="CR42" s="174"/>
      <c r="CS42" s="174"/>
      <c r="CT42" s="174"/>
      <c r="CU42" s="174"/>
      <c r="CV42" s="174"/>
      <c r="CW42" s="174"/>
      <c r="CX42" s="1398">
        <v>1</v>
      </c>
      <c r="CY42" s="1399"/>
      <c r="CZ42" s="1416"/>
      <c r="DA42" s="1349">
        <f>CL65+CO65+CR65+CQ14+BS39+BS36+(1.7*(CR64+BT39+CN15))</f>
        <v>2170.6999999999998</v>
      </c>
      <c r="DB42" s="1350"/>
      <c r="DC42" s="1350"/>
      <c r="DD42" s="1350"/>
      <c r="DE42" s="870" t="s">
        <v>133</v>
      </c>
      <c r="DF42" s="870"/>
      <c r="DG42" s="870"/>
      <c r="DH42" s="871"/>
      <c r="DI42" s="174"/>
      <c r="DJ42" s="174"/>
      <c r="DK42" s="1082"/>
      <c r="DL42" s="1315"/>
      <c r="DM42" s="174"/>
      <c r="DN42" s="1317"/>
      <c r="DO42" s="1397"/>
      <c r="DP42" s="1094"/>
      <c r="DQ42" s="1094"/>
      <c r="DR42" s="1094"/>
      <c r="DS42" s="1095"/>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869"/>
      <c r="BM43" s="870"/>
      <c r="BN43" s="870"/>
      <c r="BO43" s="870"/>
      <c r="BP43" s="1387"/>
      <c r="BQ43" s="1342"/>
      <c r="BR43" s="174"/>
      <c r="BS43" s="1337"/>
      <c r="BT43" s="1081"/>
      <c r="BU43" s="174"/>
      <c r="BV43" s="174"/>
      <c r="BW43" s="1351"/>
      <c r="BX43" s="1352"/>
      <c r="BY43" s="1352"/>
      <c r="BZ43" s="1352"/>
      <c r="CA43" s="1094"/>
      <c r="CB43" s="1094"/>
      <c r="CC43" s="1094"/>
      <c r="CD43" s="1095"/>
      <c r="CE43" s="1411"/>
      <c r="CF43" s="222"/>
      <c r="CG43" s="222"/>
      <c r="CH43" s="174"/>
      <c r="CI43" s="174"/>
      <c r="CJ43" s="174"/>
      <c r="CK43" s="174"/>
      <c r="CL43" s="174"/>
      <c r="CM43" s="174"/>
      <c r="CN43" s="174"/>
      <c r="CO43" s="174"/>
      <c r="CP43" s="174"/>
      <c r="CQ43" s="174"/>
      <c r="CR43" s="174"/>
      <c r="CS43" s="174"/>
      <c r="CT43" s="174"/>
      <c r="CU43" s="174"/>
      <c r="CV43" s="174"/>
      <c r="CW43" s="174"/>
      <c r="CX43" s="1400"/>
      <c r="CY43" s="1401"/>
      <c r="CZ43" s="1416"/>
      <c r="DA43" s="1351"/>
      <c r="DB43" s="1352"/>
      <c r="DC43" s="1352"/>
      <c r="DD43" s="1352"/>
      <c r="DE43" s="1094"/>
      <c r="DF43" s="1094"/>
      <c r="DG43" s="1094"/>
      <c r="DH43" s="1095"/>
      <c r="DI43" s="174"/>
      <c r="DJ43" s="174"/>
      <c r="DK43" s="1316" t="s">
        <v>18</v>
      </c>
      <c r="DL43" s="1318" t="s">
        <v>131</v>
      </c>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869"/>
      <c r="BM44" s="870"/>
      <c r="BN44" s="870"/>
      <c r="BO44" s="870"/>
      <c r="BP44" s="1387"/>
      <c r="BQ44" s="1342"/>
      <c r="BR44" s="174"/>
      <c r="BS44" s="1337"/>
      <c r="BT44" s="1081"/>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316"/>
      <c r="DL44" s="1318"/>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869"/>
      <c r="BM45" s="870"/>
      <c r="BN45" s="870"/>
      <c r="BO45" s="870"/>
      <c r="BP45" s="1387" t="s">
        <v>99</v>
      </c>
      <c r="BQ45" s="1342">
        <f>ROUND('Input Worksheet'!AI28*('Input Worksheet'!AY28+1),0)</f>
        <v>208</v>
      </c>
      <c r="BR45" s="174"/>
      <c r="BS45" s="1337">
        <f>BQ45-BT45</f>
        <v>208</v>
      </c>
      <c r="BT45" s="1081">
        <v>0</v>
      </c>
      <c r="BU45" s="174"/>
      <c r="BV45" s="1084"/>
      <c r="BW45" s="1075"/>
      <c r="BX45" s="1075"/>
      <c r="BY45" s="1075"/>
      <c r="BZ45" s="1390" t="s">
        <v>99</v>
      </c>
      <c r="CA45" s="1393">
        <f>SUM(BS36:BS47)+(1.7*(SUM(BT36:BT47)))</f>
        <v>1115.4000000000001</v>
      </c>
      <c r="CB45" s="1353">
        <v>1</v>
      </c>
      <c r="CC45" s="1356" t="s">
        <v>135</v>
      </c>
      <c r="CD45" s="1357"/>
      <c r="CE45" s="1357"/>
      <c r="CF45" s="1357"/>
      <c r="CG45" s="1358"/>
      <c r="CH45" s="1359">
        <f>CA45/BW38</f>
        <v>-0.65807250951355512</v>
      </c>
      <c r="CI45" s="1360"/>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317"/>
      <c r="DL45" s="1319"/>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869"/>
      <c r="BM46" s="870"/>
      <c r="BN46" s="870"/>
      <c r="BO46" s="870"/>
      <c r="BP46" s="1387"/>
      <c r="BQ46" s="1342"/>
      <c r="BR46" s="174"/>
      <c r="BS46" s="1337"/>
      <c r="BT46" s="1081"/>
      <c r="BU46" s="174"/>
      <c r="BV46" s="869"/>
      <c r="BW46" s="870"/>
      <c r="BX46" s="870"/>
      <c r="BY46" s="870"/>
      <c r="BZ46" s="1391"/>
      <c r="CA46" s="1394"/>
      <c r="CB46" s="1354"/>
      <c r="CC46" s="1356"/>
      <c r="CD46" s="1357"/>
      <c r="CE46" s="1357"/>
      <c r="CF46" s="1357"/>
      <c r="CG46" s="1358"/>
      <c r="CH46" s="1361"/>
      <c r="CI46" s="1362"/>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106"/>
      <c r="BM47" s="1094"/>
      <c r="BN47" s="1094"/>
      <c r="BO47" s="1094"/>
      <c r="BP47" s="1388"/>
      <c r="BQ47" s="1389"/>
      <c r="BR47" s="12"/>
      <c r="BS47" s="1338"/>
      <c r="BT47" s="1110"/>
      <c r="BU47" s="136"/>
      <c r="BV47" s="1106"/>
      <c r="BW47" s="1094"/>
      <c r="BX47" s="1094"/>
      <c r="BY47" s="1094"/>
      <c r="BZ47" s="1392"/>
      <c r="CA47" s="1395"/>
      <c r="CB47" s="1355"/>
      <c r="CC47" s="1356"/>
      <c r="CD47" s="1357"/>
      <c r="CE47" s="1357"/>
      <c r="CF47" s="1357"/>
      <c r="CG47" s="1358"/>
      <c r="CH47" s="1363"/>
      <c r="CI47" s="1364"/>
      <c r="CJ47" s="174"/>
      <c r="CK47" s="174"/>
      <c r="CL47" s="174"/>
      <c r="CM47" s="174"/>
      <c r="CN47" s="174"/>
      <c r="CO47" s="174"/>
      <c r="CP47" s="174"/>
      <c r="CQ47" s="174"/>
      <c r="CR47" s="174"/>
      <c r="CS47" s="174"/>
      <c r="CT47" s="174"/>
      <c r="CU47" s="1325">
        <f>CU55/CL56</f>
        <v>-4.4171966033281311</v>
      </c>
      <c r="CV47" s="1326"/>
      <c r="CW47" s="1327"/>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305">
        <f>SUM(BT36:BT47)/(SUM(BS36:BT47))</f>
        <v>1.0840108401084011E-2</v>
      </c>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328"/>
      <c r="CV48" s="1329"/>
      <c r="CW48" s="1330"/>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306"/>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72"/>
      <c r="CU49" s="1331" t="s">
        <v>135</v>
      </c>
      <c r="CV49" s="1331"/>
      <c r="CW49" s="1331"/>
      <c r="CX49" s="174"/>
      <c r="CY49" s="174"/>
      <c r="CZ49" s="174"/>
      <c r="DA49" s="174"/>
      <c r="DB49" s="39"/>
      <c r="DC49" s="39"/>
      <c r="DD49" s="39"/>
      <c r="DE49" s="39"/>
      <c r="DF49" s="39"/>
      <c r="DG49" s="39"/>
      <c r="DH49" s="39"/>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307"/>
      <c r="BU50" s="174"/>
      <c r="BV50" s="174"/>
      <c r="BW50" s="174"/>
      <c r="BX50" s="174"/>
      <c r="BY50" s="174"/>
      <c r="BZ50" s="174"/>
      <c r="CA50" s="174"/>
      <c r="CB50" s="174"/>
      <c r="CC50" s="174"/>
      <c r="CD50" s="174"/>
      <c r="CE50" s="174"/>
      <c r="CF50" s="174"/>
      <c r="CG50" s="174"/>
      <c r="CH50" s="174"/>
      <c r="CI50" s="174"/>
      <c r="CJ50" s="174"/>
      <c r="CK50" s="174"/>
      <c r="CL50" s="1078">
        <v>1</v>
      </c>
      <c r="CM50" s="1136" t="s">
        <v>137</v>
      </c>
      <c r="CN50" s="1136"/>
      <c r="CO50" s="1077"/>
      <c r="CP50" s="238"/>
      <c r="CQ50" s="238"/>
      <c r="CR50" s="238"/>
      <c r="CS50" s="238"/>
      <c r="CT50" s="174"/>
      <c r="CU50" s="1332"/>
      <c r="CV50" s="1332"/>
      <c r="CW50" s="1332"/>
      <c r="CX50" s="174"/>
      <c r="CY50" s="174"/>
      <c r="CZ50" s="174"/>
      <c r="DA50" s="174"/>
      <c r="DB50" s="39"/>
      <c r="DC50" s="39"/>
      <c r="DD50" s="39"/>
      <c r="DE50" s="39"/>
      <c r="DF50" s="39"/>
      <c r="DG50" s="39"/>
      <c r="DH50" s="39"/>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161"/>
      <c r="BW51" s="161"/>
      <c r="BX51" s="161"/>
      <c r="BY51" s="174"/>
      <c r="BZ51" s="174"/>
      <c r="CA51" s="174"/>
      <c r="CB51" s="174"/>
      <c r="CC51" s="174"/>
      <c r="CD51" s="174"/>
      <c r="CE51" s="174"/>
      <c r="CF51" s="174"/>
      <c r="CG51" s="174"/>
      <c r="CH51" s="174"/>
      <c r="CI51" s="174"/>
      <c r="CJ51" s="174"/>
      <c r="CK51" s="174"/>
      <c r="CL51" s="1078"/>
      <c r="CM51" s="1136"/>
      <c r="CN51" s="1136"/>
      <c r="CO51" s="1077"/>
      <c r="CP51" s="238"/>
      <c r="CQ51" s="238"/>
      <c r="CR51" s="238"/>
      <c r="CS51" s="238"/>
      <c r="CT51" s="174"/>
      <c r="CU51" s="1332"/>
      <c r="CV51" s="1332"/>
      <c r="CW51" s="1332"/>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61"/>
      <c r="BW52" s="161"/>
      <c r="BX52" s="161"/>
      <c r="BY52" s="174"/>
      <c r="BZ52" s="174"/>
      <c r="CA52" s="174"/>
      <c r="CB52" s="174"/>
      <c r="CC52" s="174"/>
      <c r="CD52" s="174"/>
      <c r="CE52" s="174"/>
      <c r="CF52" s="174"/>
      <c r="CG52" s="174"/>
      <c r="CH52" s="174"/>
      <c r="CI52" s="174"/>
      <c r="CJ52" s="174"/>
      <c r="CK52" s="174"/>
      <c r="CL52" s="1334" t="s">
        <v>136</v>
      </c>
      <c r="CM52" s="1334"/>
      <c r="CN52" s="1334"/>
      <c r="CO52" s="1334"/>
      <c r="CP52" s="1334"/>
      <c r="CQ52" s="1334"/>
      <c r="CR52" s="1334"/>
      <c r="CS52" s="1334"/>
      <c r="CT52" s="174"/>
      <c r="CU52" s="1332"/>
      <c r="CV52" s="1332"/>
      <c r="CW52" s="1332"/>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378" t="s">
        <v>132</v>
      </c>
      <c r="CM53" s="1379"/>
      <c r="CN53" s="1379"/>
      <c r="CO53" s="1379"/>
      <c r="CP53" s="1379"/>
      <c r="CQ53" s="1379"/>
      <c r="CR53" s="1379"/>
      <c r="CS53" s="1380"/>
      <c r="CT53" s="174"/>
      <c r="CU53" s="1333"/>
      <c r="CV53" s="1333"/>
      <c r="CW53" s="1333"/>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381"/>
      <c r="CM54" s="1382"/>
      <c r="CN54" s="1382"/>
      <c r="CO54" s="1382"/>
      <c r="CP54" s="1382"/>
      <c r="CQ54" s="1382"/>
      <c r="CR54" s="1382"/>
      <c r="CS54" s="1383"/>
      <c r="CT54" s="174"/>
      <c r="CU54" s="1369">
        <v>1</v>
      </c>
      <c r="CV54" s="1370"/>
      <c r="CW54" s="1371"/>
      <c r="CX54" s="174"/>
      <c r="CY54" s="174"/>
      <c r="CZ54" s="174"/>
      <c r="DA54" s="174"/>
      <c r="DB54" s="174"/>
      <c r="DC54" s="174"/>
      <c r="DD54" s="174"/>
      <c r="DE54" s="174"/>
      <c r="DF54" s="154"/>
      <c r="DG54" s="154"/>
      <c r="DH54" s="155"/>
      <c r="DI54" s="155"/>
      <c r="DJ54" s="155"/>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384"/>
      <c r="CM55" s="1385"/>
      <c r="CN55" s="1385"/>
      <c r="CO55" s="1385"/>
      <c r="CP55" s="1385"/>
      <c r="CQ55" s="1385"/>
      <c r="CR55" s="1385"/>
      <c r="CS55" s="1386"/>
      <c r="CT55" s="174"/>
      <c r="CU55" s="1372">
        <f>SUM(CL67:CW67)</f>
        <v>2320</v>
      </c>
      <c r="CV55" s="1373"/>
      <c r="CW55" s="1374"/>
      <c r="CX55" s="174"/>
      <c r="CY55" s="174"/>
      <c r="CZ55" s="174"/>
      <c r="DA55" s="174"/>
      <c r="DB55" s="174"/>
      <c r="DC55" s="174"/>
      <c r="DD55" s="174"/>
      <c r="DE55" s="174"/>
      <c r="DF55" s="154"/>
      <c r="DG55" s="154"/>
      <c r="DH55" s="155"/>
      <c r="DI55" s="155"/>
      <c r="DJ55" s="155"/>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6"/>
      <c r="BN56" s="6"/>
      <c r="BO56" s="6"/>
      <c r="BP56" s="6"/>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349">
        <f>1009-1.025*CL60</f>
        <v>-525.2199999999998</v>
      </c>
      <c r="CM56" s="1350"/>
      <c r="CN56" s="1350"/>
      <c r="CO56" s="1350"/>
      <c r="CP56" s="870" t="s">
        <v>133</v>
      </c>
      <c r="CQ56" s="870"/>
      <c r="CR56" s="870"/>
      <c r="CS56" s="871"/>
      <c r="CT56" s="174"/>
      <c r="CU56" s="1375" t="s">
        <v>99</v>
      </c>
      <c r="CV56" s="1376"/>
      <c r="CW56" s="1377"/>
      <c r="CX56" s="174"/>
      <c r="CY56" s="174"/>
      <c r="CZ56" s="174"/>
      <c r="DA56" s="174"/>
      <c r="DB56" s="174"/>
      <c r="DC56" s="174"/>
      <c r="DD56" s="174"/>
      <c r="DE56" s="174"/>
      <c r="DF56" s="154"/>
      <c r="DG56" s="154"/>
      <c r="DH56" s="155"/>
      <c r="DI56" s="155"/>
      <c r="DJ56" s="155"/>
      <c r="DK56" s="155"/>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349"/>
      <c r="CM57" s="1350"/>
      <c r="CN57" s="1350"/>
      <c r="CO57" s="1350"/>
      <c r="CP57" s="870"/>
      <c r="CQ57" s="870"/>
      <c r="CR57" s="870"/>
      <c r="CS57" s="871"/>
      <c r="CT57" s="174"/>
      <c r="CU57" s="1053"/>
      <c r="CV57" s="1054"/>
      <c r="CW57" s="1058"/>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343" t="s">
        <v>134</v>
      </c>
      <c r="CM58" s="1344"/>
      <c r="CN58" s="1344"/>
      <c r="CO58" s="1344"/>
      <c r="CP58" s="1344"/>
      <c r="CQ58" s="1344"/>
      <c r="CR58" s="1344"/>
      <c r="CS58" s="1345"/>
      <c r="CT58" s="174"/>
      <c r="CU58" s="1053"/>
      <c r="CV58" s="1054"/>
      <c r="CW58" s="1058"/>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346"/>
      <c r="CM59" s="1347"/>
      <c r="CN59" s="1347"/>
      <c r="CO59" s="1347"/>
      <c r="CP59" s="1347"/>
      <c r="CQ59" s="1347"/>
      <c r="CR59" s="1347"/>
      <c r="CS59" s="1348"/>
      <c r="CT59" s="174"/>
      <c r="CU59" s="1053"/>
      <c r="CV59" s="1054"/>
      <c r="CW59" s="1058"/>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thickBot="1">
      <c r="B60" s="1"/>
      <c r="C60" s="174"/>
      <c r="D60" s="174"/>
      <c r="E60" s="174"/>
      <c r="F60" s="174"/>
      <c r="G60" s="174"/>
      <c r="H60" s="174"/>
      <c r="I60" s="174"/>
      <c r="J60" s="1378" t="s">
        <v>132</v>
      </c>
      <c r="K60" s="1379"/>
      <c r="L60" s="1379"/>
      <c r="M60" s="1379"/>
      <c r="N60" s="1379"/>
      <c r="O60" s="1379"/>
      <c r="P60" s="1379"/>
      <c r="Q60" s="1380"/>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378" t="s">
        <v>132</v>
      </c>
      <c r="AU60" s="1379"/>
      <c r="AV60" s="1379"/>
      <c r="AW60" s="1379"/>
      <c r="AX60" s="1379"/>
      <c r="AY60" s="1379"/>
      <c r="AZ60" s="1379"/>
      <c r="BA60" s="1380"/>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349">
        <f>BS36+BS39+BS42+CN14+CQ14+DL40+(1.7*(BT45+CN15+DK37))</f>
        <v>1496.8</v>
      </c>
      <c r="CM60" s="1350"/>
      <c r="CN60" s="1350"/>
      <c r="CO60" s="1350"/>
      <c r="CP60" s="870" t="s">
        <v>133</v>
      </c>
      <c r="CQ60" s="870"/>
      <c r="CR60" s="870"/>
      <c r="CS60" s="871"/>
      <c r="CT60" s="174"/>
      <c r="CU60" s="1116"/>
      <c r="CV60" s="1117"/>
      <c r="CW60" s="1119"/>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381"/>
      <c r="K61" s="1382"/>
      <c r="L61" s="1382"/>
      <c r="M61" s="1382"/>
      <c r="N61" s="1382"/>
      <c r="O61" s="1382"/>
      <c r="P61" s="1382"/>
      <c r="Q61" s="1383"/>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381"/>
      <c r="AU61" s="1382"/>
      <c r="AV61" s="1382"/>
      <c r="AW61" s="1382"/>
      <c r="AX61" s="1382"/>
      <c r="AY61" s="1382"/>
      <c r="AZ61" s="1382"/>
      <c r="BA61" s="1383"/>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351"/>
      <c r="CM61" s="1352"/>
      <c r="CN61" s="1352"/>
      <c r="CO61" s="1352"/>
      <c r="CP61" s="1094"/>
      <c r="CQ61" s="1094"/>
      <c r="CR61" s="1094"/>
      <c r="CS61" s="1095"/>
      <c r="CT61" s="174"/>
      <c r="CU61" s="174"/>
      <c r="CV61" s="174"/>
      <c r="CW61" s="177"/>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384"/>
      <c r="K62" s="1385"/>
      <c r="L62" s="1385"/>
      <c r="M62" s="1385"/>
      <c r="N62" s="1385"/>
      <c r="O62" s="1385"/>
      <c r="P62" s="1385"/>
      <c r="Q62" s="1386"/>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384"/>
      <c r="AU62" s="1385"/>
      <c r="AV62" s="1385"/>
      <c r="AW62" s="1385"/>
      <c r="AX62" s="1385"/>
      <c r="AY62" s="1385"/>
      <c r="AZ62" s="1385"/>
      <c r="BA62" s="1386"/>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6"/>
      <c r="CM62" s="16"/>
      <c r="CN62" s="16"/>
      <c r="CO62" s="16"/>
      <c r="CP62" s="16"/>
      <c r="CQ62" s="16"/>
      <c r="CR62" s="16"/>
      <c r="CS62" s="16"/>
      <c r="CT62" s="16"/>
      <c r="CU62" s="16"/>
      <c r="CV62" s="16"/>
      <c r="CW62" s="48"/>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455">
        <f>BW38</f>
        <v>-1694.9499999999998</v>
      </c>
      <c r="K63" s="1456"/>
      <c r="L63" s="1456"/>
      <c r="M63" s="1456"/>
      <c r="N63" s="1457" t="s">
        <v>133</v>
      </c>
      <c r="O63" s="1457"/>
      <c r="P63" s="1457"/>
      <c r="Q63" s="1458"/>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455">
        <f>CL56</f>
        <v>-525.2199999999998</v>
      </c>
      <c r="AU63" s="1456"/>
      <c r="AV63" s="1456"/>
      <c r="AW63" s="1456"/>
      <c r="AX63" s="1457" t="s">
        <v>133</v>
      </c>
      <c r="AY63" s="1457"/>
      <c r="AZ63" s="1457"/>
      <c r="BA63" s="1458"/>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4"/>
      <c r="CM63" s="4"/>
      <c r="CN63" s="4"/>
      <c r="CO63" s="4"/>
      <c r="CP63" s="4"/>
      <c r="CQ63" s="4"/>
      <c r="CR63" s="4"/>
      <c r="CS63" s="4"/>
      <c r="CT63" s="4"/>
      <c r="CU63" s="4"/>
      <c r="CV63" s="4"/>
      <c r="CW63" s="167"/>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455"/>
      <c r="K64" s="1456"/>
      <c r="L64" s="1456"/>
      <c r="M64" s="1456"/>
      <c r="N64" s="1457"/>
      <c r="O64" s="1457"/>
      <c r="P64" s="1457"/>
      <c r="Q64" s="1458"/>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455"/>
      <c r="AU64" s="1456"/>
      <c r="AV64" s="1456"/>
      <c r="AW64" s="1456"/>
      <c r="AX64" s="1457"/>
      <c r="AY64" s="1457"/>
      <c r="AZ64" s="1457"/>
      <c r="BA64" s="1458"/>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301" t="s">
        <v>18</v>
      </c>
      <c r="CJ64" s="1302"/>
      <c r="CK64" s="1302"/>
      <c r="CL64" s="1040">
        <v>0</v>
      </c>
      <c r="CM64" s="1040"/>
      <c r="CN64" s="1040"/>
      <c r="CO64" s="1040">
        <v>0</v>
      </c>
      <c r="CP64" s="1040"/>
      <c r="CQ64" s="1040"/>
      <c r="CR64" s="1040">
        <v>5</v>
      </c>
      <c r="CS64" s="1040"/>
      <c r="CT64" s="1040"/>
      <c r="CU64" s="1040">
        <v>4</v>
      </c>
      <c r="CV64" s="1040"/>
      <c r="CW64" s="971"/>
      <c r="CX64" s="1308">
        <f>SUM(CL64:CW64)/SUM(CL64:CW65)</f>
        <v>3.8793103448275862E-3</v>
      </c>
      <c r="CY64" s="1309"/>
      <c r="CZ64" s="1310"/>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447">
        <f>CH45</f>
        <v>-0.65807250951355512</v>
      </c>
      <c r="K65" s="1448"/>
      <c r="L65" s="1448"/>
      <c r="M65" s="1448"/>
      <c r="N65" s="1451" t="s">
        <v>55</v>
      </c>
      <c r="O65" s="1451"/>
      <c r="P65" s="1451"/>
      <c r="Q65" s="1452"/>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447">
        <f>CU47</f>
        <v>-4.4171966033281311</v>
      </c>
      <c r="AU65" s="1448"/>
      <c r="AV65" s="1448"/>
      <c r="AW65" s="1448"/>
      <c r="AX65" s="1451" t="s">
        <v>55</v>
      </c>
      <c r="AY65" s="1451"/>
      <c r="AZ65" s="1451"/>
      <c r="BA65" s="1452"/>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303" t="s">
        <v>131</v>
      </c>
      <c r="CJ65" s="1304"/>
      <c r="CK65" s="1304"/>
      <c r="CL65" s="1194">
        <f>CL67-CL64</f>
        <v>0</v>
      </c>
      <c r="CM65" s="1194"/>
      <c r="CN65" s="1194"/>
      <c r="CO65" s="1194">
        <f>CO67-CO64</f>
        <v>0</v>
      </c>
      <c r="CP65" s="1194"/>
      <c r="CQ65" s="1194"/>
      <c r="CR65" s="1194">
        <f>CR67-CR64</f>
        <v>1255</v>
      </c>
      <c r="CS65" s="1194"/>
      <c r="CT65" s="1194"/>
      <c r="CU65" s="1194">
        <f>CU67-CU64</f>
        <v>1056</v>
      </c>
      <c r="CV65" s="1194"/>
      <c r="CW65" s="1194"/>
      <c r="CX65" s="174"/>
      <c r="CY65" s="162"/>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174"/>
      <c r="F66" s="174"/>
      <c r="G66" s="174"/>
      <c r="H66" s="174"/>
      <c r="I66" s="174"/>
      <c r="J66" s="1449"/>
      <c r="K66" s="1450"/>
      <c r="L66" s="1450"/>
      <c r="M66" s="1450"/>
      <c r="N66" s="1453"/>
      <c r="O66" s="1453"/>
      <c r="P66" s="1453"/>
      <c r="Q66" s="1454"/>
      <c r="R66" s="55">
        <f>+IF(J65&gt;1,1,0)</f>
        <v>0</v>
      </c>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449"/>
      <c r="AU66" s="1450"/>
      <c r="AV66" s="1450"/>
      <c r="AW66" s="1450"/>
      <c r="AX66" s="1453"/>
      <c r="AY66" s="1453"/>
      <c r="AZ66" s="1453"/>
      <c r="BA66" s="1454"/>
      <c r="BB66" s="55">
        <f>+IF(AT65&gt;1,1,0)</f>
        <v>0</v>
      </c>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42"/>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6"/>
      <c r="BQ67" s="16"/>
      <c r="BR67" s="16"/>
      <c r="BS67" s="16"/>
      <c r="BT67" s="16"/>
      <c r="BU67" s="174"/>
      <c r="BV67" s="174"/>
      <c r="BW67" s="174"/>
      <c r="BX67" s="174"/>
      <c r="BY67" s="174"/>
      <c r="BZ67" s="174"/>
      <c r="CA67" s="174"/>
      <c r="CB67" s="174"/>
      <c r="CC67" s="174"/>
      <c r="CD67" s="174"/>
      <c r="CE67" s="174"/>
      <c r="CF67" s="174"/>
      <c r="CG67" s="174"/>
      <c r="CH67" s="174"/>
      <c r="CI67" s="174"/>
      <c r="CJ67" s="174"/>
      <c r="CK67" s="174"/>
      <c r="CL67" s="1301">
        <f>ROUND('Input Worksheet'!K34*('Input Worksheet'!AY34+1),0)</f>
        <v>0</v>
      </c>
      <c r="CM67" s="1302"/>
      <c r="CN67" s="1302"/>
      <c r="CO67" s="1302">
        <f>ROUND('Input Worksheet'!S34*('Input Worksheet'!AY34+1),0)</f>
        <v>0</v>
      </c>
      <c r="CP67" s="1302"/>
      <c r="CQ67" s="1302"/>
      <c r="CR67" s="1302">
        <f>ROUND('Input Worksheet'!AA34*('Input Worksheet'!AY34+1),0)</f>
        <v>1260</v>
      </c>
      <c r="CS67" s="1302"/>
      <c r="CT67" s="1302"/>
      <c r="CU67" s="1302">
        <f>ROUND('Input Worksheet'!AI34*('Input Worksheet'!AY34+1),0)</f>
        <v>1060</v>
      </c>
      <c r="CV67" s="1302"/>
      <c r="CW67" s="1365"/>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4"/>
      <c r="BQ68" s="4"/>
      <c r="BR68" s="4"/>
      <c r="BS68" s="4"/>
      <c r="BT68" s="4"/>
      <c r="BU68" s="174"/>
      <c r="BV68" s="174"/>
      <c r="BW68" s="174"/>
      <c r="BX68" s="174"/>
      <c r="BY68" s="174"/>
      <c r="BZ68" s="174"/>
      <c r="CA68" s="174"/>
      <c r="CB68" s="174"/>
      <c r="CC68" s="174"/>
      <c r="CD68" s="174"/>
      <c r="CE68" s="174"/>
      <c r="CF68" s="174"/>
      <c r="CG68" s="174"/>
      <c r="CH68" s="174"/>
      <c r="CI68" s="174"/>
      <c r="CJ68" s="174"/>
      <c r="CK68" s="174"/>
      <c r="CL68" s="1366" t="s">
        <v>99</v>
      </c>
      <c r="CM68" s="1367"/>
      <c r="CN68" s="1367"/>
      <c r="CO68" s="1367" t="s">
        <v>99</v>
      </c>
      <c r="CP68" s="1367"/>
      <c r="CQ68" s="1367"/>
      <c r="CR68" s="1367" t="s">
        <v>99</v>
      </c>
      <c r="CS68" s="1367"/>
      <c r="CT68" s="1367"/>
      <c r="CU68" s="1367" t="s">
        <v>99</v>
      </c>
      <c r="CV68" s="1367"/>
      <c r="CW68" s="1368"/>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6"/>
      <c r="BQ69" s="16"/>
      <c r="BR69" s="16"/>
      <c r="BS69" s="16"/>
      <c r="BT69" s="16"/>
      <c r="BU69" s="174"/>
      <c r="BV69" s="174"/>
      <c r="BW69" s="174"/>
      <c r="BX69" s="174"/>
      <c r="BY69" s="174"/>
      <c r="BZ69" s="174"/>
      <c r="CA69" s="174"/>
      <c r="CB69" s="174"/>
      <c r="CC69" s="174"/>
      <c r="CD69" s="174"/>
      <c r="CE69" s="174"/>
      <c r="CF69" s="174"/>
      <c r="CG69" s="174"/>
      <c r="CH69" s="174"/>
      <c r="CI69" s="174"/>
      <c r="CJ69" s="174"/>
      <c r="CK69" s="174"/>
      <c r="CL69" s="1053"/>
      <c r="CM69" s="1054"/>
      <c r="CN69" s="1054"/>
      <c r="CO69" s="1054"/>
      <c r="CP69" s="1054"/>
      <c r="CQ69" s="1054"/>
      <c r="CR69" s="1054"/>
      <c r="CS69" s="1054"/>
      <c r="CT69" s="1054"/>
      <c r="CU69" s="1054"/>
      <c r="CV69" s="1054"/>
      <c r="CW69" s="1058"/>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6"/>
      <c r="BQ70" s="16"/>
      <c r="BR70" s="16"/>
      <c r="BS70" s="16"/>
      <c r="BT70" s="16"/>
      <c r="BU70" s="16"/>
      <c r="BV70" s="16"/>
      <c r="BW70" s="16"/>
      <c r="BX70" s="174"/>
      <c r="BY70" s="174"/>
      <c r="BZ70" s="174"/>
      <c r="CA70" s="174"/>
      <c r="CB70" s="174"/>
      <c r="CC70" s="174"/>
      <c r="CD70" s="174"/>
      <c r="CE70" s="174"/>
      <c r="CF70" s="174"/>
      <c r="CG70" s="174"/>
      <c r="CH70" s="174"/>
      <c r="CI70" s="174"/>
      <c r="CJ70" s="174"/>
      <c r="CK70" s="174"/>
      <c r="CL70" s="1053"/>
      <c r="CM70" s="1054"/>
      <c r="CN70" s="1054"/>
      <c r="CO70" s="1054"/>
      <c r="CP70" s="1054"/>
      <c r="CQ70" s="1054"/>
      <c r="CR70" s="1054"/>
      <c r="CS70" s="1054"/>
      <c r="CT70" s="1054"/>
      <c r="CU70" s="1054"/>
      <c r="CV70" s="1054"/>
      <c r="CW70" s="1058"/>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4"/>
      <c r="BQ71" s="4"/>
      <c r="BR71" s="4"/>
      <c r="BS71" s="4"/>
      <c r="BT71" s="4"/>
      <c r="BU71" s="4"/>
      <c r="BV71" s="4"/>
      <c r="BW71" s="4"/>
      <c r="BX71" s="174"/>
      <c r="BY71" s="174"/>
      <c r="BZ71" s="174"/>
      <c r="CA71" s="174"/>
      <c r="CB71" s="174"/>
      <c r="CC71" s="174"/>
      <c r="CD71" s="174"/>
      <c r="CE71" s="174"/>
      <c r="CF71" s="174"/>
      <c r="CG71" s="174"/>
      <c r="CH71" s="174"/>
      <c r="CI71" s="174"/>
      <c r="CJ71" s="174"/>
      <c r="CK71" s="174"/>
      <c r="CL71" s="1053"/>
      <c r="CM71" s="1054"/>
      <c r="CN71" s="1054"/>
      <c r="CO71" s="1054"/>
      <c r="CP71" s="1054"/>
      <c r="CQ71" s="1054"/>
      <c r="CR71" s="1054"/>
      <c r="CS71" s="1054"/>
      <c r="CT71" s="1054"/>
      <c r="CU71" s="1054"/>
      <c r="CV71" s="1054"/>
      <c r="CW71" s="1058"/>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4"/>
      <c r="BQ72" s="4"/>
      <c r="BR72" s="4"/>
      <c r="BS72" s="4"/>
      <c r="BT72" s="4"/>
      <c r="BU72" s="4"/>
      <c r="BV72" s="4"/>
      <c r="BW72" s="4"/>
      <c r="BX72" s="4"/>
      <c r="BY72" s="4"/>
      <c r="BZ72" s="4"/>
      <c r="CA72" s="4"/>
      <c r="CB72" s="4"/>
      <c r="CC72" s="4"/>
      <c r="CD72" s="4"/>
      <c r="CE72" s="4"/>
      <c r="CF72" s="4"/>
      <c r="CG72" s="174"/>
      <c r="CH72" s="174"/>
      <c r="CI72" s="174"/>
      <c r="CJ72" s="174"/>
      <c r="CK72" s="174"/>
      <c r="CL72" s="1116"/>
      <c r="CM72" s="1117"/>
      <c r="CN72" s="1117"/>
      <c r="CO72" s="1117"/>
      <c r="CP72" s="1117"/>
      <c r="CQ72" s="1117"/>
      <c r="CR72" s="1117"/>
      <c r="CS72" s="1117"/>
      <c r="CT72" s="1117"/>
      <c r="CU72" s="1117"/>
      <c r="CV72" s="1117"/>
      <c r="CW72" s="1119"/>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202">
    <mergeCell ref="B1:BI2"/>
    <mergeCell ref="B3:BI4"/>
    <mergeCell ref="C6:J7"/>
    <mergeCell ref="K6:AJ7"/>
    <mergeCell ref="AK6:BH7"/>
    <mergeCell ref="C8:J9"/>
    <mergeCell ref="K8:AJ9"/>
    <mergeCell ref="AK8:AP9"/>
    <mergeCell ref="AQ8:AV9"/>
    <mergeCell ref="AW8:BB9"/>
    <mergeCell ref="J21:M22"/>
    <mergeCell ref="N21:Q22"/>
    <mergeCell ref="BC8:BH9"/>
    <mergeCell ref="C10:J11"/>
    <mergeCell ref="K10:AJ11"/>
    <mergeCell ref="AK10:AR13"/>
    <mergeCell ref="AS10:AV11"/>
    <mergeCell ref="AW10:AZ11"/>
    <mergeCell ref="BA10:BD11"/>
    <mergeCell ref="BE10:BH11"/>
    <mergeCell ref="C12:J13"/>
    <mergeCell ref="K12:AJ13"/>
    <mergeCell ref="J65:M66"/>
    <mergeCell ref="N65:Q66"/>
    <mergeCell ref="AT65:AW66"/>
    <mergeCell ref="AX65:BA66"/>
    <mergeCell ref="BL1:DS2"/>
    <mergeCell ref="BL3:DS4"/>
    <mergeCell ref="J60:Q62"/>
    <mergeCell ref="AT60:BA62"/>
    <mergeCell ref="J63:M64"/>
    <mergeCell ref="N63:Q64"/>
    <mergeCell ref="AT63:AW64"/>
    <mergeCell ref="AX63:BA64"/>
    <mergeCell ref="J23:M24"/>
    <mergeCell ref="N23:Q24"/>
    <mergeCell ref="AU23:AX24"/>
    <mergeCell ref="AY23:BB24"/>
    <mergeCell ref="AU25:AX26"/>
    <mergeCell ref="AY25:BB26"/>
    <mergeCell ref="AS12:AV13"/>
    <mergeCell ref="AW12:AZ13"/>
    <mergeCell ref="BA12:BD13"/>
    <mergeCell ref="BE12:BH13"/>
    <mergeCell ref="J18:Q20"/>
    <mergeCell ref="AU20:BB22"/>
    <mergeCell ref="CH11:CJ11"/>
    <mergeCell ref="CK11:CM11"/>
    <mergeCell ref="CN11:CP11"/>
    <mergeCell ref="CQ11:CS11"/>
    <mergeCell ref="CH12:CJ12"/>
    <mergeCell ref="CK12:CM12"/>
    <mergeCell ref="CN12:CP12"/>
    <mergeCell ref="CQ12:CS12"/>
    <mergeCell ref="CH7:CJ10"/>
    <mergeCell ref="CK7:CM10"/>
    <mergeCell ref="CN7:CP10"/>
    <mergeCell ref="CQ7:CS10"/>
    <mergeCell ref="CH25:CJ25"/>
    <mergeCell ref="CL25:CO26"/>
    <mergeCell ref="CP25:CS26"/>
    <mergeCell ref="CH26:CJ30"/>
    <mergeCell ref="CL27:CS27"/>
    <mergeCell ref="CL28:CL29"/>
    <mergeCell ref="CM28:CO29"/>
    <mergeCell ref="CP28:CS29"/>
    <mergeCell ref="CL18:CS20"/>
    <mergeCell ref="CH19:CJ22"/>
    <mergeCell ref="CL21:CO22"/>
    <mergeCell ref="CP21:CS22"/>
    <mergeCell ref="CH23:CJ23"/>
    <mergeCell ref="CL23:CS24"/>
    <mergeCell ref="CH24:CJ24"/>
    <mergeCell ref="DF31:DI33"/>
    <mergeCell ref="DN31:DN33"/>
    <mergeCell ref="DO31:DO33"/>
    <mergeCell ref="DP31:DS33"/>
    <mergeCell ref="DN34:DN36"/>
    <mergeCell ref="DO34:DO36"/>
    <mergeCell ref="DP34:DS36"/>
    <mergeCell ref="CH31:CJ32"/>
    <mergeCell ref="CV31:CW33"/>
    <mergeCell ref="CX31:DB33"/>
    <mergeCell ref="DC31:DC33"/>
    <mergeCell ref="DD31:DD33"/>
    <mergeCell ref="DE31:DE33"/>
    <mergeCell ref="BS36:BS38"/>
    <mergeCell ref="BS39:BS41"/>
    <mergeCell ref="BW35:CD37"/>
    <mergeCell ref="CE35:CE43"/>
    <mergeCell ref="CF35:CG36"/>
    <mergeCell ref="CX35:CY38"/>
    <mergeCell ref="CZ35:CZ43"/>
    <mergeCell ref="DA35:DH37"/>
    <mergeCell ref="CF40:CG43"/>
    <mergeCell ref="DA40:DH41"/>
    <mergeCell ref="DE42:DH43"/>
    <mergeCell ref="DP40:DS42"/>
    <mergeCell ref="BL42:BO44"/>
    <mergeCell ref="BP42:BP44"/>
    <mergeCell ref="BQ42:BQ44"/>
    <mergeCell ref="BW42:BZ43"/>
    <mergeCell ref="CA42:CD43"/>
    <mergeCell ref="CX42:CY43"/>
    <mergeCell ref="DA42:DD43"/>
    <mergeCell ref="DP37:DS39"/>
    <mergeCell ref="BW38:BZ39"/>
    <mergeCell ref="CA38:CD39"/>
    <mergeCell ref="DA38:DD39"/>
    <mergeCell ref="DE38:DH39"/>
    <mergeCell ref="BL39:BO41"/>
    <mergeCell ref="BP39:BP41"/>
    <mergeCell ref="BQ39:BQ41"/>
    <mergeCell ref="CX39:CY41"/>
    <mergeCell ref="BW40:CD41"/>
    <mergeCell ref="BL36:BO38"/>
    <mergeCell ref="BP36:BP38"/>
    <mergeCell ref="BQ36:BQ38"/>
    <mergeCell ref="CF37:CG39"/>
    <mergeCell ref="DN37:DN39"/>
    <mergeCell ref="DO37:DO39"/>
    <mergeCell ref="CL53:CS55"/>
    <mergeCell ref="BL45:BO47"/>
    <mergeCell ref="BP45:BP47"/>
    <mergeCell ref="BQ45:BQ47"/>
    <mergeCell ref="BV45:BY47"/>
    <mergeCell ref="BZ45:BZ47"/>
    <mergeCell ref="CA45:CA47"/>
    <mergeCell ref="DN40:DN42"/>
    <mergeCell ref="DO40:DO42"/>
    <mergeCell ref="CL69:CN72"/>
    <mergeCell ref="CO69:CQ72"/>
    <mergeCell ref="CR69:CT72"/>
    <mergeCell ref="CU69:CW72"/>
    <mergeCell ref="BT36:BT38"/>
    <mergeCell ref="BT39:BT41"/>
    <mergeCell ref="BT42:BT44"/>
    <mergeCell ref="BT45:BT47"/>
    <mergeCell ref="CR65:CT65"/>
    <mergeCell ref="CU65:CW65"/>
    <mergeCell ref="CL67:CN67"/>
    <mergeCell ref="CO67:CQ67"/>
    <mergeCell ref="CR67:CT67"/>
    <mergeCell ref="CU67:CW67"/>
    <mergeCell ref="CL68:CN68"/>
    <mergeCell ref="CO68:CQ68"/>
    <mergeCell ref="CR68:CT68"/>
    <mergeCell ref="CU68:CW68"/>
    <mergeCell ref="CU54:CW54"/>
    <mergeCell ref="CU55:CW55"/>
    <mergeCell ref="CL56:CO57"/>
    <mergeCell ref="CP56:CS57"/>
    <mergeCell ref="CU56:CW56"/>
    <mergeCell ref="CU57:CW60"/>
    <mergeCell ref="CI65:CK65"/>
    <mergeCell ref="CH14:CJ14"/>
    <mergeCell ref="CK14:CM14"/>
    <mergeCell ref="CN14:CP14"/>
    <mergeCell ref="CQ14:CS14"/>
    <mergeCell ref="CH15:CJ15"/>
    <mergeCell ref="CK15:CM15"/>
    <mergeCell ref="BS42:BS44"/>
    <mergeCell ref="BS45:BS47"/>
    <mergeCell ref="BS33:BS35"/>
    <mergeCell ref="BT33:BT35"/>
    <mergeCell ref="CL65:CN65"/>
    <mergeCell ref="CO65:CQ65"/>
    <mergeCell ref="CL64:CN64"/>
    <mergeCell ref="CO64:CQ64"/>
    <mergeCell ref="CL58:CS59"/>
    <mergeCell ref="CL60:CO61"/>
    <mergeCell ref="CP60:CS61"/>
    <mergeCell ref="CB45:CB47"/>
    <mergeCell ref="CC45:CG47"/>
    <mergeCell ref="CH45:CI47"/>
    <mergeCell ref="CL50:CL51"/>
    <mergeCell ref="CM50:CO51"/>
    <mergeCell ref="CP50:CS51"/>
    <mergeCell ref="CE14:CG14"/>
    <mergeCell ref="CE15:CG15"/>
    <mergeCell ref="BT48:BT50"/>
    <mergeCell ref="CX64:CZ64"/>
    <mergeCell ref="CT15:CV15"/>
    <mergeCell ref="DL31:DL33"/>
    <mergeCell ref="DL34:DL36"/>
    <mergeCell ref="DL37:DL39"/>
    <mergeCell ref="DL40:DL42"/>
    <mergeCell ref="DK43:DK45"/>
    <mergeCell ref="DL43:DL45"/>
    <mergeCell ref="CN15:CP15"/>
    <mergeCell ref="CQ15:CS15"/>
    <mergeCell ref="DK31:DK33"/>
    <mergeCell ref="DK34:DK36"/>
    <mergeCell ref="DK37:DK39"/>
    <mergeCell ref="DK40:DK42"/>
    <mergeCell ref="DK28:DK30"/>
    <mergeCell ref="CR64:CT64"/>
    <mergeCell ref="CU64:CW64"/>
    <mergeCell ref="CI64:CK64"/>
    <mergeCell ref="CU47:CW48"/>
    <mergeCell ref="CU49:CW53"/>
    <mergeCell ref="CL52:CS52"/>
  </mergeCells>
  <conditionalFormatting sqref="AW10 BE10 AW12 BE12 J23 AU25 CH31 CV31 CH45 CU47 J65 AT65">
    <cfRule type="cellIs" dxfId="109" priority="1" operator="between">
      <formula>0.875</formula>
      <formula>0.99</formula>
    </cfRule>
    <cfRule type="cellIs" dxfId="108" priority="2" operator="between">
      <formula>0.75</formula>
      <formula>0.875</formula>
    </cfRule>
    <cfRule type="cellIs" dxfId="107" priority="3" operator="greaterThan">
      <formula>1</formula>
    </cfRule>
  </conditionalFormatting>
  <pageMargins left="0.2" right="0.2" top="0.5" bottom="0.5" header="0.3" footer="0.3"/>
  <pageSetup orientation="portrait" r:id="rId1"/>
  <headerFooter>
    <oddFooter>&amp;CCapacity Analysis for Planning of Junctions</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HL157"/>
  <sheetViews>
    <sheetView showGridLines="0" showRowColHeaders="0" zoomScale="90" zoomScaleNormal="90" zoomScalePageLayoutView="85" workbookViewId="0">
      <selection activeCell="DE10" sqref="DE10"/>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5703125" customWidth="1"/>
    <col min="125" max="220" width="1.7109375" hidden="1" customWidth="1"/>
    <col min="221" max="16384" width="9.140625" hidden="1"/>
  </cols>
  <sheetData>
    <row r="1" spans="1:123" ht="9.9499999999999993" customHeight="1">
      <c r="A1" s="140"/>
      <c r="B1" s="571" t="s">
        <v>138</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138</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1:123" ht="9.9499999999999993" customHeight="1">
      <c r="A2" s="174"/>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1:123" ht="9.9499999999999993" customHeight="1">
      <c r="A3" s="174"/>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1:123" ht="9.9499999999999993" customHeight="1">
      <c r="A4" s="174"/>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1:123" ht="9.9499999999999993" customHeight="1" thickBot="1">
      <c r="A5" s="174"/>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1:123" ht="9.9499999999999993" customHeight="1" thickBot="1">
      <c r="A6" s="174"/>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1:123" ht="9.9499999999999993" customHeight="1" thickBot="1">
      <c r="A7" s="174"/>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051"/>
      <c r="CI7" s="1052"/>
      <c r="CJ7" s="1052"/>
      <c r="CK7" s="1052"/>
      <c r="CL7" s="1052"/>
      <c r="CM7" s="1052"/>
      <c r="CN7" s="1052"/>
      <c r="CO7" s="1052"/>
      <c r="CP7" s="1052"/>
      <c r="CQ7" s="1052"/>
      <c r="CR7" s="1052"/>
      <c r="CS7" s="1057"/>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1:123" ht="9.9499999999999993" customHeight="1">
      <c r="A8" s="174"/>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053"/>
      <c r="CI8" s="1054"/>
      <c r="CJ8" s="1054"/>
      <c r="CK8" s="1054"/>
      <c r="CL8" s="1054"/>
      <c r="CM8" s="1054"/>
      <c r="CN8" s="1054"/>
      <c r="CO8" s="1054"/>
      <c r="CP8" s="1054"/>
      <c r="CQ8" s="1054"/>
      <c r="CR8" s="1054"/>
      <c r="CS8" s="1058"/>
      <c r="CT8" s="174"/>
      <c r="CU8" s="174"/>
      <c r="CV8" s="174"/>
      <c r="CW8" s="174"/>
      <c r="CX8" s="5"/>
      <c r="CY8" s="5"/>
      <c r="CZ8" s="5"/>
      <c r="DA8" s="5"/>
      <c r="DB8" s="5"/>
      <c r="DC8" s="5"/>
      <c r="DD8" s="5"/>
      <c r="DE8" s="37"/>
      <c r="DF8" s="37"/>
      <c r="DG8" s="37"/>
      <c r="DH8" s="37"/>
      <c r="DI8" s="37"/>
      <c r="DJ8" s="37"/>
      <c r="DK8" s="37"/>
      <c r="DL8" s="37"/>
      <c r="DM8" s="37"/>
      <c r="DN8" s="37"/>
      <c r="DO8" s="37"/>
      <c r="DP8" s="37"/>
      <c r="DQ8" s="174"/>
      <c r="DR8" s="174"/>
      <c r="DS8" s="177"/>
    </row>
    <row r="9" spans="1:123" ht="9.9499999999999993" customHeight="1" thickBot="1">
      <c r="A9" s="174"/>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053"/>
      <c r="CI9" s="1054"/>
      <c r="CJ9" s="1054"/>
      <c r="CK9" s="1054"/>
      <c r="CL9" s="1054"/>
      <c r="CM9" s="1054"/>
      <c r="CN9" s="1054"/>
      <c r="CO9" s="1054"/>
      <c r="CP9" s="1054"/>
      <c r="CQ9" s="1054"/>
      <c r="CR9" s="1054"/>
      <c r="CS9" s="1058"/>
      <c r="CT9" s="174"/>
      <c r="CU9" s="174"/>
      <c r="CV9" s="174"/>
      <c r="CW9" s="174"/>
      <c r="CX9" s="5"/>
      <c r="CY9" s="5"/>
      <c r="CZ9" s="5"/>
      <c r="DA9" s="5"/>
      <c r="DB9" s="5"/>
      <c r="DC9" s="5"/>
      <c r="DD9" s="5"/>
      <c r="DE9" s="37"/>
      <c r="DF9" s="37"/>
      <c r="DG9" s="37"/>
      <c r="DH9" s="37"/>
      <c r="DI9" s="37"/>
      <c r="DJ9" s="37"/>
      <c r="DK9" s="37"/>
      <c r="DL9" s="37"/>
      <c r="DM9" s="37"/>
      <c r="DN9" s="37"/>
      <c r="DO9" s="37"/>
      <c r="DP9" s="37"/>
      <c r="DQ9" s="174"/>
      <c r="DR9" s="174"/>
      <c r="DS9" s="177"/>
    </row>
    <row r="10" spans="1:123" ht="9.9499999999999993" customHeight="1">
      <c r="A10" s="174"/>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474"/>
      <c r="AM10" s="1474"/>
      <c r="AN10" s="1474"/>
      <c r="AO10" s="1474"/>
      <c r="AP10" s="1474"/>
      <c r="AQ10" s="1474"/>
      <c r="AR10" s="1475"/>
      <c r="AS10" s="1459" t="s">
        <v>127</v>
      </c>
      <c r="AT10" s="1460"/>
      <c r="AU10" s="1460"/>
      <c r="AV10" s="1461"/>
      <c r="AW10" s="1471">
        <f>J23</f>
        <v>4.523511689776071</v>
      </c>
      <c r="AX10" s="1472"/>
      <c r="AY10" s="1472"/>
      <c r="AZ10" s="1473"/>
      <c r="BA10" s="1459" t="s">
        <v>128</v>
      </c>
      <c r="BB10" s="1460"/>
      <c r="BC10" s="1460"/>
      <c r="BD10" s="1461"/>
      <c r="BE10" s="1471">
        <f>AU25</f>
        <v>-1.1817967831744873</v>
      </c>
      <c r="BF10" s="1472"/>
      <c r="BG10" s="1472"/>
      <c r="BH10" s="1473"/>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053"/>
      <c r="CI10" s="1054"/>
      <c r="CJ10" s="1054"/>
      <c r="CK10" s="1054"/>
      <c r="CL10" s="1054"/>
      <c r="CM10" s="1054"/>
      <c r="CN10" s="1054"/>
      <c r="CO10" s="1054"/>
      <c r="CP10" s="1054"/>
      <c r="CQ10" s="1054"/>
      <c r="CR10" s="1054"/>
      <c r="CS10" s="1058"/>
      <c r="CT10" s="174"/>
      <c r="CU10" s="174"/>
      <c r="CV10" s="174"/>
      <c r="CW10" s="174"/>
      <c r="CX10" s="157"/>
      <c r="CY10" s="157"/>
      <c r="CZ10" s="157"/>
      <c r="DA10" s="157"/>
      <c r="DB10" s="157"/>
      <c r="DC10" s="158"/>
      <c r="DD10" s="159"/>
      <c r="DE10" s="160"/>
      <c r="DF10" s="160"/>
      <c r="DG10" s="160"/>
      <c r="DH10" s="160"/>
      <c r="DI10" s="160"/>
      <c r="DJ10" s="158"/>
      <c r="DK10" s="159"/>
      <c r="DL10" s="160"/>
      <c r="DM10" s="160"/>
      <c r="DN10" s="160"/>
      <c r="DO10" s="160"/>
      <c r="DP10" s="160"/>
      <c r="DQ10" s="174"/>
      <c r="DR10" s="174"/>
      <c r="DS10" s="177"/>
    </row>
    <row r="11" spans="1:123" ht="9.9499999999999993" customHeight="1" thickBot="1">
      <c r="A11" s="174"/>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366" t="s">
        <v>99</v>
      </c>
      <c r="CI11" s="1367"/>
      <c r="CJ11" s="1367"/>
      <c r="CK11" s="1367" t="s">
        <v>99</v>
      </c>
      <c r="CL11" s="1367"/>
      <c r="CM11" s="1367"/>
      <c r="CN11" s="1367" t="s">
        <v>99</v>
      </c>
      <c r="CO11" s="1367"/>
      <c r="CP11" s="1367"/>
      <c r="CQ11" s="1367" t="s">
        <v>99</v>
      </c>
      <c r="CR11" s="1367"/>
      <c r="CS11" s="1368"/>
      <c r="CT11" s="174"/>
      <c r="CU11" s="174"/>
      <c r="CV11" s="174"/>
      <c r="CW11" s="174"/>
      <c r="CX11" s="157"/>
      <c r="CY11" s="157"/>
      <c r="CZ11" s="157"/>
      <c r="DA11" s="157"/>
      <c r="DB11" s="157"/>
      <c r="DC11" s="159"/>
      <c r="DD11" s="159"/>
      <c r="DE11" s="160"/>
      <c r="DF11" s="160"/>
      <c r="DG11" s="160"/>
      <c r="DH11" s="160"/>
      <c r="DI11" s="160"/>
      <c r="DJ11" s="159"/>
      <c r="DK11" s="159"/>
      <c r="DL11" s="160"/>
      <c r="DM11" s="160"/>
      <c r="DN11" s="160"/>
      <c r="DO11" s="160"/>
      <c r="DP11" s="160"/>
      <c r="DQ11" s="174"/>
      <c r="DR11" s="174"/>
      <c r="DS11" s="177"/>
    </row>
    <row r="12" spans="1:123" ht="9.9499999999999993" customHeight="1" thickBot="1">
      <c r="A12" s="174"/>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476"/>
      <c r="AL12" s="1477"/>
      <c r="AM12" s="1477"/>
      <c r="AN12" s="1477"/>
      <c r="AO12" s="1477"/>
      <c r="AP12" s="1477"/>
      <c r="AQ12" s="1477"/>
      <c r="AR12" s="1478"/>
      <c r="AS12" s="1459" t="s">
        <v>129</v>
      </c>
      <c r="AT12" s="1460"/>
      <c r="AU12" s="1460"/>
      <c r="AV12" s="1461"/>
      <c r="AW12" s="1465">
        <f>J65</f>
        <v>-0.75123666664156941</v>
      </c>
      <c r="AX12" s="1466"/>
      <c r="AY12" s="1466"/>
      <c r="AZ12" s="1467"/>
      <c r="BA12" s="1459" t="s">
        <v>130</v>
      </c>
      <c r="BB12" s="1460"/>
      <c r="BC12" s="1460"/>
      <c r="BD12" s="1461"/>
      <c r="BE12" s="1471">
        <f>AT65</f>
        <v>-5.8502182736611079</v>
      </c>
      <c r="BF12" s="1472"/>
      <c r="BG12" s="1472"/>
      <c r="BH12" s="1473"/>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444">
        <f>ROUND('Input Worksheet'!AI32*('Input Worksheet'!AY32+1),0)</f>
        <v>0</v>
      </c>
      <c r="CI12" s="1445"/>
      <c r="CJ12" s="1445"/>
      <c r="CK12" s="1445">
        <f>ROUND('Input Worksheet'!AA32*('Input Worksheet'!AY32+1),0)</f>
        <v>1447</v>
      </c>
      <c r="CL12" s="1445"/>
      <c r="CM12" s="1445"/>
      <c r="CN12" s="1445">
        <f>ROUND('Input Worksheet'!S32*('Input Worksheet'!AY32+1),0)</f>
        <v>607</v>
      </c>
      <c r="CO12" s="1445"/>
      <c r="CP12" s="1445"/>
      <c r="CQ12" s="1445">
        <f>ROUND('Input Worksheet'!K32*('Input Worksheet'!AY32+1),0)</f>
        <v>0</v>
      </c>
      <c r="CR12" s="1445"/>
      <c r="CS12" s="1446"/>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1:123" ht="9.9499999999999993" customHeight="1" thickBot="1">
      <c r="A13" s="174"/>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476"/>
      <c r="AL13" s="1477"/>
      <c r="AM13" s="1477"/>
      <c r="AN13" s="1477"/>
      <c r="AO13" s="1477"/>
      <c r="AP13" s="1477"/>
      <c r="AQ13" s="1477"/>
      <c r="AR13" s="1478"/>
      <c r="AS13" s="1462"/>
      <c r="AT13" s="1463"/>
      <c r="AU13" s="1463"/>
      <c r="AV13" s="1464"/>
      <c r="AW13" s="1468"/>
      <c r="AX13" s="1469"/>
      <c r="AY13" s="1469"/>
      <c r="AZ13" s="1470"/>
      <c r="BA13" s="1462"/>
      <c r="BB13" s="1463"/>
      <c r="BC13" s="1463"/>
      <c r="BD13" s="1464"/>
      <c r="BE13" s="1468"/>
      <c r="BF13" s="1469"/>
      <c r="BG13" s="1469"/>
      <c r="BH13" s="1470"/>
      <c r="BI13" s="177"/>
      <c r="BK13" s="174"/>
      <c r="BL13" s="17"/>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35"/>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1:123" ht="9.9499999999999993" customHeight="1" thickBot="1">
      <c r="A14" s="174"/>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
      <c r="BN14" s="174"/>
      <c r="BO14" s="174"/>
      <c r="BP14" s="174"/>
      <c r="BQ14" s="174"/>
      <c r="BR14" s="174"/>
      <c r="BS14" s="174"/>
      <c r="BT14" s="174"/>
      <c r="BU14" s="174"/>
      <c r="BV14" s="174"/>
      <c r="BW14" s="174"/>
      <c r="BX14" s="174"/>
      <c r="BY14" s="174"/>
      <c r="BZ14" s="174"/>
      <c r="CA14" s="174"/>
      <c r="CB14" s="174"/>
      <c r="CC14" s="174"/>
      <c r="CD14" s="174"/>
      <c r="CE14" s="1301" t="s">
        <v>131</v>
      </c>
      <c r="CF14" s="1302"/>
      <c r="CG14" s="1302"/>
      <c r="CH14" s="1335">
        <f>CH12-CH15</f>
        <v>-4</v>
      </c>
      <c r="CI14" s="1335"/>
      <c r="CJ14" s="1335"/>
      <c r="CK14" s="1335">
        <f t="shared" ref="CK14" si="0">CK12-CK15</f>
        <v>1437</v>
      </c>
      <c r="CL14" s="1335"/>
      <c r="CM14" s="1335"/>
      <c r="CN14" s="1335">
        <f t="shared" ref="CN14" si="1">CN12-CN15</f>
        <v>603</v>
      </c>
      <c r="CO14" s="1335"/>
      <c r="CP14" s="1335"/>
      <c r="CQ14" s="1335">
        <f t="shared" ref="CQ14" si="2">CQ12-CQ15</f>
        <v>0</v>
      </c>
      <c r="CR14" s="1335"/>
      <c r="CS14" s="1336"/>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1:123" ht="9.9499999999999993" customHeight="1" thickBot="1">
      <c r="A15" s="174"/>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174"/>
      <c r="BN15" s="174"/>
      <c r="BO15" s="174"/>
      <c r="BP15" s="174"/>
      <c r="BQ15" s="174"/>
      <c r="BR15" s="174"/>
      <c r="BS15" s="174"/>
      <c r="BT15" s="174"/>
      <c r="BU15" s="174"/>
      <c r="BV15" s="174"/>
      <c r="BW15" s="174"/>
      <c r="BX15" s="174"/>
      <c r="BY15" s="174"/>
      <c r="BZ15" s="174"/>
      <c r="CA15" s="174"/>
      <c r="CB15" s="174"/>
      <c r="CC15" s="174"/>
      <c r="CD15" s="174"/>
      <c r="CE15" s="1303" t="s">
        <v>18</v>
      </c>
      <c r="CF15" s="1304"/>
      <c r="CG15" s="1304"/>
      <c r="CH15" s="1320">
        <v>4</v>
      </c>
      <c r="CI15" s="1320"/>
      <c r="CJ15" s="1320"/>
      <c r="CK15" s="1320">
        <v>10</v>
      </c>
      <c r="CL15" s="1320"/>
      <c r="CM15" s="1320"/>
      <c r="CN15" s="1320">
        <v>4</v>
      </c>
      <c r="CO15" s="1320"/>
      <c r="CP15" s="1320"/>
      <c r="CQ15" s="1320">
        <v>0</v>
      </c>
      <c r="CR15" s="1320"/>
      <c r="CS15" s="1321"/>
      <c r="CT15" s="1311">
        <f>SUM(CH15:CS15)/SUM(CH14:CS15)</f>
        <v>8.7633885102239538E-3</v>
      </c>
      <c r="CU15" s="1312"/>
      <c r="CV15" s="1313"/>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1:123" ht="9.9499999999999993" customHeight="1">
      <c r="A16" s="174"/>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66"/>
      <c r="CI16" s="4"/>
      <c r="CJ16" s="4"/>
      <c r="CK16" s="4"/>
      <c r="CL16" s="4"/>
      <c r="CM16" s="4"/>
      <c r="CN16" s="4"/>
      <c r="CO16" s="4"/>
      <c r="CP16" s="4"/>
      <c r="CQ16" s="4"/>
      <c r="CR16" s="4"/>
      <c r="CS16" s="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thickBo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53"/>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378" t="s">
        <v>132</v>
      </c>
      <c r="K18" s="1379"/>
      <c r="L18" s="1379"/>
      <c r="M18" s="1379"/>
      <c r="N18" s="1379"/>
      <c r="O18" s="1379"/>
      <c r="P18" s="1379"/>
      <c r="Q18" s="1380"/>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K18" s="174"/>
      <c r="BL18" s="17"/>
      <c r="BM18" s="36"/>
      <c r="BN18" s="174"/>
      <c r="BO18" s="174"/>
      <c r="BP18" s="174"/>
      <c r="BQ18" s="174"/>
      <c r="BR18" s="174"/>
      <c r="BS18" s="174"/>
      <c r="BT18" s="174"/>
      <c r="BU18" s="174"/>
      <c r="BV18" s="174"/>
      <c r="BW18" s="174"/>
      <c r="BX18" s="174"/>
      <c r="BY18" s="174"/>
      <c r="BZ18" s="174"/>
      <c r="CA18" s="174"/>
      <c r="CB18" s="174"/>
      <c r="CC18" s="35"/>
      <c r="CD18" s="174"/>
      <c r="CE18" s="174"/>
      <c r="CF18" s="174"/>
      <c r="CG18" s="174"/>
      <c r="CH18" s="12"/>
      <c r="CI18" s="174"/>
      <c r="CJ18" s="174"/>
      <c r="CK18" s="174"/>
      <c r="CL18" s="1378" t="s">
        <v>132</v>
      </c>
      <c r="CM18" s="1379"/>
      <c r="CN18" s="1379"/>
      <c r="CO18" s="1379"/>
      <c r="CP18" s="1379"/>
      <c r="CQ18" s="1379"/>
      <c r="CR18" s="1379"/>
      <c r="CS18" s="1380"/>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381"/>
      <c r="K19" s="1382"/>
      <c r="L19" s="1382"/>
      <c r="M19" s="1382"/>
      <c r="N19" s="1382"/>
      <c r="O19" s="1382"/>
      <c r="P19" s="1382"/>
      <c r="Q19" s="1383"/>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K19" s="174"/>
      <c r="BL19" s="17"/>
      <c r="BM19" s="9"/>
      <c r="BN19" s="5"/>
      <c r="BO19" s="5"/>
      <c r="BP19" s="5"/>
      <c r="BQ19" s="5"/>
      <c r="BR19" s="5"/>
      <c r="BS19" s="5"/>
      <c r="BT19" s="5"/>
      <c r="BU19" s="5"/>
      <c r="BV19" s="37"/>
      <c r="BW19" s="37"/>
      <c r="BX19" s="37"/>
      <c r="BY19" s="37"/>
      <c r="BZ19" s="37"/>
      <c r="CA19" s="37"/>
      <c r="CB19" s="37"/>
      <c r="CC19" s="35"/>
      <c r="CD19" s="174"/>
      <c r="CE19" s="174"/>
      <c r="CF19" s="174"/>
      <c r="CG19" s="174"/>
      <c r="CH19" s="1051"/>
      <c r="CI19" s="1052"/>
      <c r="CJ19" s="1057"/>
      <c r="CK19" s="174"/>
      <c r="CL19" s="1381"/>
      <c r="CM19" s="1382"/>
      <c r="CN19" s="1382"/>
      <c r="CO19" s="1382"/>
      <c r="CP19" s="1382"/>
      <c r="CQ19" s="1382"/>
      <c r="CR19" s="1382"/>
      <c r="CS19" s="1383"/>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384"/>
      <c r="K20" s="1385"/>
      <c r="L20" s="1385"/>
      <c r="M20" s="1385"/>
      <c r="N20" s="1385"/>
      <c r="O20" s="1385"/>
      <c r="P20" s="1385"/>
      <c r="Q20" s="138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74"/>
      <c r="AU20" s="1378" t="s">
        <v>132</v>
      </c>
      <c r="AV20" s="1379"/>
      <c r="AW20" s="1379"/>
      <c r="AX20" s="1379"/>
      <c r="AY20" s="1379"/>
      <c r="AZ20" s="1379"/>
      <c r="BA20" s="1379"/>
      <c r="BB20" s="1380"/>
      <c r="BC20" s="174"/>
      <c r="BD20" s="174"/>
      <c r="BE20" s="174"/>
      <c r="BF20" s="174"/>
      <c r="BG20" s="174"/>
      <c r="BH20" s="174"/>
      <c r="BI20" s="177"/>
      <c r="BK20" s="174"/>
      <c r="BL20" s="17"/>
      <c r="BM20" s="6"/>
      <c r="BN20" s="5"/>
      <c r="BO20" s="5"/>
      <c r="BP20" s="5"/>
      <c r="BQ20" s="5"/>
      <c r="BR20" s="5"/>
      <c r="BS20" s="5"/>
      <c r="BT20" s="5"/>
      <c r="BU20" s="5"/>
      <c r="BV20" s="37"/>
      <c r="BW20" s="37"/>
      <c r="BX20" s="37"/>
      <c r="BY20" s="37"/>
      <c r="BZ20" s="37"/>
      <c r="CA20" s="37"/>
      <c r="CB20" s="37"/>
      <c r="CC20" s="174"/>
      <c r="CD20" s="174"/>
      <c r="CE20" s="174"/>
      <c r="CF20" s="174"/>
      <c r="CG20" s="174"/>
      <c r="CH20" s="1053"/>
      <c r="CI20" s="1054"/>
      <c r="CJ20" s="1058"/>
      <c r="CK20" s="174"/>
      <c r="CL20" s="1384"/>
      <c r="CM20" s="1385"/>
      <c r="CN20" s="1385"/>
      <c r="CO20" s="1385"/>
      <c r="CP20" s="1385"/>
      <c r="CQ20" s="1385"/>
      <c r="CR20" s="1385"/>
      <c r="CS20" s="1386"/>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455">
        <f>CL21</f>
        <v>454.072</v>
      </c>
      <c r="K21" s="1456"/>
      <c r="L21" s="1456"/>
      <c r="M21" s="1456"/>
      <c r="N21" s="1457" t="s">
        <v>133</v>
      </c>
      <c r="O21" s="1457"/>
      <c r="P21" s="1457"/>
      <c r="Q21" s="1458"/>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74"/>
      <c r="AU21" s="1381"/>
      <c r="AV21" s="1382"/>
      <c r="AW21" s="1382"/>
      <c r="AX21" s="1382"/>
      <c r="AY21" s="1382"/>
      <c r="AZ21" s="1382"/>
      <c r="BA21" s="1382"/>
      <c r="BB21" s="1383"/>
      <c r="BC21" s="174"/>
      <c r="BD21" s="174"/>
      <c r="BE21" s="174"/>
      <c r="BF21" s="174"/>
      <c r="BG21" s="174"/>
      <c r="BH21" s="174"/>
      <c r="BI21" s="177"/>
      <c r="BK21" s="174"/>
      <c r="BL21" s="17"/>
      <c r="BM21" s="6"/>
      <c r="BN21" s="6"/>
      <c r="BO21" s="6"/>
      <c r="BP21" s="6"/>
      <c r="BQ21" s="6"/>
      <c r="BR21" s="6"/>
      <c r="BS21" s="6"/>
      <c r="BT21" s="6"/>
      <c r="BU21" s="6"/>
      <c r="BV21" s="6"/>
      <c r="BW21" s="6"/>
      <c r="BX21" s="6"/>
      <c r="BY21" s="6"/>
      <c r="BZ21" s="6"/>
      <c r="CA21" s="6"/>
      <c r="CB21" s="6"/>
      <c r="CC21" s="174"/>
      <c r="CD21" s="174"/>
      <c r="CE21" s="174"/>
      <c r="CF21" s="174"/>
      <c r="CG21" s="174"/>
      <c r="CH21" s="1053"/>
      <c r="CI21" s="1054"/>
      <c r="CJ21" s="1058"/>
      <c r="CK21" s="174"/>
      <c r="CL21" s="1349">
        <f>1020-0.944*CL25</f>
        <v>454.072</v>
      </c>
      <c r="CM21" s="1350"/>
      <c r="CN21" s="1350"/>
      <c r="CO21" s="1350"/>
      <c r="CP21" s="870" t="s">
        <v>133</v>
      </c>
      <c r="CQ21" s="870"/>
      <c r="CR21" s="870"/>
      <c r="CS21" s="871"/>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455"/>
      <c r="K22" s="1456"/>
      <c r="L22" s="1456"/>
      <c r="M22" s="1456"/>
      <c r="N22" s="1457"/>
      <c r="O22" s="1457"/>
      <c r="P22" s="1457"/>
      <c r="Q22" s="1458"/>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74"/>
      <c r="AU22" s="1384"/>
      <c r="AV22" s="1385"/>
      <c r="AW22" s="1385"/>
      <c r="AX22" s="1385"/>
      <c r="AY22" s="1385"/>
      <c r="AZ22" s="1385"/>
      <c r="BA22" s="1385"/>
      <c r="BB22" s="1386"/>
      <c r="BC22" s="174"/>
      <c r="BD22" s="174"/>
      <c r="BE22" s="174"/>
      <c r="BF22" s="174"/>
      <c r="BG22" s="174"/>
      <c r="BH22" s="174"/>
      <c r="BI22" s="177"/>
      <c r="BK22" s="174"/>
      <c r="BL22" s="17"/>
      <c r="BM22" s="6"/>
      <c r="BN22" s="6"/>
      <c r="BO22" s="6"/>
      <c r="BP22" s="6"/>
      <c r="BQ22" s="6"/>
      <c r="BR22" s="6"/>
      <c r="BS22" s="6"/>
      <c r="BT22" s="6"/>
      <c r="BU22" s="6"/>
      <c r="BV22" s="6"/>
      <c r="BW22" s="6"/>
      <c r="BX22" s="6"/>
      <c r="BY22" s="6"/>
      <c r="BZ22" s="6"/>
      <c r="CA22" s="6"/>
      <c r="CB22" s="6"/>
      <c r="CC22" s="174"/>
      <c r="CD22" s="174"/>
      <c r="CE22" s="174"/>
      <c r="CF22" s="174"/>
      <c r="CG22" s="174"/>
      <c r="CH22" s="1053"/>
      <c r="CI22" s="1054"/>
      <c r="CJ22" s="1058"/>
      <c r="CK22" s="174"/>
      <c r="CL22" s="1349"/>
      <c r="CM22" s="1350"/>
      <c r="CN22" s="1350"/>
      <c r="CO22" s="1350"/>
      <c r="CP22" s="870"/>
      <c r="CQ22" s="870"/>
      <c r="CR22" s="870"/>
      <c r="CS22" s="871"/>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447">
        <f>CH31</f>
        <v>4.523511689776071</v>
      </c>
      <c r="K23" s="1448"/>
      <c r="L23" s="1448"/>
      <c r="M23" s="1448"/>
      <c r="N23" s="1451" t="s">
        <v>55</v>
      </c>
      <c r="O23" s="1451"/>
      <c r="P23" s="1451"/>
      <c r="Q23" s="1452"/>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74"/>
      <c r="AU23" s="1455">
        <f>DA38</f>
        <v>-1026.4032</v>
      </c>
      <c r="AV23" s="1456"/>
      <c r="AW23" s="1456"/>
      <c r="AX23" s="1456"/>
      <c r="AY23" s="1457" t="s">
        <v>133</v>
      </c>
      <c r="AZ23" s="1457"/>
      <c r="BA23" s="1457"/>
      <c r="BB23" s="1458"/>
      <c r="BC23" s="174"/>
      <c r="BD23" s="174"/>
      <c r="BE23" s="174"/>
      <c r="BF23" s="174"/>
      <c r="BG23" s="14"/>
      <c r="BH23" s="174"/>
      <c r="BI23" s="177"/>
      <c r="BK23" s="174"/>
      <c r="BL23" s="17"/>
      <c r="BM23" s="6"/>
      <c r="BN23" s="9"/>
      <c r="BO23" s="9"/>
      <c r="BP23" s="107"/>
      <c r="BQ23" s="107"/>
      <c r="BR23" s="107"/>
      <c r="BS23" s="107"/>
      <c r="BT23" s="107"/>
      <c r="BU23" s="107"/>
      <c r="BV23" s="107"/>
      <c r="BW23" s="107"/>
      <c r="BX23" s="121"/>
      <c r="BY23" s="121"/>
      <c r="BZ23" s="121"/>
      <c r="CA23" s="121"/>
      <c r="CB23" s="121"/>
      <c r="CC23" s="174"/>
      <c r="CD23" s="174"/>
      <c r="CE23" s="174"/>
      <c r="CF23" s="174"/>
      <c r="CG23" s="174"/>
      <c r="CH23" s="1375" t="s">
        <v>99</v>
      </c>
      <c r="CI23" s="1376"/>
      <c r="CJ23" s="1377"/>
      <c r="CK23" s="174"/>
      <c r="CL23" s="1343" t="s">
        <v>134</v>
      </c>
      <c r="CM23" s="1344"/>
      <c r="CN23" s="1344"/>
      <c r="CO23" s="1344"/>
      <c r="CP23" s="1344"/>
      <c r="CQ23" s="1344"/>
      <c r="CR23" s="1344"/>
      <c r="CS23" s="1345"/>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449"/>
      <c r="K24" s="1450"/>
      <c r="L24" s="1450"/>
      <c r="M24" s="1450"/>
      <c r="N24" s="1453"/>
      <c r="O24" s="1453"/>
      <c r="P24" s="1453"/>
      <c r="Q24" s="1454"/>
      <c r="R24" s="55">
        <f>+IF(J23&gt;1,1,0)</f>
        <v>1</v>
      </c>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174"/>
      <c r="AU24" s="1455"/>
      <c r="AV24" s="1456"/>
      <c r="AW24" s="1456"/>
      <c r="AX24" s="1456"/>
      <c r="AY24" s="1457"/>
      <c r="AZ24" s="1457"/>
      <c r="BA24" s="1457"/>
      <c r="BB24" s="1458"/>
      <c r="BC24" s="174"/>
      <c r="BD24" s="174"/>
      <c r="BE24" s="174"/>
      <c r="BF24" s="174"/>
      <c r="BG24" s="14"/>
      <c r="BH24" s="174"/>
      <c r="BI24" s="177"/>
      <c r="BK24" s="174"/>
      <c r="BL24" s="1"/>
      <c r="BM24" s="174"/>
      <c r="BN24" s="9"/>
      <c r="BO24" s="9"/>
      <c r="BP24" s="107"/>
      <c r="BQ24" s="107"/>
      <c r="BR24" s="107"/>
      <c r="BS24" s="107"/>
      <c r="BT24" s="107"/>
      <c r="BU24" s="107"/>
      <c r="BV24" s="107"/>
      <c r="BW24" s="107"/>
      <c r="BX24" s="121"/>
      <c r="BY24" s="121"/>
      <c r="BZ24" s="121"/>
      <c r="CA24" s="121"/>
      <c r="CB24" s="121"/>
      <c r="CC24" s="174"/>
      <c r="CD24" s="174"/>
      <c r="CE24" s="174"/>
      <c r="CF24" s="174"/>
      <c r="CG24" s="174"/>
      <c r="CH24" s="1441">
        <f>SUM(CH12:CS12)</f>
        <v>2054</v>
      </c>
      <c r="CI24" s="1442"/>
      <c r="CJ24" s="1443"/>
      <c r="CK24" s="174"/>
      <c r="CL24" s="1346"/>
      <c r="CM24" s="1347"/>
      <c r="CN24" s="1347"/>
      <c r="CO24" s="1347"/>
      <c r="CP24" s="1347"/>
      <c r="CQ24" s="1347"/>
      <c r="CR24" s="1347"/>
      <c r="CS24" s="1348"/>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6"/>
      <c r="K25" s="6"/>
      <c r="L25" s="6"/>
      <c r="M25" s="6"/>
      <c r="N25" s="6"/>
      <c r="O25" s="6"/>
      <c r="P25" s="6"/>
      <c r="Q25" s="6"/>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74"/>
      <c r="AU25" s="1447">
        <f>CV31</f>
        <v>-1.1817967831744873</v>
      </c>
      <c r="AV25" s="1448"/>
      <c r="AW25" s="1448"/>
      <c r="AX25" s="1448"/>
      <c r="AY25" s="1451" t="s">
        <v>55</v>
      </c>
      <c r="AZ25" s="1451"/>
      <c r="BA25" s="1451"/>
      <c r="BB25" s="1452"/>
      <c r="BC25" s="174"/>
      <c r="BD25" s="174"/>
      <c r="BE25" s="174"/>
      <c r="BF25" s="174"/>
      <c r="BG25" s="174"/>
      <c r="BH25" s="174"/>
      <c r="BI25" s="177"/>
      <c r="BK25" s="174"/>
      <c r="BL25" s="1"/>
      <c r="BM25" s="174"/>
      <c r="BN25" s="9"/>
      <c r="BO25" s="9"/>
      <c r="BP25" s="107"/>
      <c r="BQ25" s="107"/>
      <c r="BR25" s="107"/>
      <c r="BS25" s="107"/>
      <c r="BT25" s="107"/>
      <c r="BU25" s="107"/>
      <c r="BV25" s="107"/>
      <c r="BW25" s="107"/>
      <c r="BX25" s="121"/>
      <c r="BY25" s="121"/>
      <c r="BZ25" s="121"/>
      <c r="CA25" s="121"/>
      <c r="CB25" s="121"/>
      <c r="CC25" s="39"/>
      <c r="CD25" s="174"/>
      <c r="CE25" s="174"/>
      <c r="CF25" s="174"/>
      <c r="CG25" s="174"/>
      <c r="CH25" s="1435">
        <v>1</v>
      </c>
      <c r="CI25" s="1436"/>
      <c r="CJ25" s="1437"/>
      <c r="CK25" s="174"/>
      <c r="CL25" s="1349">
        <f>DL34+DL37+DL40+CO65+CL65+BS36+(1.7*(DK34+CO64+BT39))</f>
        <v>599.5</v>
      </c>
      <c r="CM25" s="1350"/>
      <c r="CN25" s="1350"/>
      <c r="CO25" s="1350"/>
      <c r="CP25" s="870" t="s">
        <v>133</v>
      </c>
      <c r="CQ25" s="870"/>
      <c r="CR25" s="870"/>
      <c r="CS25" s="871"/>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74"/>
      <c r="AU26" s="1449"/>
      <c r="AV26" s="1450"/>
      <c r="AW26" s="1450"/>
      <c r="AX26" s="1450"/>
      <c r="AY26" s="1453"/>
      <c r="AZ26" s="1453"/>
      <c r="BA26" s="1453"/>
      <c r="BB26" s="1454"/>
      <c r="BC26" s="55">
        <f>+IF(AY25&gt;1,1,0)</f>
        <v>1</v>
      </c>
      <c r="BD26" s="174"/>
      <c r="BE26" s="174"/>
      <c r="BF26" s="174"/>
      <c r="BG26" s="174"/>
      <c r="BH26" s="174"/>
      <c r="BI26" s="177"/>
      <c r="BK26" s="174"/>
      <c r="BL26" s="1"/>
      <c r="BM26" s="174"/>
      <c r="BN26" s="9"/>
      <c r="BO26" s="9"/>
      <c r="BP26" s="107"/>
      <c r="BQ26" s="107"/>
      <c r="BR26" s="107"/>
      <c r="BS26" s="107"/>
      <c r="BT26" s="107"/>
      <c r="BU26" s="107"/>
      <c r="BV26" s="107"/>
      <c r="BW26" s="107"/>
      <c r="BX26" s="121"/>
      <c r="BY26" s="121"/>
      <c r="BZ26" s="121"/>
      <c r="CA26" s="121"/>
      <c r="CB26" s="121"/>
      <c r="CC26" s="39"/>
      <c r="CD26" s="174"/>
      <c r="CE26" s="174"/>
      <c r="CF26" s="174"/>
      <c r="CG26" s="174"/>
      <c r="CH26" s="1438" t="s">
        <v>135</v>
      </c>
      <c r="CI26" s="1438"/>
      <c r="CJ26" s="1438"/>
      <c r="CK26" s="174"/>
      <c r="CL26" s="1351"/>
      <c r="CM26" s="1352"/>
      <c r="CN26" s="1352"/>
      <c r="CO26" s="1352"/>
      <c r="CP26" s="1094"/>
      <c r="CQ26" s="1094"/>
      <c r="CR26" s="1094"/>
      <c r="CS26" s="1095"/>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174"/>
      <c r="BE27" s="174"/>
      <c r="BF27" s="174"/>
      <c r="BG27" s="174"/>
      <c r="BH27" s="174"/>
      <c r="BI27" s="177"/>
      <c r="BK27" s="174"/>
      <c r="BL27" s="1"/>
      <c r="BM27" s="174"/>
      <c r="BN27" s="36"/>
      <c r="BO27" s="9"/>
      <c r="BP27" s="131"/>
      <c r="BQ27" s="131"/>
      <c r="BR27" s="131"/>
      <c r="BS27" s="131"/>
      <c r="BT27" s="131"/>
      <c r="BU27" s="131"/>
      <c r="BV27" s="131"/>
      <c r="BW27" s="131"/>
      <c r="BX27" s="132"/>
      <c r="BY27" s="132"/>
      <c r="BZ27" s="132"/>
      <c r="CA27" s="132"/>
      <c r="CB27" s="132"/>
      <c r="CC27" s="174"/>
      <c r="CD27" s="174"/>
      <c r="CE27" s="174"/>
      <c r="CF27" s="174"/>
      <c r="CG27" s="174"/>
      <c r="CH27" s="1439"/>
      <c r="CI27" s="1439"/>
      <c r="CJ27" s="1439"/>
      <c r="CK27" s="174"/>
      <c r="CL27" s="1334" t="s">
        <v>136</v>
      </c>
      <c r="CM27" s="1334"/>
      <c r="CN27" s="1334"/>
      <c r="CO27" s="1334"/>
      <c r="CP27" s="1334"/>
      <c r="CQ27" s="1334"/>
      <c r="CR27" s="1334"/>
      <c r="CS27" s="133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K28" s="174"/>
      <c r="BL28" s="1"/>
      <c r="BM28" s="174"/>
      <c r="BN28" s="9"/>
      <c r="BO28" s="9"/>
      <c r="BP28" s="131"/>
      <c r="BQ28" s="131"/>
      <c r="BR28" s="131"/>
      <c r="BS28" s="131"/>
      <c r="BT28" s="131"/>
      <c r="BU28" s="131"/>
      <c r="BV28" s="131"/>
      <c r="BW28" s="131"/>
      <c r="BX28" s="132"/>
      <c r="BY28" s="132"/>
      <c r="BZ28" s="132"/>
      <c r="CA28" s="132"/>
      <c r="CB28" s="132"/>
      <c r="CC28" s="174"/>
      <c r="CD28" s="174"/>
      <c r="CE28" s="174"/>
      <c r="CF28" s="174"/>
      <c r="CG28" s="174"/>
      <c r="CH28" s="1439"/>
      <c r="CI28" s="1439"/>
      <c r="CJ28" s="1439"/>
      <c r="CK28" s="174"/>
      <c r="CL28" s="1078">
        <v>1</v>
      </c>
      <c r="CM28" s="1136" t="s">
        <v>137</v>
      </c>
      <c r="CN28" s="1136"/>
      <c r="CO28" s="1077"/>
      <c r="CP28" s="238"/>
      <c r="CQ28" s="238"/>
      <c r="CR28" s="238"/>
      <c r="CS28" s="238"/>
      <c r="CT28" s="174"/>
      <c r="CU28" s="174"/>
      <c r="CV28" s="174"/>
      <c r="CW28" s="174"/>
      <c r="CX28" s="174"/>
      <c r="CY28" s="174"/>
      <c r="CZ28" s="174"/>
      <c r="DA28" s="174"/>
      <c r="DB28" s="39"/>
      <c r="DC28" s="39"/>
      <c r="DD28" s="39"/>
      <c r="DE28" s="174"/>
      <c r="DF28" s="174"/>
      <c r="DG28" s="174"/>
      <c r="DH28" s="174"/>
      <c r="DI28" s="174"/>
      <c r="DJ28" s="174"/>
      <c r="DK28" s="1322">
        <f>SUM(DK31:DK42)/SUM(DK31:DL42)</f>
        <v>1.1541632316570486E-2</v>
      </c>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K29" s="174"/>
      <c r="BL29" s="1"/>
      <c r="BM29" s="174"/>
      <c r="BN29" s="36"/>
      <c r="BO29" s="9"/>
      <c r="BP29" s="107"/>
      <c r="BQ29" s="107"/>
      <c r="BR29" s="107"/>
      <c r="BS29" s="174"/>
      <c r="BT29" s="174"/>
      <c r="BU29" s="107"/>
      <c r="BV29" s="107"/>
      <c r="BW29" s="107"/>
      <c r="BX29" s="133"/>
      <c r="BY29" s="133"/>
      <c r="BZ29" s="133"/>
      <c r="CA29" s="133"/>
      <c r="CB29" s="133"/>
      <c r="CC29" s="174"/>
      <c r="CD29" s="174"/>
      <c r="CE29" s="174"/>
      <c r="CF29" s="174"/>
      <c r="CG29" s="174"/>
      <c r="CH29" s="1439"/>
      <c r="CI29" s="1439"/>
      <c r="CJ29" s="1439"/>
      <c r="CK29" s="174"/>
      <c r="CL29" s="1078"/>
      <c r="CM29" s="1136"/>
      <c r="CN29" s="1136"/>
      <c r="CO29" s="1077"/>
      <c r="CP29" s="238"/>
      <c r="CQ29" s="238"/>
      <c r="CR29" s="238"/>
      <c r="CS29" s="238"/>
      <c r="CT29" s="174"/>
      <c r="CU29" s="174"/>
      <c r="CV29" s="174"/>
      <c r="CW29" s="174"/>
      <c r="CX29" s="174"/>
      <c r="CY29" s="174"/>
      <c r="CZ29" s="174"/>
      <c r="DA29" s="174"/>
      <c r="DB29" s="174"/>
      <c r="DC29" s="174"/>
      <c r="DD29" s="174"/>
      <c r="DE29" s="174"/>
      <c r="DF29" s="174"/>
      <c r="DG29" s="174"/>
      <c r="DH29" s="174"/>
      <c r="DI29" s="174"/>
      <c r="DJ29" s="174"/>
      <c r="DK29" s="1323"/>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K30" s="174"/>
      <c r="BL30" s="1"/>
      <c r="BM30" s="174"/>
      <c r="BN30" s="9"/>
      <c r="BO30" s="9"/>
      <c r="BP30" s="107"/>
      <c r="BQ30" s="107"/>
      <c r="BR30" s="107"/>
      <c r="BS30" s="174"/>
      <c r="BT30" s="174"/>
      <c r="BU30" s="107"/>
      <c r="BV30" s="107"/>
      <c r="BW30" s="107"/>
      <c r="BX30" s="133"/>
      <c r="BY30" s="133"/>
      <c r="BZ30" s="133"/>
      <c r="CA30" s="133"/>
      <c r="CB30" s="133"/>
      <c r="CC30" s="174"/>
      <c r="CD30" s="174"/>
      <c r="CE30" s="174"/>
      <c r="CF30" s="174"/>
      <c r="CG30" s="174"/>
      <c r="CH30" s="1440"/>
      <c r="CI30" s="1440"/>
      <c r="CJ30" s="1440"/>
      <c r="CK30" s="72"/>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324"/>
      <c r="DL30" s="174"/>
      <c r="DM30" s="174"/>
      <c r="DN30" s="174"/>
      <c r="DO30" s="174"/>
      <c r="DP30" s="174"/>
      <c r="DQ30" s="174"/>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325">
        <f>CH24/CL21</f>
        <v>4.523511689776071</v>
      </c>
      <c r="CI31" s="1326"/>
      <c r="CJ31" s="1327"/>
      <c r="CK31" s="174"/>
      <c r="CL31" s="174"/>
      <c r="CM31" s="174"/>
      <c r="CN31" s="174"/>
      <c r="CO31" s="174"/>
      <c r="CP31" s="174"/>
      <c r="CQ31" s="174"/>
      <c r="CR31" s="174"/>
      <c r="CS31" s="174"/>
      <c r="CT31" s="174"/>
      <c r="CU31" s="174"/>
      <c r="CV31" s="1419">
        <f>DD31/DA38</f>
        <v>-1.1817967831744873</v>
      </c>
      <c r="CW31" s="1420"/>
      <c r="CX31" s="1357" t="s">
        <v>135</v>
      </c>
      <c r="CY31" s="1357"/>
      <c r="CZ31" s="1357"/>
      <c r="DA31" s="1357"/>
      <c r="DB31" s="1425"/>
      <c r="DC31" s="1426">
        <v>1</v>
      </c>
      <c r="DD31" s="1429">
        <f>SUM(DN31:DN42)</f>
        <v>1213</v>
      </c>
      <c r="DE31" s="1432" t="s">
        <v>99</v>
      </c>
      <c r="DF31" s="1075"/>
      <c r="DG31" s="1075"/>
      <c r="DH31" s="1075"/>
      <c r="DI31" s="1076"/>
      <c r="DJ31" s="137"/>
      <c r="DK31" s="912">
        <v>5</v>
      </c>
      <c r="DL31" s="1314">
        <f>DN31-DK31</f>
        <v>620</v>
      </c>
      <c r="DM31" s="137"/>
      <c r="DN31" s="1417">
        <f>ROUND('Input Worksheet'!AI30*('Input Worksheet'!AY30+1),0)</f>
        <v>625</v>
      </c>
      <c r="DO31" s="1418" t="s">
        <v>99</v>
      </c>
      <c r="DP31" s="1075"/>
      <c r="DQ31" s="1075"/>
      <c r="DR31" s="1075"/>
      <c r="DS31" s="1076"/>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328"/>
      <c r="CI32" s="1329"/>
      <c r="CJ32" s="1330"/>
      <c r="CK32" s="174"/>
      <c r="CL32" s="174"/>
      <c r="CM32" s="174"/>
      <c r="CN32" s="174"/>
      <c r="CO32" s="174"/>
      <c r="CP32" s="174"/>
      <c r="CQ32" s="174"/>
      <c r="CR32" s="174"/>
      <c r="CS32" s="174"/>
      <c r="CT32" s="174"/>
      <c r="CU32" s="174"/>
      <c r="CV32" s="1421"/>
      <c r="CW32" s="1422"/>
      <c r="CX32" s="1357"/>
      <c r="CY32" s="1357"/>
      <c r="CZ32" s="1357"/>
      <c r="DA32" s="1357"/>
      <c r="DB32" s="1425"/>
      <c r="DC32" s="1427"/>
      <c r="DD32" s="1430"/>
      <c r="DE32" s="1433"/>
      <c r="DF32" s="870"/>
      <c r="DG32" s="870"/>
      <c r="DH32" s="870"/>
      <c r="DI32" s="871"/>
      <c r="DJ32" s="174"/>
      <c r="DK32" s="1082"/>
      <c r="DL32" s="1315"/>
      <c r="DM32" s="174"/>
      <c r="DN32" s="1316"/>
      <c r="DO32" s="1396"/>
      <c r="DP32" s="870"/>
      <c r="DQ32" s="870"/>
      <c r="DR32" s="870"/>
      <c r="DS32" s="871"/>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339" t="s">
        <v>131</v>
      </c>
      <c r="BT33" s="1341" t="s">
        <v>18</v>
      </c>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423"/>
      <c r="CW33" s="1424"/>
      <c r="CX33" s="1357"/>
      <c r="CY33" s="1357"/>
      <c r="CZ33" s="1357"/>
      <c r="DA33" s="1357"/>
      <c r="DB33" s="1425"/>
      <c r="DC33" s="1428"/>
      <c r="DD33" s="1431"/>
      <c r="DE33" s="1434"/>
      <c r="DF33" s="1094"/>
      <c r="DG33" s="1094"/>
      <c r="DH33" s="1094"/>
      <c r="DI33" s="1095"/>
      <c r="DJ33" s="174"/>
      <c r="DK33" s="1082"/>
      <c r="DL33" s="1315"/>
      <c r="DM33" s="174"/>
      <c r="DN33" s="1316"/>
      <c r="DO33" s="1396"/>
      <c r="DP33" s="870"/>
      <c r="DQ33" s="870"/>
      <c r="DR33" s="870"/>
      <c r="DS33" s="871"/>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340"/>
      <c r="BT34" s="1342"/>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082">
        <v>5</v>
      </c>
      <c r="DL34" s="1315">
        <f>DN34-DK34</f>
        <v>-5</v>
      </c>
      <c r="DM34" s="174"/>
      <c r="DN34" s="1316">
        <f>ROUND('Input Worksheet'!AA30*('Input Worksheet'!AY30+1),0)</f>
        <v>0</v>
      </c>
      <c r="DO34" s="1396" t="s">
        <v>99</v>
      </c>
      <c r="DP34" s="870"/>
      <c r="DQ34" s="870"/>
      <c r="DR34" s="870"/>
      <c r="DS34" s="871"/>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340"/>
      <c r="BT35" s="1342"/>
      <c r="BU35" s="174"/>
      <c r="BV35" s="174"/>
      <c r="BW35" s="1378" t="s">
        <v>132</v>
      </c>
      <c r="BX35" s="1379"/>
      <c r="BY35" s="1379"/>
      <c r="BZ35" s="1379"/>
      <c r="CA35" s="1379"/>
      <c r="CB35" s="1379"/>
      <c r="CC35" s="1379"/>
      <c r="CD35" s="1380"/>
      <c r="CE35" s="1411" t="s">
        <v>136</v>
      </c>
      <c r="CF35" s="1412">
        <v>1</v>
      </c>
      <c r="CG35" s="1413"/>
      <c r="CH35" s="174"/>
      <c r="CI35" s="174"/>
      <c r="CJ35" s="174"/>
      <c r="CK35" s="174"/>
      <c r="CL35" s="174"/>
      <c r="CM35" s="174"/>
      <c r="CN35" s="174"/>
      <c r="CO35" s="174"/>
      <c r="CP35" s="174"/>
      <c r="CQ35" s="174"/>
      <c r="CR35" s="174"/>
      <c r="CS35" s="174"/>
      <c r="CT35" s="174"/>
      <c r="CU35" s="174"/>
      <c r="CV35" s="174"/>
      <c r="CW35" s="174"/>
      <c r="CX35" s="222"/>
      <c r="CY35" s="222"/>
      <c r="CZ35" s="1416" t="s">
        <v>136</v>
      </c>
      <c r="DA35" s="1378" t="s">
        <v>132</v>
      </c>
      <c r="DB35" s="1379"/>
      <c r="DC35" s="1379"/>
      <c r="DD35" s="1379"/>
      <c r="DE35" s="1379"/>
      <c r="DF35" s="1379"/>
      <c r="DG35" s="1379"/>
      <c r="DH35" s="1380"/>
      <c r="DI35" s="174"/>
      <c r="DJ35" s="174"/>
      <c r="DK35" s="1082"/>
      <c r="DL35" s="1315"/>
      <c r="DM35" s="174"/>
      <c r="DN35" s="1316"/>
      <c r="DO35" s="1396"/>
      <c r="DP35" s="870"/>
      <c r="DQ35" s="870"/>
      <c r="DR35" s="870"/>
      <c r="DS35" s="871"/>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084"/>
      <c r="BM36" s="1075"/>
      <c r="BN36" s="1075"/>
      <c r="BO36" s="1075"/>
      <c r="BP36" s="1406" t="s">
        <v>99</v>
      </c>
      <c r="BQ36" s="1341">
        <f>ROUND('Input Worksheet'!K28*('Input Worksheet'!AY28+1),0)</f>
        <v>0</v>
      </c>
      <c r="BR36" s="174"/>
      <c r="BS36" s="1337">
        <f>BQ36-BT36</f>
        <v>0</v>
      </c>
      <c r="BT36" s="1081">
        <v>0</v>
      </c>
      <c r="BU36" s="174"/>
      <c r="BV36" s="174"/>
      <c r="BW36" s="1381"/>
      <c r="BX36" s="1382"/>
      <c r="BY36" s="1382"/>
      <c r="BZ36" s="1382"/>
      <c r="CA36" s="1382"/>
      <c r="CB36" s="1382"/>
      <c r="CC36" s="1382"/>
      <c r="CD36" s="1383"/>
      <c r="CE36" s="1411"/>
      <c r="CF36" s="1414"/>
      <c r="CG36" s="1415"/>
      <c r="CH36" s="174"/>
      <c r="CI36" s="174"/>
      <c r="CJ36" s="174"/>
      <c r="CK36" s="174"/>
      <c r="CL36" s="174"/>
      <c r="CM36" s="174"/>
      <c r="CN36" s="174"/>
      <c r="CO36" s="174"/>
      <c r="CP36" s="174"/>
      <c r="CQ36" s="174"/>
      <c r="CR36" s="174"/>
      <c r="CS36" s="174"/>
      <c r="CT36" s="174"/>
      <c r="CU36" s="174"/>
      <c r="CV36" s="174"/>
      <c r="CW36" s="174"/>
      <c r="CX36" s="222"/>
      <c r="CY36" s="222"/>
      <c r="CZ36" s="1416"/>
      <c r="DA36" s="1381"/>
      <c r="DB36" s="1382"/>
      <c r="DC36" s="1382"/>
      <c r="DD36" s="1382"/>
      <c r="DE36" s="1382"/>
      <c r="DF36" s="1382"/>
      <c r="DG36" s="1382"/>
      <c r="DH36" s="1383"/>
      <c r="DI36" s="174"/>
      <c r="DJ36" s="174"/>
      <c r="DK36" s="1082"/>
      <c r="DL36" s="1315"/>
      <c r="DM36" s="174"/>
      <c r="DN36" s="1316"/>
      <c r="DO36" s="1396"/>
      <c r="DP36" s="870"/>
      <c r="DQ36" s="870"/>
      <c r="DR36" s="870"/>
      <c r="DS36" s="871"/>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869"/>
      <c r="BM37" s="870"/>
      <c r="BN37" s="870"/>
      <c r="BO37" s="870"/>
      <c r="BP37" s="1387"/>
      <c r="BQ37" s="1342"/>
      <c r="BR37" s="174"/>
      <c r="BS37" s="1337"/>
      <c r="BT37" s="1081"/>
      <c r="BU37" s="174"/>
      <c r="BV37" s="174"/>
      <c r="BW37" s="1384"/>
      <c r="BX37" s="1385"/>
      <c r="BY37" s="1385"/>
      <c r="BZ37" s="1385"/>
      <c r="CA37" s="1385"/>
      <c r="CB37" s="1385"/>
      <c r="CC37" s="1385"/>
      <c r="CD37" s="1386"/>
      <c r="CE37" s="1411"/>
      <c r="CF37" s="1407" t="s">
        <v>137</v>
      </c>
      <c r="CG37" s="1408"/>
      <c r="CH37" s="174"/>
      <c r="CI37" s="174"/>
      <c r="CJ37" s="174"/>
      <c r="CK37" s="174"/>
      <c r="CL37" s="174"/>
      <c r="CM37" s="174"/>
      <c r="CN37" s="174"/>
      <c r="CO37" s="174"/>
      <c r="CP37" s="174"/>
      <c r="CQ37" s="174"/>
      <c r="CR37" s="174"/>
      <c r="CS37" s="174"/>
      <c r="CT37" s="174"/>
      <c r="CU37" s="174"/>
      <c r="CV37" s="174"/>
      <c r="CW37" s="174"/>
      <c r="CX37" s="222"/>
      <c r="CY37" s="222"/>
      <c r="CZ37" s="1416"/>
      <c r="DA37" s="1384"/>
      <c r="DB37" s="1385"/>
      <c r="DC37" s="1385"/>
      <c r="DD37" s="1385"/>
      <c r="DE37" s="1385"/>
      <c r="DF37" s="1385"/>
      <c r="DG37" s="1385"/>
      <c r="DH37" s="1386"/>
      <c r="DI37" s="174"/>
      <c r="DJ37" s="174"/>
      <c r="DK37" s="1082">
        <v>4</v>
      </c>
      <c r="DL37" s="1315">
        <f>DN37-DK37</f>
        <v>584</v>
      </c>
      <c r="DM37" s="174"/>
      <c r="DN37" s="1316">
        <f>ROUND('Input Worksheet'!S30*('Input Worksheet'!AY30+1),0)</f>
        <v>588</v>
      </c>
      <c r="DO37" s="1396" t="s">
        <v>99</v>
      </c>
      <c r="DP37" s="870"/>
      <c r="DQ37" s="870"/>
      <c r="DR37" s="870"/>
      <c r="DS37" s="871"/>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869"/>
      <c r="BM38" s="870"/>
      <c r="BN38" s="870"/>
      <c r="BO38" s="870"/>
      <c r="BP38" s="1387"/>
      <c r="BQ38" s="1342"/>
      <c r="BR38" s="174"/>
      <c r="BS38" s="1337"/>
      <c r="BT38" s="1081"/>
      <c r="BU38" s="174"/>
      <c r="BV38" s="174"/>
      <c r="BW38" s="1349">
        <f>1020-0.944*BW42</f>
        <v>-1487.5472</v>
      </c>
      <c r="BX38" s="1350"/>
      <c r="BY38" s="1350"/>
      <c r="BZ38" s="1350"/>
      <c r="CA38" s="870" t="s">
        <v>133</v>
      </c>
      <c r="CB38" s="870"/>
      <c r="CC38" s="870"/>
      <c r="CD38" s="871"/>
      <c r="CE38" s="1411"/>
      <c r="CF38" s="1407"/>
      <c r="CG38" s="1408"/>
      <c r="CH38" s="174"/>
      <c r="CI38" s="174"/>
      <c r="CJ38" s="174"/>
      <c r="CK38" s="174"/>
      <c r="CL38" s="174"/>
      <c r="CM38" s="174"/>
      <c r="CN38" s="174"/>
      <c r="CO38" s="174"/>
      <c r="CP38" s="174"/>
      <c r="CQ38" s="174"/>
      <c r="CR38" s="174"/>
      <c r="CS38" s="174"/>
      <c r="CT38" s="174"/>
      <c r="CU38" s="174"/>
      <c r="CV38" s="174"/>
      <c r="CW38" s="174"/>
      <c r="CX38" s="222"/>
      <c r="CY38" s="222"/>
      <c r="CZ38" s="1416"/>
      <c r="DA38" s="1349">
        <f>1020-0.944*DA42</f>
        <v>-1026.4032</v>
      </c>
      <c r="DB38" s="1350"/>
      <c r="DC38" s="1350"/>
      <c r="DD38" s="1350"/>
      <c r="DE38" s="870" t="s">
        <v>133</v>
      </c>
      <c r="DF38" s="870"/>
      <c r="DG38" s="870"/>
      <c r="DH38" s="871"/>
      <c r="DI38" s="174"/>
      <c r="DJ38" s="174"/>
      <c r="DK38" s="1082"/>
      <c r="DL38" s="1315"/>
      <c r="DM38" s="174"/>
      <c r="DN38" s="1316"/>
      <c r="DO38" s="1396"/>
      <c r="DP38" s="870"/>
      <c r="DQ38" s="870"/>
      <c r="DR38" s="870"/>
      <c r="DS38" s="871"/>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869"/>
      <c r="BM39" s="870"/>
      <c r="BN39" s="870"/>
      <c r="BO39" s="870"/>
      <c r="BP39" s="1387" t="s">
        <v>99</v>
      </c>
      <c r="BQ39" s="1342">
        <f>ROUND('Input Worksheet'!S28*('Input Worksheet'!AY28+1),0)</f>
        <v>899</v>
      </c>
      <c r="BR39" s="174"/>
      <c r="BS39" s="1337">
        <f>BQ39-BT39</f>
        <v>894</v>
      </c>
      <c r="BT39" s="1081">
        <v>5</v>
      </c>
      <c r="BU39" s="174"/>
      <c r="BV39" s="174"/>
      <c r="BW39" s="1349"/>
      <c r="BX39" s="1350"/>
      <c r="BY39" s="1350"/>
      <c r="BZ39" s="1350"/>
      <c r="CA39" s="870"/>
      <c r="CB39" s="870"/>
      <c r="CC39" s="870"/>
      <c r="CD39" s="871"/>
      <c r="CE39" s="1411"/>
      <c r="CF39" s="1409"/>
      <c r="CG39" s="1410"/>
      <c r="CH39" s="174"/>
      <c r="CI39" s="174"/>
      <c r="CJ39" s="174"/>
      <c r="CK39" s="174"/>
      <c r="CL39" s="174"/>
      <c r="CM39" s="174"/>
      <c r="CN39" s="174"/>
      <c r="CO39" s="174"/>
      <c r="CP39" s="174"/>
      <c r="CQ39" s="174"/>
      <c r="CR39" s="174"/>
      <c r="CS39" s="174"/>
      <c r="CT39" s="174"/>
      <c r="CU39" s="174"/>
      <c r="CV39" s="174"/>
      <c r="CW39" s="174"/>
      <c r="CX39" s="1402" t="s">
        <v>137</v>
      </c>
      <c r="CY39" s="1403"/>
      <c r="CZ39" s="1416"/>
      <c r="DA39" s="1349"/>
      <c r="DB39" s="1350"/>
      <c r="DC39" s="1350"/>
      <c r="DD39" s="1350"/>
      <c r="DE39" s="870"/>
      <c r="DF39" s="870"/>
      <c r="DG39" s="870"/>
      <c r="DH39" s="871"/>
      <c r="DI39" s="174"/>
      <c r="DJ39" s="174"/>
      <c r="DK39" s="1082"/>
      <c r="DL39" s="1315"/>
      <c r="DM39" s="174"/>
      <c r="DN39" s="1316"/>
      <c r="DO39" s="1396"/>
      <c r="DP39" s="870"/>
      <c r="DQ39" s="870"/>
      <c r="DR39" s="870"/>
      <c r="DS39" s="871"/>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869"/>
      <c r="BM40" s="870"/>
      <c r="BN40" s="870"/>
      <c r="BO40" s="870"/>
      <c r="BP40" s="1387"/>
      <c r="BQ40" s="1342"/>
      <c r="BR40" s="174"/>
      <c r="BS40" s="1337"/>
      <c r="BT40" s="1081"/>
      <c r="BU40" s="174"/>
      <c r="BV40" s="174"/>
      <c r="BW40" s="1343" t="s">
        <v>134</v>
      </c>
      <c r="BX40" s="1344"/>
      <c r="BY40" s="1344"/>
      <c r="BZ40" s="1344"/>
      <c r="CA40" s="1344"/>
      <c r="CB40" s="1344"/>
      <c r="CC40" s="1344"/>
      <c r="CD40" s="1345"/>
      <c r="CE40" s="1411"/>
      <c r="CF40" s="222"/>
      <c r="CG40" s="222"/>
      <c r="CH40" s="174"/>
      <c r="CI40" s="174"/>
      <c r="CJ40" s="174"/>
      <c r="CK40" s="174"/>
      <c r="CL40" s="174"/>
      <c r="CM40" s="174"/>
      <c r="CN40" s="174"/>
      <c r="CO40" s="174"/>
      <c r="CP40" s="174"/>
      <c r="CQ40" s="174"/>
      <c r="CR40" s="174"/>
      <c r="CS40" s="174"/>
      <c r="CT40" s="174"/>
      <c r="CU40" s="174"/>
      <c r="CV40" s="174"/>
      <c r="CW40" s="174"/>
      <c r="CX40" s="1404"/>
      <c r="CY40" s="1405"/>
      <c r="CZ40" s="1416"/>
      <c r="DA40" s="1343" t="s">
        <v>134</v>
      </c>
      <c r="DB40" s="1344"/>
      <c r="DC40" s="1344"/>
      <c r="DD40" s="1344"/>
      <c r="DE40" s="1344"/>
      <c r="DF40" s="1344"/>
      <c r="DG40" s="1344"/>
      <c r="DH40" s="1345"/>
      <c r="DI40" s="174"/>
      <c r="DJ40" s="174"/>
      <c r="DK40" s="1082">
        <v>0</v>
      </c>
      <c r="DL40" s="1315">
        <f>DN40-DK40</f>
        <v>0</v>
      </c>
      <c r="DM40" s="174"/>
      <c r="DN40" s="1316">
        <f>ROUND('Input Worksheet'!K30*('Input Worksheet'!AY30+1),0)</f>
        <v>0</v>
      </c>
      <c r="DO40" s="1396" t="s">
        <v>99</v>
      </c>
      <c r="DP40" s="870"/>
      <c r="DQ40" s="870"/>
      <c r="DR40" s="870"/>
      <c r="DS40" s="871"/>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869"/>
      <c r="BM41" s="870"/>
      <c r="BN41" s="870"/>
      <c r="BO41" s="870"/>
      <c r="BP41" s="1387"/>
      <c r="BQ41" s="1342"/>
      <c r="BR41" s="174"/>
      <c r="BS41" s="1337"/>
      <c r="BT41" s="1081"/>
      <c r="BU41" s="174"/>
      <c r="BV41" s="174"/>
      <c r="BW41" s="1346"/>
      <c r="BX41" s="1347"/>
      <c r="BY41" s="1347"/>
      <c r="BZ41" s="1347"/>
      <c r="CA41" s="1347"/>
      <c r="CB41" s="1347"/>
      <c r="CC41" s="1347"/>
      <c r="CD41" s="1348"/>
      <c r="CE41" s="1411"/>
      <c r="CF41" s="222"/>
      <c r="CG41" s="222"/>
      <c r="CH41" s="174"/>
      <c r="CI41" s="174"/>
      <c r="CJ41" s="174"/>
      <c r="CK41" s="174"/>
      <c r="CL41" s="174"/>
      <c r="CM41" s="174"/>
      <c r="CN41" s="174"/>
      <c r="CO41" s="174"/>
      <c r="CP41" s="174"/>
      <c r="CQ41" s="174"/>
      <c r="CR41" s="174"/>
      <c r="CS41" s="174"/>
      <c r="CT41" s="174"/>
      <c r="CU41" s="174"/>
      <c r="CV41" s="174"/>
      <c r="CW41" s="174"/>
      <c r="CX41" s="1404"/>
      <c r="CY41" s="1405"/>
      <c r="CZ41" s="1416"/>
      <c r="DA41" s="1346"/>
      <c r="DB41" s="1347"/>
      <c r="DC41" s="1347"/>
      <c r="DD41" s="1347"/>
      <c r="DE41" s="1347"/>
      <c r="DF41" s="1347"/>
      <c r="DG41" s="1347"/>
      <c r="DH41" s="1348"/>
      <c r="DI41" s="174"/>
      <c r="DJ41" s="174"/>
      <c r="DK41" s="1082"/>
      <c r="DL41" s="1315"/>
      <c r="DM41" s="174"/>
      <c r="DN41" s="1316"/>
      <c r="DO41" s="1396"/>
      <c r="DP41" s="870"/>
      <c r="DQ41" s="870"/>
      <c r="DR41" s="870"/>
      <c r="DS41" s="871"/>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869"/>
      <c r="BM42" s="870"/>
      <c r="BN42" s="870"/>
      <c r="BO42" s="870"/>
      <c r="BP42" s="1387" t="s">
        <v>99</v>
      </c>
      <c r="BQ42" s="1342">
        <f>ROUND('Input Worksheet'!AA28*('Input Worksheet'!AY28+1),0)</f>
        <v>0</v>
      </c>
      <c r="BR42" s="174"/>
      <c r="BS42" s="1337">
        <f>BQ42-BT42</f>
        <v>-10</v>
      </c>
      <c r="BT42" s="1081">
        <v>10</v>
      </c>
      <c r="BU42" s="174"/>
      <c r="BV42" s="174"/>
      <c r="BW42" s="1349">
        <f>(CK14+CN14+CQ14+DL37+DL40+CL65)+(1.7*(CO64+DK37+CK15))</f>
        <v>2656.3</v>
      </c>
      <c r="BX42" s="1350"/>
      <c r="BY42" s="1350"/>
      <c r="BZ42" s="1350"/>
      <c r="CA42" s="870" t="s">
        <v>133</v>
      </c>
      <c r="CB42" s="870"/>
      <c r="CC42" s="870"/>
      <c r="CD42" s="871"/>
      <c r="CE42" s="1411"/>
      <c r="CF42" s="222"/>
      <c r="CG42" s="222"/>
      <c r="CH42" s="174"/>
      <c r="CI42" s="174"/>
      <c r="CJ42" s="174"/>
      <c r="CK42" s="174"/>
      <c r="CL42" s="174"/>
      <c r="CM42" s="174"/>
      <c r="CN42" s="174"/>
      <c r="CO42" s="174"/>
      <c r="CP42" s="174"/>
      <c r="CQ42" s="174"/>
      <c r="CR42" s="174"/>
      <c r="CS42" s="174"/>
      <c r="CT42" s="174"/>
      <c r="CU42" s="174"/>
      <c r="CV42" s="174"/>
      <c r="CW42" s="174"/>
      <c r="CX42" s="1398">
        <v>1</v>
      </c>
      <c r="CY42" s="1399"/>
      <c r="CZ42" s="1416"/>
      <c r="DA42" s="1349">
        <f>CL65+CO65+CR65+CQ14+BS39+BS36+(1.7*(CR64+BT39+CN15))</f>
        <v>2167.8000000000002</v>
      </c>
      <c r="DB42" s="1350"/>
      <c r="DC42" s="1350"/>
      <c r="DD42" s="1350"/>
      <c r="DE42" s="870" t="s">
        <v>133</v>
      </c>
      <c r="DF42" s="870"/>
      <c r="DG42" s="870"/>
      <c r="DH42" s="871"/>
      <c r="DI42" s="174"/>
      <c r="DJ42" s="174"/>
      <c r="DK42" s="1082"/>
      <c r="DL42" s="1315"/>
      <c r="DM42" s="174"/>
      <c r="DN42" s="1317"/>
      <c r="DO42" s="1397"/>
      <c r="DP42" s="1094"/>
      <c r="DQ42" s="1094"/>
      <c r="DR42" s="1094"/>
      <c r="DS42" s="1095"/>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869"/>
      <c r="BM43" s="870"/>
      <c r="BN43" s="870"/>
      <c r="BO43" s="870"/>
      <c r="BP43" s="1387"/>
      <c r="BQ43" s="1342"/>
      <c r="BR43" s="174"/>
      <c r="BS43" s="1337"/>
      <c r="BT43" s="1081"/>
      <c r="BU43" s="174"/>
      <c r="BV43" s="174"/>
      <c r="BW43" s="1351"/>
      <c r="BX43" s="1352"/>
      <c r="BY43" s="1352"/>
      <c r="BZ43" s="1352"/>
      <c r="CA43" s="1094"/>
      <c r="CB43" s="1094"/>
      <c r="CC43" s="1094"/>
      <c r="CD43" s="1095"/>
      <c r="CE43" s="1411"/>
      <c r="CF43" s="222"/>
      <c r="CG43" s="222"/>
      <c r="CH43" s="174"/>
      <c r="CI43" s="174"/>
      <c r="CJ43" s="174"/>
      <c r="CK43" s="174"/>
      <c r="CL43" s="174"/>
      <c r="CM43" s="174"/>
      <c r="CN43" s="174"/>
      <c r="CO43" s="174"/>
      <c r="CP43" s="174"/>
      <c r="CQ43" s="174"/>
      <c r="CR43" s="174"/>
      <c r="CS43" s="174"/>
      <c r="CT43" s="174"/>
      <c r="CU43" s="174"/>
      <c r="CV43" s="174"/>
      <c r="CW43" s="174"/>
      <c r="CX43" s="1400"/>
      <c r="CY43" s="1401"/>
      <c r="CZ43" s="1416"/>
      <c r="DA43" s="1351"/>
      <c r="DB43" s="1352"/>
      <c r="DC43" s="1352"/>
      <c r="DD43" s="1352"/>
      <c r="DE43" s="1094"/>
      <c r="DF43" s="1094"/>
      <c r="DG43" s="1094"/>
      <c r="DH43" s="1095"/>
      <c r="DI43" s="174"/>
      <c r="DJ43" s="174"/>
      <c r="DK43" s="1316" t="s">
        <v>18</v>
      </c>
      <c r="DL43" s="1318" t="s">
        <v>131</v>
      </c>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869"/>
      <c r="BM44" s="870"/>
      <c r="BN44" s="870"/>
      <c r="BO44" s="870"/>
      <c r="BP44" s="1387"/>
      <c r="BQ44" s="1342"/>
      <c r="BR44" s="174"/>
      <c r="BS44" s="1337"/>
      <c r="BT44" s="1081"/>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316"/>
      <c r="DL44" s="1318"/>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869"/>
      <c r="BM45" s="870"/>
      <c r="BN45" s="870"/>
      <c r="BO45" s="870"/>
      <c r="BP45" s="1387" t="s">
        <v>99</v>
      </c>
      <c r="BQ45" s="1342">
        <f>ROUND('Input Worksheet'!AI28*('Input Worksheet'!AY28+1),0)</f>
        <v>208</v>
      </c>
      <c r="BR45" s="174"/>
      <c r="BS45" s="1337">
        <f>BQ45-BT45</f>
        <v>208</v>
      </c>
      <c r="BT45" s="1081">
        <v>0</v>
      </c>
      <c r="BU45" s="174"/>
      <c r="BV45" s="1084"/>
      <c r="BW45" s="1075"/>
      <c r="BX45" s="1075"/>
      <c r="BY45" s="1075"/>
      <c r="BZ45" s="1390" t="s">
        <v>99</v>
      </c>
      <c r="CA45" s="1393">
        <f>SUM(BS36:BS47)+(1.7*(SUM(BT36:BT47)))</f>
        <v>1117.5</v>
      </c>
      <c r="CB45" s="1353">
        <v>1</v>
      </c>
      <c r="CC45" s="1356" t="s">
        <v>135</v>
      </c>
      <c r="CD45" s="1357"/>
      <c r="CE45" s="1357"/>
      <c r="CF45" s="1357"/>
      <c r="CG45" s="1358"/>
      <c r="CH45" s="1359">
        <f>CA45/BW38</f>
        <v>-0.75123666664156941</v>
      </c>
      <c r="CI45" s="1360"/>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317"/>
      <c r="DL45" s="1319"/>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869"/>
      <c r="BM46" s="870"/>
      <c r="BN46" s="870"/>
      <c r="BO46" s="870"/>
      <c r="BP46" s="1387"/>
      <c r="BQ46" s="1342"/>
      <c r="BR46" s="174"/>
      <c r="BS46" s="1337"/>
      <c r="BT46" s="1081"/>
      <c r="BU46" s="174"/>
      <c r="BV46" s="869"/>
      <c r="BW46" s="870"/>
      <c r="BX46" s="870"/>
      <c r="BY46" s="870"/>
      <c r="BZ46" s="1391"/>
      <c r="CA46" s="1394"/>
      <c r="CB46" s="1354"/>
      <c r="CC46" s="1356"/>
      <c r="CD46" s="1357"/>
      <c r="CE46" s="1357"/>
      <c r="CF46" s="1357"/>
      <c r="CG46" s="1358"/>
      <c r="CH46" s="1361"/>
      <c r="CI46" s="1362"/>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106"/>
      <c r="BM47" s="1094"/>
      <c r="BN47" s="1094"/>
      <c r="BO47" s="1094"/>
      <c r="BP47" s="1388"/>
      <c r="BQ47" s="1389"/>
      <c r="BR47" s="12"/>
      <c r="BS47" s="1338"/>
      <c r="BT47" s="1110"/>
      <c r="BU47" s="136"/>
      <c r="BV47" s="1106"/>
      <c r="BW47" s="1094"/>
      <c r="BX47" s="1094"/>
      <c r="BY47" s="1094"/>
      <c r="BZ47" s="1392"/>
      <c r="CA47" s="1395"/>
      <c r="CB47" s="1355"/>
      <c r="CC47" s="1356"/>
      <c r="CD47" s="1357"/>
      <c r="CE47" s="1357"/>
      <c r="CF47" s="1357"/>
      <c r="CG47" s="1358"/>
      <c r="CH47" s="1363"/>
      <c r="CI47" s="1364"/>
      <c r="CJ47" s="174"/>
      <c r="CK47" s="174"/>
      <c r="CL47" s="174"/>
      <c r="CM47" s="174"/>
      <c r="CN47" s="174"/>
      <c r="CO47" s="174"/>
      <c r="CP47" s="174"/>
      <c r="CQ47" s="174"/>
      <c r="CR47" s="174"/>
      <c r="CS47" s="174"/>
      <c r="CT47" s="174"/>
      <c r="CU47" s="1325">
        <f>CU55/CL56</f>
        <v>-5.8502182736611079</v>
      </c>
      <c r="CV47" s="1326"/>
      <c r="CW47" s="1327"/>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305">
        <f>SUM(BT36:BT47)/(SUM(BS36:BT47))</f>
        <v>1.3550135501355014E-2</v>
      </c>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328"/>
      <c r="CV48" s="1329"/>
      <c r="CW48" s="1330"/>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306"/>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72"/>
      <c r="CU49" s="1331" t="s">
        <v>135</v>
      </c>
      <c r="CV49" s="1331"/>
      <c r="CW49" s="1331"/>
      <c r="CX49" s="174"/>
      <c r="CY49" s="174"/>
      <c r="CZ49" s="174"/>
      <c r="DA49" s="174"/>
      <c r="DB49" s="39"/>
      <c r="DC49" s="39"/>
      <c r="DD49" s="39"/>
      <c r="DE49" s="39"/>
      <c r="DF49" s="39"/>
      <c r="DG49" s="39"/>
      <c r="DH49" s="39"/>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307"/>
      <c r="BU50" s="174"/>
      <c r="BV50" s="174"/>
      <c r="BW50" s="174"/>
      <c r="BX50" s="174"/>
      <c r="BY50" s="174"/>
      <c r="BZ50" s="174"/>
      <c r="CA50" s="174"/>
      <c r="CB50" s="174"/>
      <c r="CC50" s="174"/>
      <c r="CD50" s="174"/>
      <c r="CE50" s="174"/>
      <c r="CF50" s="174"/>
      <c r="CG50" s="174"/>
      <c r="CH50" s="174"/>
      <c r="CI50" s="174"/>
      <c r="CJ50" s="174"/>
      <c r="CK50" s="174"/>
      <c r="CL50" s="1078">
        <v>1</v>
      </c>
      <c r="CM50" s="1136" t="s">
        <v>137</v>
      </c>
      <c r="CN50" s="1136"/>
      <c r="CO50" s="1077"/>
      <c r="CP50" s="238"/>
      <c r="CQ50" s="238"/>
      <c r="CR50" s="238"/>
      <c r="CS50" s="238"/>
      <c r="CT50" s="174"/>
      <c r="CU50" s="1332"/>
      <c r="CV50" s="1332"/>
      <c r="CW50" s="1332"/>
      <c r="CX50" s="174"/>
      <c r="CY50" s="174"/>
      <c r="CZ50" s="174"/>
      <c r="DA50" s="174"/>
      <c r="DB50" s="39"/>
      <c r="DC50" s="39"/>
      <c r="DD50" s="39"/>
      <c r="DE50" s="39"/>
      <c r="DF50" s="39"/>
      <c r="DG50" s="39"/>
      <c r="DH50" s="39"/>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61"/>
      <c r="BW51" s="161"/>
      <c r="BX51" s="161"/>
      <c r="BY51" s="174"/>
      <c r="BZ51" s="174"/>
      <c r="CA51" s="174"/>
      <c r="CB51" s="174"/>
      <c r="CC51" s="174"/>
      <c r="CD51" s="174"/>
      <c r="CE51" s="174"/>
      <c r="CF51" s="174"/>
      <c r="CG51" s="174"/>
      <c r="CH51" s="174"/>
      <c r="CI51" s="174"/>
      <c r="CJ51" s="174"/>
      <c r="CK51" s="174"/>
      <c r="CL51" s="1078"/>
      <c r="CM51" s="1136"/>
      <c r="CN51" s="1136"/>
      <c r="CO51" s="1077"/>
      <c r="CP51" s="238"/>
      <c r="CQ51" s="238"/>
      <c r="CR51" s="238"/>
      <c r="CS51" s="238"/>
      <c r="CT51" s="174"/>
      <c r="CU51" s="1332"/>
      <c r="CV51" s="1332"/>
      <c r="CW51" s="1332"/>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61"/>
      <c r="BW52" s="161"/>
      <c r="BX52" s="161"/>
      <c r="BY52" s="174"/>
      <c r="BZ52" s="174"/>
      <c r="CA52" s="174"/>
      <c r="CB52" s="174"/>
      <c r="CC52" s="174"/>
      <c r="CD52" s="174"/>
      <c r="CE52" s="174"/>
      <c r="CF52" s="174"/>
      <c r="CG52" s="174"/>
      <c r="CH52" s="174"/>
      <c r="CI52" s="174"/>
      <c r="CJ52" s="174"/>
      <c r="CK52" s="174"/>
      <c r="CL52" s="1334" t="s">
        <v>136</v>
      </c>
      <c r="CM52" s="1334"/>
      <c r="CN52" s="1334"/>
      <c r="CO52" s="1334"/>
      <c r="CP52" s="1334"/>
      <c r="CQ52" s="1334"/>
      <c r="CR52" s="1334"/>
      <c r="CS52" s="1334"/>
      <c r="CT52" s="174"/>
      <c r="CU52" s="1332"/>
      <c r="CV52" s="1332"/>
      <c r="CW52" s="1332"/>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378" t="s">
        <v>132</v>
      </c>
      <c r="CM53" s="1379"/>
      <c r="CN53" s="1379"/>
      <c r="CO53" s="1379"/>
      <c r="CP53" s="1379"/>
      <c r="CQ53" s="1379"/>
      <c r="CR53" s="1379"/>
      <c r="CS53" s="1380"/>
      <c r="CT53" s="174"/>
      <c r="CU53" s="1333"/>
      <c r="CV53" s="1333"/>
      <c r="CW53" s="1333"/>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381"/>
      <c r="CM54" s="1382"/>
      <c r="CN54" s="1382"/>
      <c r="CO54" s="1382"/>
      <c r="CP54" s="1382"/>
      <c r="CQ54" s="1382"/>
      <c r="CR54" s="1382"/>
      <c r="CS54" s="1383"/>
      <c r="CT54" s="174"/>
      <c r="CU54" s="1369">
        <v>1</v>
      </c>
      <c r="CV54" s="1370"/>
      <c r="CW54" s="1371"/>
      <c r="CX54" s="174"/>
      <c r="CY54" s="174"/>
      <c r="CZ54" s="174"/>
      <c r="DA54" s="174"/>
      <c r="DB54" s="174"/>
      <c r="DC54" s="174"/>
      <c r="DD54" s="174"/>
      <c r="DE54" s="174"/>
      <c r="DF54" s="154"/>
      <c r="DG54" s="154"/>
      <c r="DH54" s="155"/>
      <c r="DI54" s="155"/>
      <c r="DJ54" s="155"/>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384"/>
      <c r="CM55" s="1385"/>
      <c r="CN55" s="1385"/>
      <c r="CO55" s="1385"/>
      <c r="CP55" s="1385"/>
      <c r="CQ55" s="1385"/>
      <c r="CR55" s="1385"/>
      <c r="CS55" s="1386"/>
      <c r="CT55" s="174"/>
      <c r="CU55" s="1372">
        <f>SUM(CL67:CW67)</f>
        <v>2320</v>
      </c>
      <c r="CV55" s="1373"/>
      <c r="CW55" s="1374"/>
      <c r="CX55" s="174"/>
      <c r="CY55" s="174"/>
      <c r="CZ55" s="174"/>
      <c r="DA55" s="174"/>
      <c r="DB55" s="174"/>
      <c r="DC55" s="174"/>
      <c r="DD55" s="174"/>
      <c r="DE55" s="174"/>
      <c r="DF55" s="154"/>
      <c r="DG55" s="154"/>
      <c r="DH55" s="155"/>
      <c r="DI55" s="155"/>
      <c r="DJ55" s="155"/>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6"/>
      <c r="BN56" s="6"/>
      <c r="BO56" s="6"/>
      <c r="BP56" s="6"/>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349">
        <f>1020-0.944*CL60</f>
        <v>-396.56639999999993</v>
      </c>
      <c r="CM56" s="1350"/>
      <c r="CN56" s="1350"/>
      <c r="CO56" s="1350"/>
      <c r="CP56" s="870" t="s">
        <v>133</v>
      </c>
      <c r="CQ56" s="870"/>
      <c r="CR56" s="870"/>
      <c r="CS56" s="871"/>
      <c r="CT56" s="174"/>
      <c r="CU56" s="1375" t="s">
        <v>99</v>
      </c>
      <c r="CV56" s="1376"/>
      <c r="CW56" s="1377"/>
      <c r="CX56" s="174"/>
      <c r="CY56" s="174"/>
      <c r="CZ56" s="174"/>
      <c r="DA56" s="174"/>
      <c r="DB56" s="174"/>
      <c r="DC56" s="174"/>
      <c r="DD56" s="174"/>
      <c r="DE56" s="174"/>
      <c r="DF56" s="154"/>
      <c r="DG56" s="154"/>
      <c r="DH56" s="155"/>
      <c r="DI56" s="155"/>
      <c r="DJ56" s="155"/>
      <c r="DK56" s="155"/>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349"/>
      <c r="CM57" s="1350"/>
      <c r="CN57" s="1350"/>
      <c r="CO57" s="1350"/>
      <c r="CP57" s="870"/>
      <c r="CQ57" s="870"/>
      <c r="CR57" s="870"/>
      <c r="CS57" s="871"/>
      <c r="CT57" s="174"/>
      <c r="CU57" s="1053"/>
      <c r="CV57" s="1054"/>
      <c r="CW57" s="1058"/>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343" t="s">
        <v>134</v>
      </c>
      <c r="CM58" s="1344"/>
      <c r="CN58" s="1344"/>
      <c r="CO58" s="1344"/>
      <c r="CP58" s="1344"/>
      <c r="CQ58" s="1344"/>
      <c r="CR58" s="1344"/>
      <c r="CS58" s="1345"/>
      <c r="CT58" s="174"/>
      <c r="CU58" s="1053"/>
      <c r="CV58" s="1054"/>
      <c r="CW58" s="1058"/>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346"/>
      <c r="CM59" s="1347"/>
      <c r="CN59" s="1347"/>
      <c r="CO59" s="1347"/>
      <c r="CP59" s="1347"/>
      <c r="CQ59" s="1347"/>
      <c r="CR59" s="1347"/>
      <c r="CS59" s="1348"/>
      <c r="CT59" s="174"/>
      <c r="CU59" s="1053"/>
      <c r="CV59" s="1054"/>
      <c r="CW59" s="1058"/>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thickBot="1">
      <c r="B60" s="1"/>
      <c r="C60" s="174"/>
      <c r="D60" s="174"/>
      <c r="E60" s="174"/>
      <c r="F60" s="174"/>
      <c r="G60" s="174"/>
      <c r="H60" s="174"/>
      <c r="I60" s="174"/>
      <c r="J60" s="1378" t="s">
        <v>132</v>
      </c>
      <c r="K60" s="1379"/>
      <c r="L60" s="1379"/>
      <c r="M60" s="1379"/>
      <c r="N60" s="1379"/>
      <c r="O60" s="1379"/>
      <c r="P60" s="1379"/>
      <c r="Q60" s="1380"/>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378" t="s">
        <v>132</v>
      </c>
      <c r="AU60" s="1379"/>
      <c r="AV60" s="1379"/>
      <c r="AW60" s="1379"/>
      <c r="AX60" s="1379"/>
      <c r="AY60" s="1379"/>
      <c r="AZ60" s="1379"/>
      <c r="BA60" s="1380"/>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349">
        <f>BS36+BS39+BS42+CN14+CQ14+DL40+(1.7*(BT45+CN15+DK37))</f>
        <v>1500.6</v>
      </c>
      <c r="CM60" s="1350"/>
      <c r="CN60" s="1350"/>
      <c r="CO60" s="1350"/>
      <c r="CP60" s="870" t="s">
        <v>133</v>
      </c>
      <c r="CQ60" s="870"/>
      <c r="CR60" s="870"/>
      <c r="CS60" s="871"/>
      <c r="CT60" s="174"/>
      <c r="CU60" s="1116"/>
      <c r="CV60" s="1117"/>
      <c r="CW60" s="1119"/>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381"/>
      <c r="K61" s="1382"/>
      <c r="L61" s="1382"/>
      <c r="M61" s="1382"/>
      <c r="N61" s="1382"/>
      <c r="O61" s="1382"/>
      <c r="P61" s="1382"/>
      <c r="Q61" s="1383"/>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381"/>
      <c r="AU61" s="1382"/>
      <c r="AV61" s="1382"/>
      <c r="AW61" s="1382"/>
      <c r="AX61" s="1382"/>
      <c r="AY61" s="1382"/>
      <c r="AZ61" s="1382"/>
      <c r="BA61" s="1383"/>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351"/>
      <c r="CM61" s="1352"/>
      <c r="CN61" s="1352"/>
      <c r="CO61" s="1352"/>
      <c r="CP61" s="1094"/>
      <c r="CQ61" s="1094"/>
      <c r="CR61" s="1094"/>
      <c r="CS61" s="1095"/>
      <c r="CT61" s="174"/>
      <c r="CU61" s="174"/>
      <c r="CV61" s="174"/>
      <c r="CW61" s="177"/>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384"/>
      <c r="K62" s="1385"/>
      <c r="L62" s="1385"/>
      <c r="M62" s="1385"/>
      <c r="N62" s="1385"/>
      <c r="O62" s="1385"/>
      <c r="P62" s="1385"/>
      <c r="Q62" s="1386"/>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384"/>
      <c r="AU62" s="1385"/>
      <c r="AV62" s="1385"/>
      <c r="AW62" s="1385"/>
      <c r="AX62" s="1385"/>
      <c r="AY62" s="1385"/>
      <c r="AZ62" s="1385"/>
      <c r="BA62" s="1386"/>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6"/>
      <c r="CM62" s="16"/>
      <c r="CN62" s="16"/>
      <c r="CO62" s="16"/>
      <c r="CP62" s="16"/>
      <c r="CQ62" s="16"/>
      <c r="CR62" s="16"/>
      <c r="CS62" s="16"/>
      <c r="CT62" s="16"/>
      <c r="CU62" s="16"/>
      <c r="CV62" s="16"/>
      <c r="CW62" s="48"/>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455">
        <f>BW38</f>
        <v>-1487.5472</v>
      </c>
      <c r="K63" s="1456"/>
      <c r="L63" s="1456"/>
      <c r="M63" s="1456"/>
      <c r="N63" s="1457" t="s">
        <v>133</v>
      </c>
      <c r="O63" s="1457"/>
      <c r="P63" s="1457"/>
      <c r="Q63" s="1458"/>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455">
        <f>CL56</f>
        <v>-396.56639999999993</v>
      </c>
      <c r="AU63" s="1456"/>
      <c r="AV63" s="1456"/>
      <c r="AW63" s="1456"/>
      <c r="AX63" s="1457" t="s">
        <v>133</v>
      </c>
      <c r="AY63" s="1457"/>
      <c r="AZ63" s="1457"/>
      <c r="BA63" s="1458"/>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4"/>
      <c r="CM63" s="4"/>
      <c r="CN63" s="4"/>
      <c r="CO63" s="4"/>
      <c r="CP63" s="4"/>
      <c r="CQ63" s="4"/>
      <c r="CR63" s="4"/>
      <c r="CS63" s="4"/>
      <c r="CT63" s="4"/>
      <c r="CU63" s="4"/>
      <c r="CV63" s="4"/>
      <c r="CW63" s="167"/>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455"/>
      <c r="K64" s="1456"/>
      <c r="L64" s="1456"/>
      <c r="M64" s="1456"/>
      <c r="N64" s="1457"/>
      <c r="O64" s="1457"/>
      <c r="P64" s="1457"/>
      <c r="Q64" s="1458"/>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455"/>
      <c r="AU64" s="1456"/>
      <c r="AV64" s="1456"/>
      <c r="AW64" s="1456"/>
      <c r="AX64" s="1457"/>
      <c r="AY64" s="1457"/>
      <c r="AZ64" s="1457"/>
      <c r="BA64" s="1458"/>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301" t="s">
        <v>18</v>
      </c>
      <c r="CJ64" s="1302"/>
      <c r="CK64" s="1302"/>
      <c r="CL64" s="1040">
        <v>0</v>
      </c>
      <c r="CM64" s="1040"/>
      <c r="CN64" s="1040"/>
      <c r="CO64" s="1040">
        <v>5</v>
      </c>
      <c r="CP64" s="1040"/>
      <c r="CQ64" s="1040"/>
      <c r="CR64" s="1040">
        <v>5</v>
      </c>
      <c r="CS64" s="1040"/>
      <c r="CT64" s="1040"/>
      <c r="CU64" s="1040">
        <v>4</v>
      </c>
      <c r="CV64" s="1040"/>
      <c r="CW64" s="971"/>
      <c r="CX64" s="1308">
        <f>SUM(CL64:CW64)/SUM(CL64:CW65)</f>
        <v>6.0344827586206896E-3</v>
      </c>
      <c r="CY64" s="1309"/>
      <c r="CZ64" s="1310"/>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447">
        <f>CH45</f>
        <v>-0.75123666664156941</v>
      </c>
      <c r="K65" s="1448"/>
      <c r="L65" s="1448"/>
      <c r="M65" s="1448"/>
      <c r="N65" s="1451" t="s">
        <v>55</v>
      </c>
      <c r="O65" s="1451"/>
      <c r="P65" s="1451"/>
      <c r="Q65" s="1452"/>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447">
        <f>CU47</f>
        <v>-5.8502182736611079</v>
      </c>
      <c r="AU65" s="1448"/>
      <c r="AV65" s="1448"/>
      <c r="AW65" s="1448"/>
      <c r="AX65" s="1451" t="s">
        <v>55</v>
      </c>
      <c r="AY65" s="1451"/>
      <c r="AZ65" s="1451"/>
      <c r="BA65" s="1452"/>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303" t="s">
        <v>131</v>
      </c>
      <c r="CJ65" s="1304"/>
      <c r="CK65" s="1304"/>
      <c r="CL65" s="1194">
        <f>CL67-CL64</f>
        <v>0</v>
      </c>
      <c r="CM65" s="1194"/>
      <c r="CN65" s="1194"/>
      <c r="CO65" s="1194">
        <f>CO67-CO64</f>
        <v>-5</v>
      </c>
      <c r="CP65" s="1194"/>
      <c r="CQ65" s="1194"/>
      <c r="CR65" s="1194">
        <f>CR67-CR64</f>
        <v>1255</v>
      </c>
      <c r="CS65" s="1194"/>
      <c r="CT65" s="1194"/>
      <c r="CU65" s="1194">
        <f>CU67-CU64</f>
        <v>1056</v>
      </c>
      <c r="CV65" s="1194"/>
      <c r="CW65" s="1194"/>
      <c r="CX65" s="174"/>
      <c r="CY65" s="162"/>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174"/>
      <c r="F66" s="174"/>
      <c r="G66" s="174"/>
      <c r="H66" s="174"/>
      <c r="I66" s="174"/>
      <c r="J66" s="1449"/>
      <c r="K66" s="1450"/>
      <c r="L66" s="1450"/>
      <c r="M66" s="1450"/>
      <c r="N66" s="1453"/>
      <c r="O66" s="1453"/>
      <c r="P66" s="1453"/>
      <c r="Q66" s="1454"/>
      <c r="R66" s="55">
        <f>+IF(J65&gt;1,1,0)</f>
        <v>0</v>
      </c>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449"/>
      <c r="AU66" s="1450"/>
      <c r="AV66" s="1450"/>
      <c r="AW66" s="1450"/>
      <c r="AX66" s="1453"/>
      <c r="AY66" s="1453"/>
      <c r="AZ66" s="1453"/>
      <c r="BA66" s="1454"/>
      <c r="BB66" s="55">
        <f>+IF(AT65&gt;1,1,0)</f>
        <v>0</v>
      </c>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42"/>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6"/>
      <c r="BQ67" s="16"/>
      <c r="BR67" s="16"/>
      <c r="BS67" s="16"/>
      <c r="BT67" s="16"/>
      <c r="BU67" s="174"/>
      <c r="BV67" s="174"/>
      <c r="BW67" s="174"/>
      <c r="BX67" s="174"/>
      <c r="BY67" s="174"/>
      <c r="BZ67" s="174"/>
      <c r="CA67" s="174"/>
      <c r="CB67" s="174"/>
      <c r="CC67" s="174"/>
      <c r="CD67" s="174"/>
      <c r="CE67" s="174"/>
      <c r="CF67" s="174"/>
      <c r="CG67" s="174"/>
      <c r="CH67" s="174"/>
      <c r="CI67" s="174"/>
      <c r="CJ67" s="174"/>
      <c r="CK67" s="174"/>
      <c r="CL67" s="1301">
        <f>ROUND('Input Worksheet'!K34*('Input Worksheet'!AY34+1),0)</f>
        <v>0</v>
      </c>
      <c r="CM67" s="1302"/>
      <c r="CN67" s="1302"/>
      <c r="CO67" s="1302">
        <f>ROUND('Input Worksheet'!S34*('Input Worksheet'!AY34+1),0)</f>
        <v>0</v>
      </c>
      <c r="CP67" s="1302"/>
      <c r="CQ67" s="1302"/>
      <c r="CR67" s="1302">
        <f>ROUND('Input Worksheet'!AA34*('Input Worksheet'!AY34+1),0)</f>
        <v>1260</v>
      </c>
      <c r="CS67" s="1302"/>
      <c r="CT67" s="1302"/>
      <c r="CU67" s="1302">
        <f>ROUND('Input Worksheet'!AI34*('Input Worksheet'!AY34+1),0)</f>
        <v>1060</v>
      </c>
      <c r="CV67" s="1302"/>
      <c r="CW67" s="1365"/>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4"/>
      <c r="BQ68" s="4"/>
      <c r="BR68" s="4"/>
      <c r="BS68" s="4"/>
      <c r="BT68" s="4"/>
      <c r="BU68" s="174"/>
      <c r="BV68" s="174"/>
      <c r="BW68" s="174"/>
      <c r="BX68" s="174"/>
      <c r="BY68" s="174"/>
      <c r="BZ68" s="174"/>
      <c r="CA68" s="174"/>
      <c r="CB68" s="174"/>
      <c r="CC68" s="174"/>
      <c r="CD68" s="174"/>
      <c r="CE68" s="174"/>
      <c r="CF68" s="174"/>
      <c r="CG68" s="174"/>
      <c r="CH68" s="174"/>
      <c r="CI68" s="174"/>
      <c r="CJ68" s="174"/>
      <c r="CK68" s="174"/>
      <c r="CL68" s="1366" t="s">
        <v>99</v>
      </c>
      <c r="CM68" s="1367"/>
      <c r="CN68" s="1367"/>
      <c r="CO68" s="1367" t="s">
        <v>99</v>
      </c>
      <c r="CP68" s="1367"/>
      <c r="CQ68" s="1367"/>
      <c r="CR68" s="1367" t="s">
        <v>99</v>
      </c>
      <c r="CS68" s="1367"/>
      <c r="CT68" s="1367"/>
      <c r="CU68" s="1367" t="s">
        <v>99</v>
      </c>
      <c r="CV68" s="1367"/>
      <c r="CW68" s="1368"/>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6"/>
      <c r="BQ69" s="16"/>
      <c r="BR69" s="16"/>
      <c r="BS69" s="16"/>
      <c r="BT69" s="16"/>
      <c r="BU69" s="174"/>
      <c r="BV69" s="174"/>
      <c r="BW69" s="174"/>
      <c r="BX69" s="174"/>
      <c r="BY69" s="174"/>
      <c r="BZ69" s="174"/>
      <c r="CA69" s="174"/>
      <c r="CB69" s="174"/>
      <c r="CC69" s="174"/>
      <c r="CD69" s="174"/>
      <c r="CE69" s="174"/>
      <c r="CF69" s="174"/>
      <c r="CG69" s="174"/>
      <c r="CH69" s="174"/>
      <c r="CI69" s="174"/>
      <c r="CJ69" s="174"/>
      <c r="CK69" s="174"/>
      <c r="CL69" s="1053"/>
      <c r="CM69" s="1054"/>
      <c r="CN69" s="1054"/>
      <c r="CO69" s="1054"/>
      <c r="CP69" s="1054"/>
      <c r="CQ69" s="1054"/>
      <c r="CR69" s="1054"/>
      <c r="CS69" s="1054"/>
      <c r="CT69" s="1054"/>
      <c r="CU69" s="1054"/>
      <c r="CV69" s="1054"/>
      <c r="CW69" s="1058"/>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6"/>
      <c r="BQ70" s="16"/>
      <c r="BR70" s="16"/>
      <c r="BS70" s="16"/>
      <c r="BT70" s="16"/>
      <c r="BU70" s="16"/>
      <c r="BV70" s="16"/>
      <c r="BW70" s="16"/>
      <c r="BX70" s="174"/>
      <c r="BY70" s="174"/>
      <c r="BZ70" s="174"/>
      <c r="CA70" s="174"/>
      <c r="CB70" s="174"/>
      <c r="CC70" s="174"/>
      <c r="CD70" s="174"/>
      <c r="CE70" s="174"/>
      <c r="CF70" s="174"/>
      <c r="CG70" s="174"/>
      <c r="CH70" s="174"/>
      <c r="CI70" s="174"/>
      <c r="CJ70" s="174"/>
      <c r="CK70" s="174"/>
      <c r="CL70" s="1053"/>
      <c r="CM70" s="1054"/>
      <c r="CN70" s="1054"/>
      <c r="CO70" s="1054"/>
      <c r="CP70" s="1054"/>
      <c r="CQ70" s="1054"/>
      <c r="CR70" s="1054"/>
      <c r="CS70" s="1054"/>
      <c r="CT70" s="1054"/>
      <c r="CU70" s="1054"/>
      <c r="CV70" s="1054"/>
      <c r="CW70" s="1058"/>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4"/>
      <c r="BQ71" s="4"/>
      <c r="BR71" s="4"/>
      <c r="BS71" s="4"/>
      <c r="BT71" s="4"/>
      <c r="BU71" s="4"/>
      <c r="BV71" s="4"/>
      <c r="BW71" s="4"/>
      <c r="BX71" s="174"/>
      <c r="BY71" s="174"/>
      <c r="BZ71" s="174"/>
      <c r="CA71" s="174"/>
      <c r="CB71" s="174"/>
      <c r="CC71" s="174"/>
      <c r="CD71" s="174"/>
      <c r="CE71" s="174"/>
      <c r="CF71" s="174"/>
      <c r="CG71" s="174"/>
      <c r="CH71" s="174"/>
      <c r="CI71" s="174"/>
      <c r="CJ71" s="174"/>
      <c r="CK71" s="174"/>
      <c r="CL71" s="1053"/>
      <c r="CM71" s="1054"/>
      <c r="CN71" s="1054"/>
      <c r="CO71" s="1054"/>
      <c r="CP71" s="1054"/>
      <c r="CQ71" s="1054"/>
      <c r="CR71" s="1054"/>
      <c r="CS71" s="1054"/>
      <c r="CT71" s="1054"/>
      <c r="CU71" s="1054"/>
      <c r="CV71" s="1054"/>
      <c r="CW71" s="1058"/>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4"/>
      <c r="BQ72" s="4"/>
      <c r="BR72" s="4"/>
      <c r="BS72" s="4"/>
      <c r="BT72" s="4"/>
      <c r="BU72" s="4"/>
      <c r="BV72" s="4"/>
      <c r="BW72" s="4"/>
      <c r="BX72" s="4"/>
      <c r="BY72" s="4"/>
      <c r="BZ72" s="4"/>
      <c r="CA72" s="4"/>
      <c r="CB72" s="4"/>
      <c r="CC72" s="4"/>
      <c r="CD72" s="4"/>
      <c r="CE72" s="4"/>
      <c r="CF72" s="4"/>
      <c r="CG72" s="174"/>
      <c r="CH72" s="174"/>
      <c r="CI72" s="174"/>
      <c r="CJ72" s="174"/>
      <c r="CK72" s="174"/>
      <c r="CL72" s="1116"/>
      <c r="CM72" s="1117"/>
      <c r="CN72" s="1117"/>
      <c r="CO72" s="1117"/>
      <c r="CP72" s="1117"/>
      <c r="CQ72" s="1117"/>
      <c r="CR72" s="1117"/>
      <c r="CS72" s="1117"/>
      <c r="CT72" s="1117"/>
      <c r="CU72" s="1117"/>
      <c r="CV72" s="1117"/>
      <c r="CW72" s="1119"/>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202">
    <mergeCell ref="B1:BI2"/>
    <mergeCell ref="B3:BI4"/>
    <mergeCell ref="C6:J7"/>
    <mergeCell ref="K6:AJ7"/>
    <mergeCell ref="AK6:BH7"/>
    <mergeCell ref="C8:J9"/>
    <mergeCell ref="K8:AJ9"/>
    <mergeCell ref="AK8:AP9"/>
    <mergeCell ref="AQ8:AV9"/>
    <mergeCell ref="AW8:BB9"/>
    <mergeCell ref="BL1:DS2"/>
    <mergeCell ref="BL3:DS4"/>
    <mergeCell ref="J60:Q62"/>
    <mergeCell ref="AT60:BA62"/>
    <mergeCell ref="J63:M64"/>
    <mergeCell ref="N63:Q64"/>
    <mergeCell ref="AT63:AW64"/>
    <mergeCell ref="AX63:BA64"/>
    <mergeCell ref="J23:M24"/>
    <mergeCell ref="N23:Q24"/>
    <mergeCell ref="AU23:AX24"/>
    <mergeCell ref="AY23:BB24"/>
    <mergeCell ref="AU25:AX26"/>
    <mergeCell ref="AY25:BB26"/>
    <mergeCell ref="AS12:AV13"/>
    <mergeCell ref="AW12:AZ13"/>
    <mergeCell ref="BA12:BD13"/>
    <mergeCell ref="BE12:BH13"/>
    <mergeCell ref="J18:Q20"/>
    <mergeCell ref="AU20:BB22"/>
    <mergeCell ref="J21:M22"/>
    <mergeCell ref="N21:Q22"/>
    <mergeCell ref="BC8:BH9"/>
    <mergeCell ref="C10:J11"/>
    <mergeCell ref="CH7:CJ10"/>
    <mergeCell ref="CK7:CM10"/>
    <mergeCell ref="CN7:CP10"/>
    <mergeCell ref="CQ7:CS10"/>
    <mergeCell ref="CH11:CJ11"/>
    <mergeCell ref="CK11:CM11"/>
    <mergeCell ref="CN11:CP11"/>
    <mergeCell ref="CQ11:CS11"/>
    <mergeCell ref="J65:M66"/>
    <mergeCell ref="N65:Q66"/>
    <mergeCell ref="AT65:AW66"/>
    <mergeCell ref="AX65:BA66"/>
    <mergeCell ref="K10:AJ11"/>
    <mergeCell ref="AK10:AR13"/>
    <mergeCell ref="AS10:AV11"/>
    <mergeCell ref="AW10:AZ11"/>
    <mergeCell ref="BA10:BD11"/>
    <mergeCell ref="BE10:BH11"/>
    <mergeCell ref="C12:J13"/>
    <mergeCell ref="K12:AJ13"/>
    <mergeCell ref="CE15:CG15"/>
    <mergeCell ref="CH15:CJ15"/>
    <mergeCell ref="CK15:CM15"/>
    <mergeCell ref="CN15:CP15"/>
    <mergeCell ref="CQ15:CS15"/>
    <mergeCell ref="CT15:CV15"/>
    <mergeCell ref="CH12:CJ12"/>
    <mergeCell ref="CK12:CM12"/>
    <mergeCell ref="CN12:CP12"/>
    <mergeCell ref="CQ12:CS12"/>
    <mergeCell ref="CE14:CG14"/>
    <mergeCell ref="CH14:CJ14"/>
    <mergeCell ref="CK14:CM14"/>
    <mergeCell ref="CN14:CP14"/>
    <mergeCell ref="CQ14:CS14"/>
    <mergeCell ref="CH25:CJ25"/>
    <mergeCell ref="CL25:CO26"/>
    <mergeCell ref="CP25:CS26"/>
    <mergeCell ref="CH26:CJ30"/>
    <mergeCell ref="CL27:CS27"/>
    <mergeCell ref="CL28:CL29"/>
    <mergeCell ref="CM28:CO29"/>
    <mergeCell ref="CP28:CS29"/>
    <mergeCell ref="CL18:CS20"/>
    <mergeCell ref="CH19:CJ22"/>
    <mergeCell ref="CL21:CO22"/>
    <mergeCell ref="CP21:CS22"/>
    <mergeCell ref="CH23:CJ23"/>
    <mergeCell ref="CL23:CS24"/>
    <mergeCell ref="CH24:CJ24"/>
    <mergeCell ref="DK28:DK30"/>
    <mergeCell ref="CH31:CJ32"/>
    <mergeCell ref="CV31:CW33"/>
    <mergeCell ref="CX31:DB33"/>
    <mergeCell ref="DC31:DC33"/>
    <mergeCell ref="DD31:DD33"/>
    <mergeCell ref="DE31:DE33"/>
    <mergeCell ref="DF31:DI33"/>
    <mergeCell ref="DK31:DK33"/>
    <mergeCell ref="DL31:DL33"/>
    <mergeCell ref="DN31:DN33"/>
    <mergeCell ref="DO31:DO33"/>
    <mergeCell ref="DP31:DS33"/>
    <mergeCell ref="BS33:BS35"/>
    <mergeCell ref="BT33:BT35"/>
    <mergeCell ref="DK34:DK36"/>
    <mergeCell ref="DL34:DL36"/>
    <mergeCell ref="DN34:DN36"/>
    <mergeCell ref="DO34:DO36"/>
    <mergeCell ref="DP34:DS36"/>
    <mergeCell ref="BW35:CD37"/>
    <mergeCell ref="CE35:CE43"/>
    <mergeCell ref="CF35:CG36"/>
    <mergeCell ref="CX35:CY38"/>
    <mergeCell ref="CZ35:CZ43"/>
    <mergeCell ref="DA35:DH37"/>
    <mergeCell ref="DK37:DK39"/>
    <mergeCell ref="DL37:DL39"/>
    <mergeCell ref="DN37:DN39"/>
    <mergeCell ref="DA38:DD39"/>
    <mergeCell ref="DE38:DH39"/>
    <mergeCell ref="DL40:DL42"/>
    <mergeCell ref="DN40:DN42"/>
    <mergeCell ref="BL36:BO38"/>
    <mergeCell ref="BP36:BP38"/>
    <mergeCell ref="BQ36:BQ38"/>
    <mergeCell ref="BS36:BS38"/>
    <mergeCell ref="BT36:BT38"/>
    <mergeCell ref="CF37:CG39"/>
    <mergeCell ref="BL39:BO41"/>
    <mergeCell ref="BP39:BP41"/>
    <mergeCell ref="BQ39:BQ41"/>
    <mergeCell ref="BS39:BS41"/>
    <mergeCell ref="DO40:DO42"/>
    <mergeCell ref="DP40:DS42"/>
    <mergeCell ref="BL42:BO44"/>
    <mergeCell ref="BP42:BP44"/>
    <mergeCell ref="BQ42:BQ44"/>
    <mergeCell ref="BS42:BS44"/>
    <mergeCell ref="BT42:BT44"/>
    <mergeCell ref="BW42:BZ43"/>
    <mergeCell ref="BT39:BT41"/>
    <mergeCell ref="CX39:CY41"/>
    <mergeCell ref="BW40:CD41"/>
    <mergeCell ref="CF40:CG43"/>
    <mergeCell ref="DA40:DH41"/>
    <mergeCell ref="DK40:DK42"/>
    <mergeCell ref="CA42:CD43"/>
    <mergeCell ref="CX42:CY43"/>
    <mergeCell ref="DA42:DD43"/>
    <mergeCell ref="DE42:DH43"/>
    <mergeCell ref="DO37:DO39"/>
    <mergeCell ref="DP37:DS39"/>
    <mergeCell ref="BW38:BZ39"/>
    <mergeCell ref="CA38:CD39"/>
    <mergeCell ref="DK43:DK45"/>
    <mergeCell ref="DL43:DL45"/>
    <mergeCell ref="BL45:BO47"/>
    <mergeCell ref="BP45:BP47"/>
    <mergeCell ref="BQ45:BQ47"/>
    <mergeCell ref="BS45:BS47"/>
    <mergeCell ref="BT45:BT47"/>
    <mergeCell ref="BV45:BY47"/>
    <mergeCell ref="BZ45:BZ47"/>
    <mergeCell ref="CA45:CA47"/>
    <mergeCell ref="CB45:CB47"/>
    <mergeCell ref="CC45:CG47"/>
    <mergeCell ref="CH45:CI47"/>
    <mergeCell ref="CU47:CW48"/>
    <mergeCell ref="BT48:BT50"/>
    <mergeCell ref="CU49:CW53"/>
    <mergeCell ref="CL50:CL51"/>
    <mergeCell ref="CM50:CO51"/>
    <mergeCell ref="CP50:CS51"/>
    <mergeCell ref="CL52:CS52"/>
    <mergeCell ref="CI64:CK64"/>
    <mergeCell ref="CL64:CN64"/>
    <mergeCell ref="CO64:CQ64"/>
    <mergeCell ref="CR64:CT64"/>
    <mergeCell ref="CU64:CW64"/>
    <mergeCell ref="CX64:CZ64"/>
    <mergeCell ref="CL53:CS55"/>
    <mergeCell ref="CU54:CW54"/>
    <mergeCell ref="CU55:CW55"/>
    <mergeCell ref="CL56:CO57"/>
    <mergeCell ref="CP56:CS57"/>
    <mergeCell ref="CU56:CW56"/>
    <mergeCell ref="CU57:CW60"/>
    <mergeCell ref="CL58:CS59"/>
    <mergeCell ref="CL60:CO61"/>
    <mergeCell ref="CP60:CS61"/>
    <mergeCell ref="CL68:CN68"/>
    <mergeCell ref="CO68:CQ68"/>
    <mergeCell ref="CR68:CT68"/>
    <mergeCell ref="CU68:CW68"/>
    <mergeCell ref="CL69:CN72"/>
    <mergeCell ref="CO69:CQ72"/>
    <mergeCell ref="CR69:CT72"/>
    <mergeCell ref="CU69:CW72"/>
    <mergeCell ref="CI65:CK65"/>
    <mergeCell ref="CL65:CN65"/>
    <mergeCell ref="CO65:CQ65"/>
    <mergeCell ref="CR65:CT65"/>
    <mergeCell ref="CU65:CW65"/>
    <mergeCell ref="CL67:CN67"/>
    <mergeCell ref="CO67:CQ67"/>
    <mergeCell ref="CR67:CT67"/>
    <mergeCell ref="CU67:CW67"/>
  </mergeCells>
  <conditionalFormatting sqref="AW10 BE10 AW12 BE12 J23 AU25 CH31 CV31 CH45 CU47 J65 AT65">
    <cfRule type="cellIs" dxfId="106" priority="1" operator="between">
      <formula>0.875</formula>
      <formula>0.99</formula>
    </cfRule>
    <cfRule type="cellIs" dxfId="105" priority="2" operator="between">
      <formula>0.75</formula>
      <formula>0.875</formula>
    </cfRule>
    <cfRule type="cellIs" dxfId="104" priority="3"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theme="8" tint="0.39997558519241921"/>
  </sheetPr>
  <dimension ref="A1:HL157"/>
  <sheetViews>
    <sheetView showGridLines="0" showRowColHeaders="0" zoomScale="90" zoomScaleNormal="90" zoomScalePageLayoutView="85" workbookViewId="0">
      <selection activeCell="BX23" sqref="BX23"/>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42578125" customWidth="1"/>
    <col min="125" max="220" width="1.7109375" hidden="1" customWidth="1"/>
    <col min="221" max="16384" width="9.140625" hidden="1"/>
  </cols>
  <sheetData>
    <row r="1" spans="1:123" ht="9.9499999999999993" customHeight="1">
      <c r="A1" s="140"/>
      <c r="B1" s="571" t="s">
        <v>139</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140</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1:123" ht="9.9499999999999993" customHeight="1">
      <c r="A2" s="174"/>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1:123" ht="9.9499999999999993" customHeight="1">
      <c r="A3" s="174"/>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1:123" ht="9.9499999999999993" customHeight="1">
      <c r="A4" s="174"/>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1:123" ht="9.9499999999999993" customHeight="1" thickBot="1">
      <c r="A5" s="174"/>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1:123" ht="9.9499999999999993" customHeight="1">
      <c r="A6" s="174"/>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1:123" ht="9.9499999999999993" customHeight="1" thickBot="1">
      <c r="A7" s="174"/>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1:123" ht="9.9499999999999993" customHeight="1">
      <c r="A8" s="174"/>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469" t="s">
        <v>141</v>
      </c>
      <c r="CY8" s="470"/>
      <c r="CZ8" s="470"/>
      <c r="DA8" s="470"/>
      <c r="DB8" s="470"/>
      <c r="DC8" s="470"/>
      <c r="DD8" s="470"/>
      <c r="DE8" s="1494" t="s">
        <v>142</v>
      </c>
      <c r="DF8" s="1494"/>
      <c r="DG8" s="1494"/>
      <c r="DH8" s="1494"/>
      <c r="DI8" s="1494"/>
      <c r="DJ8" s="1494"/>
      <c r="DK8" s="1494"/>
      <c r="DL8" s="1494"/>
      <c r="DM8" s="1494"/>
      <c r="DN8" s="1494"/>
      <c r="DO8" s="1494"/>
      <c r="DP8" s="1494"/>
      <c r="DQ8" s="174"/>
      <c r="DR8" s="174"/>
      <c r="DS8" s="177"/>
    </row>
    <row r="9" spans="1:123" ht="9.9499999999999993" customHeight="1" thickBot="1">
      <c r="A9" s="174"/>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479"/>
      <c r="CY9" s="1480"/>
      <c r="CZ9" s="1480"/>
      <c r="DA9" s="1480"/>
      <c r="DB9" s="1480"/>
      <c r="DC9" s="1480"/>
      <c r="DD9" s="1480"/>
      <c r="DE9" s="1494"/>
      <c r="DF9" s="1494"/>
      <c r="DG9" s="1494"/>
      <c r="DH9" s="1494"/>
      <c r="DI9" s="1494"/>
      <c r="DJ9" s="1494"/>
      <c r="DK9" s="1494"/>
      <c r="DL9" s="1494"/>
      <c r="DM9" s="1494"/>
      <c r="DN9" s="1494"/>
      <c r="DO9" s="1494"/>
      <c r="DP9" s="1494"/>
      <c r="DQ9" s="174"/>
      <c r="DR9" s="174"/>
      <c r="DS9" s="177"/>
    </row>
    <row r="10" spans="1:123" ht="9.9499999999999993" customHeight="1">
      <c r="A10" s="174"/>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474"/>
      <c r="AM10" s="1474"/>
      <c r="AN10" s="1474"/>
      <c r="AO10" s="1474"/>
      <c r="AP10" s="1474"/>
      <c r="AQ10" s="1474"/>
      <c r="AR10" s="1475"/>
      <c r="AS10" s="1459" t="s">
        <v>127</v>
      </c>
      <c r="AT10" s="1460"/>
      <c r="AU10" s="1460"/>
      <c r="AV10" s="1461"/>
      <c r="AW10" s="1471">
        <f>J23</f>
        <v>3.2725564837726555</v>
      </c>
      <c r="AX10" s="1472"/>
      <c r="AY10" s="1472"/>
      <c r="AZ10" s="1473"/>
      <c r="BA10" s="1459" t="s">
        <v>128</v>
      </c>
      <c r="BB10" s="1460"/>
      <c r="BC10" s="1460"/>
      <c r="BD10" s="1461"/>
      <c r="BE10" s="1471">
        <f>AU25</f>
        <v>9.2987408380786469</v>
      </c>
      <c r="BF10" s="1472"/>
      <c r="BG10" s="1472"/>
      <c r="BH10" s="1473"/>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051"/>
      <c r="CI10" s="1052"/>
      <c r="CJ10" s="1052"/>
      <c r="CK10" s="1052"/>
      <c r="CL10" s="1052"/>
      <c r="CM10" s="1052"/>
      <c r="CN10" s="1052"/>
      <c r="CO10" s="1052"/>
      <c r="CP10" s="1052"/>
      <c r="CQ10" s="1052"/>
      <c r="CR10" s="1052"/>
      <c r="CS10" s="1057"/>
      <c r="CT10" s="174"/>
      <c r="CU10" s="174"/>
      <c r="CV10" s="174"/>
      <c r="CW10" s="174"/>
      <c r="CX10" s="1481" t="s">
        <v>143</v>
      </c>
      <c r="CY10" s="1482"/>
      <c r="CZ10" s="1482"/>
      <c r="DA10" s="1482"/>
      <c r="DB10" s="1483"/>
      <c r="DC10" s="1487" t="s">
        <v>144</v>
      </c>
      <c r="DD10" s="1488"/>
      <c r="DE10" s="1490">
        <v>1130</v>
      </c>
      <c r="DF10" s="1490"/>
      <c r="DG10" s="1490"/>
      <c r="DH10" s="1490"/>
      <c r="DI10" s="1491"/>
      <c r="DJ10" s="1487" t="s">
        <v>145</v>
      </c>
      <c r="DK10" s="1488"/>
      <c r="DL10" s="1490">
        <v>1E-3</v>
      </c>
      <c r="DM10" s="1490"/>
      <c r="DN10" s="1490"/>
      <c r="DO10" s="1490"/>
      <c r="DP10" s="1491"/>
      <c r="DQ10" s="174"/>
      <c r="DR10" s="174"/>
      <c r="DS10" s="177"/>
    </row>
    <row r="11" spans="1:123" ht="9.9499999999999993" customHeight="1" thickBot="1">
      <c r="A11" s="174"/>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053"/>
      <c r="CI11" s="1054"/>
      <c r="CJ11" s="1054"/>
      <c r="CK11" s="1054"/>
      <c r="CL11" s="1054"/>
      <c r="CM11" s="1054"/>
      <c r="CN11" s="1054"/>
      <c r="CO11" s="1054"/>
      <c r="CP11" s="1054"/>
      <c r="CQ11" s="1054"/>
      <c r="CR11" s="1054"/>
      <c r="CS11" s="1058"/>
      <c r="CT11" s="174"/>
      <c r="CU11" s="174"/>
      <c r="CV11" s="174"/>
      <c r="CW11" s="174"/>
      <c r="CX11" s="1484"/>
      <c r="CY11" s="1485"/>
      <c r="CZ11" s="1485"/>
      <c r="DA11" s="1485"/>
      <c r="DB11" s="1486"/>
      <c r="DC11" s="1489"/>
      <c r="DD11" s="1489"/>
      <c r="DE11" s="1492"/>
      <c r="DF11" s="1492"/>
      <c r="DG11" s="1492"/>
      <c r="DH11" s="1492"/>
      <c r="DI11" s="1493"/>
      <c r="DJ11" s="1489"/>
      <c r="DK11" s="1489"/>
      <c r="DL11" s="1492"/>
      <c r="DM11" s="1492"/>
      <c r="DN11" s="1492"/>
      <c r="DO11" s="1492"/>
      <c r="DP11" s="1493"/>
      <c r="DQ11" s="174"/>
      <c r="DR11" s="174"/>
      <c r="DS11" s="177"/>
    </row>
    <row r="12" spans="1:123" ht="9.9499999999999993" customHeight="1">
      <c r="A12" s="174"/>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476"/>
      <c r="AL12" s="1477"/>
      <c r="AM12" s="1477"/>
      <c r="AN12" s="1477"/>
      <c r="AO12" s="1477"/>
      <c r="AP12" s="1477"/>
      <c r="AQ12" s="1477"/>
      <c r="AR12" s="1478"/>
      <c r="AS12" s="1459" t="s">
        <v>129</v>
      </c>
      <c r="AT12" s="1460"/>
      <c r="AU12" s="1460"/>
      <c r="AV12" s="1461"/>
      <c r="AW12" s="1465">
        <f>J65</f>
        <v>13.755462542013497</v>
      </c>
      <c r="AX12" s="1466"/>
      <c r="AY12" s="1466"/>
      <c r="AZ12" s="1467"/>
      <c r="BA12" s="1459" t="s">
        <v>130</v>
      </c>
      <c r="BB12" s="1460"/>
      <c r="BC12" s="1460"/>
      <c r="BD12" s="1461"/>
      <c r="BE12" s="1471">
        <f>AT65</f>
        <v>9.2567179515502698</v>
      </c>
      <c r="BF12" s="1472"/>
      <c r="BG12" s="1472"/>
      <c r="BH12" s="1473"/>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053"/>
      <c r="CI12" s="1054"/>
      <c r="CJ12" s="1054"/>
      <c r="CK12" s="1054"/>
      <c r="CL12" s="1054"/>
      <c r="CM12" s="1054"/>
      <c r="CN12" s="1054"/>
      <c r="CO12" s="1054"/>
      <c r="CP12" s="1054"/>
      <c r="CQ12" s="1054"/>
      <c r="CR12" s="1054"/>
      <c r="CS12" s="1058"/>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1:123" ht="9.9499999999999993" customHeight="1" thickBot="1">
      <c r="A13" s="174"/>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476"/>
      <c r="AL13" s="1477"/>
      <c r="AM13" s="1477"/>
      <c r="AN13" s="1477"/>
      <c r="AO13" s="1477"/>
      <c r="AP13" s="1477"/>
      <c r="AQ13" s="1477"/>
      <c r="AR13" s="1478"/>
      <c r="AS13" s="1462"/>
      <c r="AT13" s="1463"/>
      <c r="AU13" s="1463"/>
      <c r="AV13" s="1464"/>
      <c r="AW13" s="1468"/>
      <c r="AX13" s="1469"/>
      <c r="AY13" s="1469"/>
      <c r="AZ13" s="1470"/>
      <c r="BA13" s="1462"/>
      <c r="BB13" s="1463"/>
      <c r="BC13" s="1463"/>
      <c r="BD13" s="1464"/>
      <c r="BE13" s="1468"/>
      <c r="BF13" s="1469"/>
      <c r="BG13" s="1469"/>
      <c r="BH13" s="1470"/>
      <c r="BI13" s="177"/>
      <c r="BK13" s="174"/>
      <c r="BL13" s="17"/>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053"/>
      <c r="CI13" s="1054"/>
      <c r="CJ13" s="1054"/>
      <c r="CK13" s="1054"/>
      <c r="CL13" s="1054"/>
      <c r="CM13" s="1054"/>
      <c r="CN13" s="1054"/>
      <c r="CO13" s="1054"/>
      <c r="CP13" s="1054"/>
      <c r="CQ13" s="1054"/>
      <c r="CR13" s="1054"/>
      <c r="CS13" s="1058"/>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1:123" ht="9.9499999999999993" customHeight="1">
      <c r="A14" s="174"/>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366" t="s">
        <v>99</v>
      </c>
      <c r="CI14" s="1367"/>
      <c r="CJ14" s="1367"/>
      <c r="CK14" s="1367" t="s">
        <v>99</v>
      </c>
      <c r="CL14" s="1367"/>
      <c r="CM14" s="1367"/>
      <c r="CN14" s="1367" t="s">
        <v>99</v>
      </c>
      <c r="CO14" s="1367"/>
      <c r="CP14" s="1367"/>
      <c r="CQ14" s="1367" t="s">
        <v>99</v>
      </c>
      <c r="CR14" s="1367"/>
      <c r="CS14" s="1368"/>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1:123" ht="9.9499999999999993" customHeight="1" thickBot="1">
      <c r="A15" s="174"/>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444">
        <f>SBR_Master</f>
        <v>0</v>
      </c>
      <c r="CI15" s="1445"/>
      <c r="CJ15" s="1445"/>
      <c r="CK15" s="1445">
        <f>SBT_Master</f>
        <v>1447</v>
      </c>
      <c r="CL15" s="1445"/>
      <c r="CM15" s="1445"/>
      <c r="CN15" s="1445">
        <f>SBL_Master</f>
        <v>607</v>
      </c>
      <c r="CO15" s="1445"/>
      <c r="CP15" s="1445"/>
      <c r="CQ15" s="1445">
        <f>SBU_Master</f>
        <v>0</v>
      </c>
      <c r="CR15" s="1445"/>
      <c r="CS15" s="1446"/>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1:123" ht="9.9499999999999993" customHeight="1">
      <c r="A16" s="174"/>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52"/>
      <c r="CI16" s="25"/>
      <c r="CJ16" s="25"/>
      <c r="CK16" s="25"/>
      <c r="CL16" s="25"/>
      <c r="CM16" s="25"/>
      <c r="CN16" s="25"/>
      <c r="CO16" s="25"/>
      <c r="CP16" s="25"/>
      <c r="CQ16" s="25"/>
      <c r="CR16" s="25"/>
      <c r="CS16" s="25"/>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thickBo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53"/>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378" t="s">
        <v>132</v>
      </c>
      <c r="K18" s="1379"/>
      <c r="L18" s="1379"/>
      <c r="M18" s="1379"/>
      <c r="N18" s="1379"/>
      <c r="O18" s="1379"/>
      <c r="P18" s="1379"/>
      <c r="Q18" s="1380"/>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K18" s="174"/>
      <c r="BL18" s="17"/>
      <c r="BM18" s="36"/>
      <c r="BN18" s="174"/>
      <c r="BO18" s="174"/>
      <c r="BP18" s="174"/>
      <c r="BQ18" s="174"/>
      <c r="BR18" s="174"/>
      <c r="BS18" s="174"/>
      <c r="BT18" s="174"/>
      <c r="BU18" s="174"/>
      <c r="BV18" s="174"/>
      <c r="BW18" s="174"/>
      <c r="BX18" s="174"/>
      <c r="BY18" s="174"/>
      <c r="BZ18" s="174"/>
      <c r="CA18" s="174"/>
      <c r="CB18" s="174"/>
      <c r="CC18" s="35"/>
      <c r="CD18" s="174"/>
      <c r="CE18" s="174"/>
      <c r="CF18" s="174"/>
      <c r="CG18" s="174"/>
      <c r="CH18" s="12"/>
      <c r="CI18" s="174"/>
      <c r="CJ18" s="174"/>
      <c r="CK18" s="174"/>
      <c r="CL18" s="1378" t="s">
        <v>132</v>
      </c>
      <c r="CM18" s="1379"/>
      <c r="CN18" s="1379"/>
      <c r="CO18" s="1379"/>
      <c r="CP18" s="1379"/>
      <c r="CQ18" s="1379"/>
      <c r="CR18" s="1379"/>
      <c r="CS18" s="1380"/>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381"/>
      <c r="K19" s="1382"/>
      <c r="L19" s="1382"/>
      <c r="M19" s="1382"/>
      <c r="N19" s="1382"/>
      <c r="O19" s="1382"/>
      <c r="P19" s="1382"/>
      <c r="Q19" s="1383"/>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K19" s="174"/>
      <c r="BL19" s="17"/>
      <c r="BM19" s="9"/>
      <c r="BN19" s="5"/>
      <c r="BO19" s="5"/>
      <c r="BP19" s="5"/>
      <c r="BQ19" s="5"/>
      <c r="BR19" s="5"/>
      <c r="BS19" s="5"/>
      <c r="BT19" s="5"/>
      <c r="BU19" s="5"/>
      <c r="BV19" s="37"/>
      <c r="BW19" s="37"/>
      <c r="BX19" s="37"/>
      <c r="BY19" s="37"/>
      <c r="BZ19" s="37"/>
      <c r="CA19" s="37"/>
      <c r="CB19" s="37"/>
      <c r="CC19" s="35"/>
      <c r="CD19" s="174"/>
      <c r="CE19" s="174"/>
      <c r="CF19" s="174"/>
      <c r="CG19" s="174"/>
      <c r="CH19" s="1051"/>
      <c r="CI19" s="1052"/>
      <c r="CJ19" s="1057"/>
      <c r="CK19" s="174"/>
      <c r="CL19" s="1381"/>
      <c r="CM19" s="1382"/>
      <c r="CN19" s="1382"/>
      <c r="CO19" s="1382"/>
      <c r="CP19" s="1382"/>
      <c r="CQ19" s="1382"/>
      <c r="CR19" s="1382"/>
      <c r="CS19" s="1383"/>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384"/>
      <c r="K20" s="1385"/>
      <c r="L20" s="1385"/>
      <c r="M20" s="1385"/>
      <c r="N20" s="1385"/>
      <c r="O20" s="1385"/>
      <c r="P20" s="1385"/>
      <c r="Q20" s="138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74"/>
      <c r="AU20" s="1378" t="s">
        <v>132</v>
      </c>
      <c r="AV20" s="1379"/>
      <c r="AW20" s="1379"/>
      <c r="AX20" s="1379"/>
      <c r="AY20" s="1379"/>
      <c r="AZ20" s="1379"/>
      <c r="BA20" s="1379"/>
      <c r="BB20" s="1380"/>
      <c r="BC20" s="174"/>
      <c r="BD20" s="174"/>
      <c r="BE20" s="174"/>
      <c r="BF20" s="174"/>
      <c r="BG20" s="174"/>
      <c r="BH20" s="174"/>
      <c r="BI20" s="177"/>
      <c r="BK20" s="174"/>
      <c r="BL20" s="17"/>
      <c r="BM20" s="6"/>
      <c r="BN20" s="5"/>
      <c r="BO20" s="5"/>
      <c r="BP20" s="5"/>
      <c r="BQ20" s="5"/>
      <c r="BR20" s="5"/>
      <c r="BS20" s="5"/>
      <c r="BT20" s="5"/>
      <c r="BU20" s="5"/>
      <c r="BV20" s="37"/>
      <c r="BW20" s="37"/>
      <c r="BX20" s="37"/>
      <c r="BY20" s="37"/>
      <c r="BZ20" s="37"/>
      <c r="CA20" s="37"/>
      <c r="CB20" s="37"/>
      <c r="CC20" s="174"/>
      <c r="CD20" s="174"/>
      <c r="CE20" s="174"/>
      <c r="CF20" s="174"/>
      <c r="CG20" s="174"/>
      <c r="CH20" s="1053"/>
      <c r="CI20" s="1054"/>
      <c r="CJ20" s="1058"/>
      <c r="CK20" s="174"/>
      <c r="CL20" s="1384"/>
      <c r="CM20" s="1385"/>
      <c r="CN20" s="1385"/>
      <c r="CO20" s="1385"/>
      <c r="CP20" s="1385"/>
      <c r="CQ20" s="1385"/>
      <c r="CR20" s="1385"/>
      <c r="CS20" s="1386"/>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455">
        <f>CL21</f>
        <v>627.64386502876062</v>
      </c>
      <c r="K21" s="1456"/>
      <c r="L21" s="1456"/>
      <c r="M21" s="1456"/>
      <c r="N21" s="1457" t="s">
        <v>133</v>
      </c>
      <c r="O21" s="1457"/>
      <c r="P21" s="1457"/>
      <c r="Q21" s="1458"/>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74"/>
      <c r="AU21" s="1381"/>
      <c r="AV21" s="1382"/>
      <c r="AW21" s="1382"/>
      <c r="AX21" s="1382"/>
      <c r="AY21" s="1382"/>
      <c r="AZ21" s="1382"/>
      <c r="BA21" s="1382"/>
      <c r="BB21" s="1383"/>
      <c r="BC21" s="174"/>
      <c r="BD21" s="174"/>
      <c r="BE21" s="174"/>
      <c r="BF21" s="174"/>
      <c r="BG21" s="174"/>
      <c r="BH21" s="174"/>
      <c r="BI21" s="177"/>
      <c r="BK21" s="174"/>
      <c r="BL21" s="17"/>
      <c r="BM21" s="6"/>
      <c r="BN21" s="6"/>
      <c r="BO21" s="6"/>
      <c r="BP21" s="6"/>
      <c r="BQ21" s="6"/>
      <c r="BR21" s="6"/>
      <c r="BS21" s="6"/>
      <c r="BT21" s="6"/>
      <c r="BU21" s="6"/>
      <c r="BV21" s="6"/>
      <c r="BW21" s="6"/>
      <c r="BX21" s="6"/>
      <c r="BY21" s="6"/>
      <c r="BZ21" s="6"/>
      <c r="CA21" s="6"/>
      <c r="CB21" s="6"/>
      <c r="CC21" s="174"/>
      <c r="CD21" s="174"/>
      <c r="CE21" s="174"/>
      <c r="CF21" s="174"/>
      <c r="CG21" s="174"/>
      <c r="CH21" s="1053"/>
      <c r="CI21" s="1054"/>
      <c r="CJ21" s="1058"/>
      <c r="CK21" s="174"/>
      <c r="CL21" s="1349">
        <f>$DE$10*EXP(-$DL$10*CL25)</f>
        <v>627.64386502876062</v>
      </c>
      <c r="CM21" s="1350"/>
      <c r="CN21" s="1350"/>
      <c r="CO21" s="1350"/>
      <c r="CP21" s="870" t="s">
        <v>133</v>
      </c>
      <c r="CQ21" s="870"/>
      <c r="CR21" s="870"/>
      <c r="CS21" s="871"/>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455"/>
      <c r="K22" s="1456"/>
      <c r="L22" s="1456"/>
      <c r="M22" s="1456"/>
      <c r="N22" s="1457"/>
      <c r="O22" s="1457"/>
      <c r="P22" s="1457"/>
      <c r="Q22" s="1458"/>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74"/>
      <c r="AU22" s="1384"/>
      <c r="AV22" s="1385"/>
      <c r="AW22" s="1385"/>
      <c r="AX22" s="1385"/>
      <c r="AY22" s="1385"/>
      <c r="AZ22" s="1385"/>
      <c r="BA22" s="1385"/>
      <c r="BB22" s="1386"/>
      <c r="BC22" s="174"/>
      <c r="BD22" s="174"/>
      <c r="BE22" s="174"/>
      <c r="BF22" s="174"/>
      <c r="BG22" s="174"/>
      <c r="BH22" s="174"/>
      <c r="BI22" s="177"/>
      <c r="BK22" s="174"/>
      <c r="BL22" s="17"/>
      <c r="BM22" s="6"/>
      <c r="BN22" s="6"/>
      <c r="BO22" s="6"/>
      <c r="BP22" s="6"/>
      <c r="BQ22" s="6"/>
      <c r="BR22" s="6"/>
      <c r="BS22" s="6"/>
      <c r="BT22" s="6"/>
      <c r="BU22" s="6"/>
      <c r="BV22" s="6"/>
      <c r="BW22" s="6"/>
      <c r="BX22" s="6"/>
      <c r="BY22" s="6"/>
      <c r="BZ22" s="6"/>
      <c r="CA22" s="6"/>
      <c r="CB22" s="6"/>
      <c r="CC22" s="174"/>
      <c r="CD22" s="174"/>
      <c r="CE22" s="174"/>
      <c r="CF22" s="174"/>
      <c r="CG22" s="174"/>
      <c r="CH22" s="1053"/>
      <c r="CI22" s="1054"/>
      <c r="CJ22" s="1058"/>
      <c r="CK22" s="174"/>
      <c r="CL22" s="1349"/>
      <c r="CM22" s="1350"/>
      <c r="CN22" s="1350"/>
      <c r="CO22" s="1350"/>
      <c r="CP22" s="870"/>
      <c r="CQ22" s="870"/>
      <c r="CR22" s="870"/>
      <c r="CS22" s="871"/>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447">
        <f>CH31</f>
        <v>3.2725564837726555</v>
      </c>
      <c r="K23" s="1448"/>
      <c r="L23" s="1448"/>
      <c r="M23" s="1448"/>
      <c r="N23" s="1451" t="s">
        <v>55</v>
      </c>
      <c r="O23" s="1451"/>
      <c r="P23" s="1451"/>
      <c r="Q23" s="1452"/>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74"/>
      <c r="AU23" s="1455">
        <f>DA38</f>
        <v>130.447769340202</v>
      </c>
      <c r="AV23" s="1456"/>
      <c r="AW23" s="1456"/>
      <c r="AX23" s="1456"/>
      <c r="AY23" s="1457" t="s">
        <v>133</v>
      </c>
      <c r="AZ23" s="1457"/>
      <c r="BA23" s="1457"/>
      <c r="BB23" s="1458"/>
      <c r="BC23" s="174"/>
      <c r="BD23" s="174"/>
      <c r="BE23" s="174"/>
      <c r="BF23" s="174"/>
      <c r="BG23" s="14"/>
      <c r="BH23" s="174"/>
      <c r="BI23" s="177"/>
      <c r="BK23" s="174"/>
      <c r="BL23" s="17"/>
      <c r="BM23" s="6"/>
      <c r="BN23" s="9"/>
      <c r="BO23" s="9"/>
      <c r="BP23" s="107"/>
      <c r="BQ23" s="107"/>
      <c r="BR23" s="107"/>
      <c r="BS23" s="107"/>
      <c r="BT23" s="107"/>
      <c r="BU23" s="107"/>
      <c r="BV23" s="107"/>
      <c r="BW23" s="107"/>
      <c r="BX23" s="121"/>
      <c r="BY23" s="121"/>
      <c r="BZ23" s="121"/>
      <c r="CA23" s="121"/>
      <c r="CB23" s="121"/>
      <c r="CC23" s="174"/>
      <c r="CD23" s="174"/>
      <c r="CE23" s="174"/>
      <c r="CF23" s="174"/>
      <c r="CG23" s="174"/>
      <c r="CH23" s="1375" t="s">
        <v>99</v>
      </c>
      <c r="CI23" s="1376"/>
      <c r="CJ23" s="1377"/>
      <c r="CK23" s="174"/>
      <c r="CL23" s="1343" t="s">
        <v>134</v>
      </c>
      <c r="CM23" s="1344"/>
      <c r="CN23" s="1344"/>
      <c r="CO23" s="1344"/>
      <c r="CP23" s="1344"/>
      <c r="CQ23" s="1344"/>
      <c r="CR23" s="1344"/>
      <c r="CS23" s="1345"/>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449"/>
      <c r="K24" s="1450"/>
      <c r="L24" s="1450"/>
      <c r="M24" s="1450"/>
      <c r="N24" s="1453"/>
      <c r="O24" s="1453"/>
      <c r="P24" s="1453"/>
      <c r="Q24" s="1454"/>
      <c r="R24" s="55">
        <f>+IF(J23&gt;1,1,0)</f>
        <v>1</v>
      </c>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174"/>
      <c r="AU24" s="1455"/>
      <c r="AV24" s="1456"/>
      <c r="AW24" s="1456"/>
      <c r="AX24" s="1456"/>
      <c r="AY24" s="1457"/>
      <c r="AZ24" s="1457"/>
      <c r="BA24" s="1457"/>
      <c r="BB24" s="1458"/>
      <c r="BC24" s="174"/>
      <c r="BD24" s="174"/>
      <c r="BE24" s="174"/>
      <c r="BF24" s="174"/>
      <c r="BG24" s="14"/>
      <c r="BH24" s="174"/>
      <c r="BI24" s="177"/>
      <c r="BK24" s="174"/>
      <c r="BL24" s="1"/>
      <c r="BM24" s="174"/>
      <c r="BN24" s="9"/>
      <c r="BO24" s="9"/>
      <c r="BP24" s="107"/>
      <c r="BQ24" s="107"/>
      <c r="BR24" s="107"/>
      <c r="BS24" s="107"/>
      <c r="BT24" s="107"/>
      <c r="BU24" s="107"/>
      <c r="BV24" s="107"/>
      <c r="BW24" s="107"/>
      <c r="BX24" s="121"/>
      <c r="BY24" s="121"/>
      <c r="BZ24" s="121"/>
      <c r="CA24" s="121"/>
      <c r="CB24" s="121"/>
      <c r="CC24" s="174"/>
      <c r="CD24" s="174"/>
      <c r="CE24" s="174"/>
      <c r="CF24" s="174"/>
      <c r="CG24" s="174"/>
      <c r="CH24" s="1441">
        <f>SUM(CH15:CS15)</f>
        <v>2054</v>
      </c>
      <c r="CI24" s="1442"/>
      <c r="CJ24" s="1443"/>
      <c r="CK24" s="174"/>
      <c r="CL24" s="1346"/>
      <c r="CM24" s="1347"/>
      <c r="CN24" s="1347"/>
      <c r="CO24" s="1347"/>
      <c r="CP24" s="1347"/>
      <c r="CQ24" s="1347"/>
      <c r="CR24" s="1347"/>
      <c r="CS24" s="1348"/>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6"/>
      <c r="K25" s="6"/>
      <c r="L25" s="6"/>
      <c r="M25" s="6"/>
      <c r="N25" s="6"/>
      <c r="O25" s="6"/>
      <c r="P25" s="6"/>
      <c r="Q25" s="6"/>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74"/>
      <c r="AU25" s="1447">
        <f>CW31</f>
        <v>9.2987408380786469</v>
      </c>
      <c r="AV25" s="1448"/>
      <c r="AW25" s="1448"/>
      <c r="AX25" s="1448"/>
      <c r="AY25" s="1451" t="s">
        <v>55</v>
      </c>
      <c r="AZ25" s="1451"/>
      <c r="BA25" s="1451"/>
      <c r="BB25" s="1452"/>
      <c r="BC25" s="174"/>
      <c r="BD25" s="174"/>
      <c r="BE25" s="174"/>
      <c r="BF25" s="174"/>
      <c r="BG25" s="174"/>
      <c r="BH25" s="174"/>
      <c r="BI25" s="177"/>
      <c r="BK25" s="174"/>
      <c r="BL25" s="1"/>
      <c r="BM25" s="174"/>
      <c r="BN25" s="9"/>
      <c r="BO25" s="9"/>
      <c r="BP25" s="107"/>
      <c r="BQ25" s="107"/>
      <c r="BR25" s="107"/>
      <c r="BS25" s="107"/>
      <c r="BT25" s="107"/>
      <c r="BU25" s="107"/>
      <c r="BV25" s="107"/>
      <c r="BW25" s="107"/>
      <c r="BX25" s="121"/>
      <c r="BY25" s="121"/>
      <c r="BZ25" s="121"/>
      <c r="CA25" s="121"/>
      <c r="CB25" s="121"/>
      <c r="CC25" s="39"/>
      <c r="CD25" s="174"/>
      <c r="CE25" s="174"/>
      <c r="CF25" s="174"/>
      <c r="CG25" s="174"/>
      <c r="CH25" s="1435">
        <v>1</v>
      </c>
      <c r="CI25" s="1436"/>
      <c r="CJ25" s="1437"/>
      <c r="CK25" s="174"/>
      <c r="CL25" s="1349">
        <f>DN34+DN37+DN40+CO64+CL64+BQ36</f>
        <v>588</v>
      </c>
      <c r="CM25" s="1350"/>
      <c r="CN25" s="1350"/>
      <c r="CO25" s="1350"/>
      <c r="CP25" s="870" t="s">
        <v>133</v>
      </c>
      <c r="CQ25" s="870"/>
      <c r="CR25" s="870"/>
      <c r="CS25" s="871"/>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74"/>
      <c r="AU26" s="1449"/>
      <c r="AV26" s="1450"/>
      <c r="AW26" s="1450"/>
      <c r="AX26" s="1450"/>
      <c r="AY26" s="1453"/>
      <c r="AZ26" s="1453"/>
      <c r="BA26" s="1453"/>
      <c r="BB26" s="1454"/>
      <c r="BC26" s="55">
        <f>+IF(AY25&gt;1,1,0)</f>
        <v>1</v>
      </c>
      <c r="BD26" s="174"/>
      <c r="BE26" s="174"/>
      <c r="BF26" s="174"/>
      <c r="BG26" s="174"/>
      <c r="BH26" s="174"/>
      <c r="BI26" s="177"/>
      <c r="BK26" s="174"/>
      <c r="BL26" s="1"/>
      <c r="BM26" s="174"/>
      <c r="BN26" s="9"/>
      <c r="BO26" s="9"/>
      <c r="BP26" s="107"/>
      <c r="BQ26" s="107"/>
      <c r="BR26" s="107"/>
      <c r="BS26" s="107"/>
      <c r="BT26" s="107"/>
      <c r="BU26" s="107"/>
      <c r="BV26" s="107"/>
      <c r="BW26" s="107"/>
      <c r="BX26" s="121"/>
      <c r="BY26" s="121"/>
      <c r="BZ26" s="121"/>
      <c r="CA26" s="121"/>
      <c r="CB26" s="121"/>
      <c r="CC26" s="39"/>
      <c r="CD26" s="174"/>
      <c r="CE26" s="174"/>
      <c r="CF26" s="174"/>
      <c r="CG26" s="174"/>
      <c r="CH26" s="1438" t="s">
        <v>135</v>
      </c>
      <c r="CI26" s="1438"/>
      <c r="CJ26" s="1438"/>
      <c r="CK26" s="174"/>
      <c r="CL26" s="1351"/>
      <c r="CM26" s="1352"/>
      <c r="CN26" s="1352"/>
      <c r="CO26" s="1352"/>
      <c r="CP26" s="1094"/>
      <c r="CQ26" s="1094"/>
      <c r="CR26" s="1094"/>
      <c r="CS26" s="1095"/>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174"/>
      <c r="BE27" s="174"/>
      <c r="BF27" s="174"/>
      <c r="BG27" s="174"/>
      <c r="BH27" s="174"/>
      <c r="BI27" s="177"/>
      <c r="BK27" s="174"/>
      <c r="BL27" s="1"/>
      <c r="BM27" s="174"/>
      <c r="BN27" s="36"/>
      <c r="BO27" s="9"/>
      <c r="BP27" s="131"/>
      <c r="BQ27" s="131"/>
      <c r="BR27" s="131"/>
      <c r="BS27" s="131"/>
      <c r="BT27" s="131"/>
      <c r="BU27" s="131"/>
      <c r="BV27" s="131"/>
      <c r="BW27" s="131"/>
      <c r="BX27" s="132"/>
      <c r="BY27" s="132"/>
      <c r="BZ27" s="132"/>
      <c r="CA27" s="132"/>
      <c r="CB27" s="132"/>
      <c r="CC27" s="174"/>
      <c r="CD27" s="174"/>
      <c r="CE27" s="174"/>
      <c r="CF27" s="174"/>
      <c r="CG27" s="174"/>
      <c r="CH27" s="1439"/>
      <c r="CI27" s="1439"/>
      <c r="CJ27" s="1439"/>
      <c r="CK27" s="174"/>
      <c r="CL27" s="1334" t="s">
        <v>136</v>
      </c>
      <c r="CM27" s="1334"/>
      <c r="CN27" s="1334"/>
      <c r="CO27" s="1334"/>
      <c r="CP27" s="1334"/>
      <c r="CQ27" s="1334"/>
      <c r="CR27" s="1334"/>
      <c r="CS27" s="1334"/>
      <c r="CT27" s="174"/>
      <c r="CU27" s="174"/>
      <c r="CV27" s="174"/>
      <c r="CW27" s="174"/>
      <c r="CX27" s="174"/>
      <c r="CY27" s="174"/>
      <c r="CZ27" s="174"/>
      <c r="DA27" s="174"/>
      <c r="DB27" s="39"/>
      <c r="DC27" s="39"/>
      <c r="DD27" s="39"/>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K28" s="174"/>
      <c r="BL28" s="1"/>
      <c r="BM28" s="174"/>
      <c r="BN28" s="9"/>
      <c r="BO28" s="9"/>
      <c r="BP28" s="131"/>
      <c r="BQ28" s="131"/>
      <c r="BR28" s="131"/>
      <c r="BS28" s="131"/>
      <c r="BT28" s="131"/>
      <c r="BU28" s="131"/>
      <c r="BV28" s="131"/>
      <c r="BW28" s="131"/>
      <c r="BX28" s="132"/>
      <c r="BY28" s="132"/>
      <c r="BZ28" s="132"/>
      <c r="CA28" s="132"/>
      <c r="CB28" s="132"/>
      <c r="CC28" s="174"/>
      <c r="CD28" s="174"/>
      <c r="CE28" s="174"/>
      <c r="CF28" s="174"/>
      <c r="CG28" s="174"/>
      <c r="CH28" s="1439"/>
      <c r="CI28" s="1439"/>
      <c r="CJ28" s="1439"/>
      <c r="CK28" s="174"/>
      <c r="CL28" s="1078">
        <v>1</v>
      </c>
      <c r="CM28" s="1136" t="s">
        <v>137</v>
      </c>
      <c r="CN28" s="1136"/>
      <c r="CO28" s="1077"/>
      <c r="CP28" s="238"/>
      <c r="CQ28" s="238"/>
      <c r="CR28" s="238"/>
      <c r="CS28" s="238"/>
      <c r="CT28" s="174"/>
      <c r="CU28" s="174"/>
      <c r="CV28" s="174"/>
      <c r="CW28" s="174"/>
      <c r="CX28" s="174"/>
      <c r="CY28" s="174"/>
      <c r="CZ28" s="174"/>
      <c r="DA28" s="174"/>
      <c r="DB28" s="39"/>
      <c r="DC28" s="39"/>
      <c r="DD28" s="39"/>
      <c r="DE28" s="174"/>
      <c r="DF28" s="174"/>
      <c r="DG28" s="174"/>
      <c r="DH28" s="174"/>
      <c r="DI28" s="174"/>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K29" s="174"/>
      <c r="BL29" s="1"/>
      <c r="BM29" s="174"/>
      <c r="BN29" s="36"/>
      <c r="BO29" s="9"/>
      <c r="BP29" s="107"/>
      <c r="BQ29" s="107"/>
      <c r="BR29" s="107"/>
      <c r="BS29" s="107"/>
      <c r="BT29" s="107"/>
      <c r="BU29" s="107"/>
      <c r="BV29" s="107"/>
      <c r="BW29" s="107"/>
      <c r="BX29" s="133"/>
      <c r="BY29" s="133"/>
      <c r="BZ29" s="133"/>
      <c r="CA29" s="133"/>
      <c r="CB29" s="133"/>
      <c r="CC29" s="174"/>
      <c r="CD29" s="174"/>
      <c r="CE29" s="174"/>
      <c r="CF29" s="174"/>
      <c r="CG29" s="174"/>
      <c r="CH29" s="1439"/>
      <c r="CI29" s="1439"/>
      <c r="CJ29" s="1439"/>
      <c r="CK29" s="174"/>
      <c r="CL29" s="1078"/>
      <c r="CM29" s="1136"/>
      <c r="CN29" s="1136"/>
      <c r="CO29" s="1077"/>
      <c r="CP29" s="238"/>
      <c r="CQ29" s="238"/>
      <c r="CR29" s="238"/>
      <c r="CS29" s="238"/>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K30" s="174"/>
      <c r="BL30" s="1"/>
      <c r="BM30" s="174"/>
      <c r="BN30" s="9"/>
      <c r="BO30" s="9"/>
      <c r="BP30" s="107"/>
      <c r="BQ30" s="107"/>
      <c r="BR30" s="107"/>
      <c r="BS30" s="107"/>
      <c r="BT30" s="107"/>
      <c r="BU30" s="107"/>
      <c r="BV30" s="107"/>
      <c r="BW30" s="107"/>
      <c r="BX30" s="133"/>
      <c r="BY30" s="133"/>
      <c r="BZ30" s="133"/>
      <c r="CA30" s="133"/>
      <c r="CB30" s="133"/>
      <c r="CC30" s="174"/>
      <c r="CD30" s="174"/>
      <c r="CE30" s="174"/>
      <c r="CF30" s="174"/>
      <c r="CG30" s="174"/>
      <c r="CH30" s="1440"/>
      <c r="CI30" s="1440"/>
      <c r="CJ30" s="1440"/>
      <c r="CK30" s="72"/>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325">
        <f>CH24/CL21</f>
        <v>3.2725564837726555</v>
      </c>
      <c r="CI31" s="1326"/>
      <c r="CJ31" s="1327"/>
      <c r="CK31" s="174"/>
      <c r="CL31" s="174"/>
      <c r="CM31" s="174"/>
      <c r="CN31" s="174"/>
      <c r="CO31" s="174"/>
      <c r="CP31" s="174"/>
      <c r="CQ31" s="174"/>
      <c r="CR31" s="174"/>
      <c r="CS31" s="174"/>
      <c r="CT31" s="174"/>
      <c r="CU31" s="174"/>
      <c r="CV31" s="174"/>
      <c r="CW31" s="1419">
        <f>DE31/DA38</f>
        <v>9.2987408380786469</v>
      </c>
      <c r="CX31" s="1420"/>
      <c r="CY31" s="1357" t="s">
        <v>135</v>
      </c>
      <c r="CZ31" s="1357"/>
      <c r="DA31" s="1357"/>
      <c r="DB31" s="1357"/>
      <c r="DC31" s="1425"/>
      <c r="DD31" s="1426">
        <v>1</v>
      </c>
      <c r="DE31" s="1429">
        <f>SUM(DN31:DN42)</f>
        <v>1213</v>
      </c>
      <c r="DF31" s="1432" t="s">
        <v>99</v>
      </c>
      <c r="DG31" s="1075"/>
      <c r="DH31" s="1075"/>
      <c r="DI31" s="1075"/>
      <c r="DJ31" s="1076"/>
      <c r="DK31" s="13"/>
      <c r="DL31" s="50"/>
      <c r="DM31" s="51"/>
      <c r="DN31" s="1417">
        <f>WBR_Master</f>
        <v>625</v>
      </c>
      <c r="DO31" s="1418" t="s">
        <v>99</v>
      </c>
      <c r="DP31" s="1075"/>
      <c r="DQ31" s="1075"/>
      <c r="DR31" s="1075"/>
      <c r="DS31" s="1076"/>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4"/>
      <c r="BU32" s="174"/>
      <c r="BV32" s="174"/>
      <c r="BW32" s="174"/>
      <c r="BX32" s="174"/>
      <c r="BY32" s="174"/>
      <c r="BZ32" s="174"/>
      <c r="CA32" s="174"/>
      <c r="CB32" s="174"/>
      <c r="CC32" s="174"/>
      <c r="CD32" s="174"/>
      <c r="CE32" s="174"/>
      <c r="CF32" s="174"/>
      <c r="CG32" s="174"/>
      <c r="CH32" s="1328"/>
      <c r="CI32" s="1329"/>
      <c r="CJ32" s="1330"/>
      <c r="CK32" s="174"/>
      <c r="CL32" s="174"/>
      <c r="CM32" s="174"/>
      <c r="CN32" s="174"/>
      <c r="CO32" s="174"/>
      <c r="CP32" s="174"/>
      <c r="CQ32" s="174"/>
      <c r="CR32" s="174"/>
      <c r="CS32" s="174"/>
      <c r="CT32" s="174"/>
      <c r="CU32" s="174"/>
      <c r="CV32" s="174"/>
      <c r="CW32" s="1421"/>
      <c r="CX32" s="1422"/>
      <c r="CY32" s="1357"/>
      <c r="CZ32" s="1357"/>
      <c r="DA32" s="1357"/>
      <c r="DB32" s="1357"/>
      <c r="DC32" s="1425"/>
      <c r="DD32" s="1427"/>
      <c r="DE32" s="1430"/>
      <c r="DF32" s="1433"/>
      <c r="DG32" s="870"/>
      <c r="DH32" s="870"/>
      <c r="DI32" s="870"/>
      <c r="DJ32" s="871"/>
      <c r="DK32" s="174"/>
      <c r="DL32" s="19"/>
      <c r="DM32" s="41"/>
      <c r="DN32" s="1316"/>
      <c r="DO32" s="1396"/>
      <c r="DP32" s="870"/>
      <c r="DQ32" s="870"/>
      <c r="DR32" s="870"/>
      <c r="DS32" s="871"/>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423"/>
      <c r="CX33" s="1424"/>
      <c r="CY33" s="1357"/>
      <c r="CZ33" s="1357"/>
      <c r="DA33" s="1357"/>
      <c r="DB33" s="1357"/>
      <c r="DC33" s="1425"/>
      <c r="DD33" s="1428"/>
      <c r="DE33" s="1431"/>
      <c r="DF33" s="1434"/>
      <c r="DG33" s="1094"/>
      <c r="DH33" s="1094"/>
      <c r="DI33" s="1094"/>
      <c r="DJ33" s="1095"/>
      <c r="DK33" s="174"/>
      <c r="DL33" s="19"/>
      <c r="DM33" s="41"/>
      <c r="DN33" s="1316"/>
      <c r="DO33" s="1396"/>
      <c r="DP33" s="870"/>
      <c r="DQ33" s="870"/>
      <c r="DR33" s="870"/>
      <c r="DS33" s="871"/>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9"/>
      <c r="DM34" s="41"/>
      <c r="DN34" s="1316">
        <f>WBT_Master</f>
        <v>0</v>
      </c>
      <c r="DO34" s="1396" t="s">
        <v>99</v>
      </c>
      <c r="DP34" s="870"/>
      <c r="DQ34" s="870"/>
      <c r="DR34" s="870"/>
      <c r="DS34" s="871"/>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4"/>
      <c r="BU35" s="174"/>
      <c r="BV35" s="174"/>
      <c r="BW35" s="1378" t="s">
        <v>132</v>
      </c>
      <c r="BX35" s="1379"/>
      <c r="BY35" s="1379"/>
      <c r="BZ35" s="1379"/>
      <c r="CA35" s="1379"/>
      <c r="CB35" s="1379"/>
      <c r="CC35" s="1379"/>
      <c r="CD35" s="1380"/>
      <c r="CE35" s="1411" t="s">
        <v>136</v>
      </c>
      <c r="CF35" s="1412">
        <v>1</v>
      </c>
      <c r="CG35" s="1413"/>
      <c r="CH35" s="174"/>
      <c r="CI35" s="174"/>
      <c r="CJ35" s="174"/>
      <c r="CK35" s="174"/>
      <c r="CL35" s="174"/>
      <c r="CM35" s="174"/>
      <c r="CN35" s="174"/>
      <c r="CO35" s="174"/>
      <c r="CP35" s="174"/>
      <c r="CQ35" s="174"/>
      <c r="CR35" s="174"/>
      <c r="CS35" s="174"/>
      <c r="CT35" s="174"/>
      <c r="CU35" s="174"/>
      <c r="CV35" s="174"/>
      <c r="CW35" s="174"/>
      <c r="CX35" s="222"/>
      <c r="CY35" s="222"/>
      <c r="CZ35" s="1416" t="s">
        <v>136</v>
      </c>
      <c r="DA35" s="1378" t="s">
        <v>132</v>
      </c>
      <c r="DB35" s="1379"/>
      <c r="DC35" s="1379"/>
      <c r="DD35" s="1379"/>
      <c r="DE35" s="1379"/>
      <c r="DF35" s="1379"/>
      <c r="DG35" s="1379"/>
      <c r="DH35" s="1380"/>
      <c r="DI35" s="174"/>
      <c r="DJ35" s="174"/>
      <c r="DK35" s="174"/>
      <c r="DL35" s="19"/>
      <c r="DM35" s="41"/>
      <c r="DN35" s="1316"/>
      <c r="DO35" s="1396"/>
      <c r="DP35" s="870"/>
      <c r="DQ35" s="870"/>
      <c r="DR35" s="870"/>
      <c r="DS35" s="871"/>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084"/>
      <c r="BM36" s="1075"/>
      <c r="BN36" s="1075"/>
      <c r="BO36" s="1075"/>
      <c r="BP36" s="1406" t="s">
        <v>99</v>
      </c>
      <c r="BQ36" s="1341">
        <f>EBU_Master</f>
        <v>0</v>
      </c>
      <c r="BR36" s="24"/>
      <c r="BS36" s="18"/>
      <c r="BT36" s="4"/>
      <c r="BU36" s="174"/>
      <c r="BV36" s="174"/>
      <c r="BW36" s="1381"/>
      <c r="BX36" s="1382"/>
      <c r="BY36" s="1382"/>
      <c r="BZ36" s="1382"/>
      <c r="CA36" s="1382"/>
      <c r="CB36" s="1382"/>
      <c r="CC36" s="1382"/>
      <c r="CD36" s="1383"/>
      <c r="CE36" s="1411"/>
      <c r="CF36" s="1414"/>
      <c r="CG36" s="1415"/>
      <c r="CH36" s="174"/>
      <c r="CI36" s="174"/>
      <c r="CJ36" s="174"/>
      <c r="CK36" s="174"/>
      <c r="CL36" s="174"/>
      <c r="CM36" s="174"/>
      <c r="CN36" s="174"/>
      <c r="CO36" s="174"/>
      <c r="CP36" s="174"/>
      <c r="CQ36" s="174"/>
      <c r="CR36" s="174"/>
      <c r="CS36" s="174"/>
      <c r="CT36" s="174"/>
      <c r="CU36" s="174"/>
      <c r="CV36" s="174"/>
      <c r="CW36" s="174"/>
      <c r="CX36" s="222"/>
      <c r="CY36" s="222"/>
      <c r="CZ36" s="1416"/>
      <c r="DA36" s="1381"/>
      <c r="DB36" s="1382"/>
      <c r="DC36" s="1382"/>
      <c r="DD36" s="1382"/>
      <c r="DE36" s="1382"/>
      <c r="DF36" s="1382"/>
      <c r="DG36" s="1382"/>
      <c r="DH36" s="1383"/>
      <c r="DI36" s="174"/>
      <c r="DJ36" s="174"/>
      <c r="DK36" s="174"/>
      <c r="DL36" s="19"/>
      <c r="DM36" s="41"/>
      <c r="DN36" s="1316"/>
      <c r="DO36" s="1396"/>
      <c r="DP36" s="870"/>
      <c r="DQ36" s="870"/>
      <c r="DR36" s="870"/>
      <c r="DS36" s="871"/>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869"/>
      <c r="BM37" s="870"/>
      <c r="BN37" s="870"/>
      <c r="BO37" s="870"/>
      <c r="BP37" s="1387"/>
      <c r="BQ37" s="1342"/>
      <c r="BR37" s="24"/>
      <c r="BS37" s="18"/>
      <c r="BT37" s="4"/>
      <c r="BU37" s="174"/>
      <c r="BV37" s="174"/>
      <c r="BW37" s="1384"/>
      <c r="BX37" s="1385"/>
      <c r="BY37" s="1385"/>
      <c r="BZ37" s="1385"/>
      <c r="CA37" s="1385"/>
      <c r="CB37" s="1385"/>
      <c r="CC37" s="1385"/>
      <c r="CD37" s="1386"/>
      <c r="CE37" s="1411"/>
      <c r="CF37" s="1407" t="s">
        <v>137</v>
      </c>
      <c r="CG37" s="1408"/>
      <c r="CH37" s="174"/>
      <c r="CI37" s="174"/>
      <c r="CJ37" s="174"/>
      <c r="CK37" s="174"/>
      <c r="CL37" s="174"/>
      <c r="CM37" s="174"/>
      <c r="CN37" s="174"/>
      <c r="CO37" s="174"/>
      <c r="CP37" s="174"/>
      <c r="CQ37" s="174"/>
      <c r="CR37" s="174"/>
      <c r="CS37" s="174"/>
      <c r="CT37" s="174"/>
      <c r="CU37" s="174"/>
      <c r="CV37" s="174"/>
      <c r="CW37" s="174"/>
      <c r="CX37" s="222"/>
      <c r="CY37" s="222"/>
      <c r="CZ37" s="1416"/>
      <c r="DA37" s="1384"/>
      <c r="DB37" s="1385"/>
      <c r="DC37" s="1385"/>
      <c r="DD37" s="1385"/>
      <c r="DE37" s="1385"/>
      <c r="DF37" s="1385"/>
      <c r="DG37" s="1385"/>
      <c r="DH37" s="1386"/>
      <c r="DI37" s="174"/>
      <c r="DJ37" s="174"/>
      <c r="DK37" s="174"/>
      <c r="DL37" s="19"/>
      <c r="DM37" s="41"/>
      <c r="DN37" s="1316">
        <f>WBL_Master</f>
        <v>588</v>
      </c>
      <c r="DO37" s="1396" t="s">
        <v>99</v>
      </c>
      <c r="DP37" s="870"/>
      <c r="DQ37" s="870"/>
      <c r="DR37" s="870"/>
      <c r="DS37" s="871"/>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869"/>
      <c r="BM38" s="870"/>
      <c r="BN38" s="870"/>
      <c r="BO38" s="870"/>
      <c r="BP38" s="1387"/>
      <c r="BQ38" s="1342"/>
      <c r="BR38" s="24"/>
      <c r="BS38" s="18"/>
      <c r="BT38" s="4"/>
      <c r="BU38" s="174"/>
      <c r="BV38" s="174"/>
      <c r="BW38" s="1349">
        <f>$DE$10*EXP(-$DL$10*BW42)</f>
        <v>80.477119298524116</v>
      </c>
      <c r="BX38" s="1350"/>
      <c r="BY38" s="1350"/>
      <c r="BZ38" s="1350"/>
      <c r="CA38" s="870" t="s">
        <v>133</v>
      </c>
      <c r="CB38" s="870"/>
      <c r="CC38" s="870"/>
      <c r="CD38" s="871"/>
      <c r="CE38" s="1411"/>
      <c r="CF38" s="1407"/>
      <c r="CG38" s="1408"/>
      <c r="CH38" s="174"/>
      <c r="CI38" s="174"/>
      <c r="CJ38" s="174"/>
      <c r="CK38" s="174"/>
      <c r="CL38" s="174"/>
      <c r="CM38" s="174"/>
      <c r="CN38" s="174"/>
      <c r="CO38" s="174"/>
      <c r="CP38" s="174"/>
      <c r="CQ38" s="174"/>
      <c r="CR38" s="174"/>
      <c r="CS38" s="174"/>
      <c r="CT38" s="174"/>
      <c r="CU38" s="174"/>
      <c r="CV38" s="174"/>
      <c r="CW38" s="174"/>
      <c r="CX38" s="222"/>
      <c r="CY38" s="222"/>
      <c r="CZ38" s="1416"/>
      <c r="DA38" s="1349">
        <f>$DE$10*EXP(-$DL$10*DA42)</f>
        <v>130.447769340202</v>
      </c>
      <c r="DB38" s="1350"/>
      <c r="DC38" s="1350"/>
      <c r="DD38" s="1350"/>
      <c r="DE38" s="870" t="s">
        <v>133</v>
      </c>
      <c r="DF38" s="870"/>
      <c r="DG38" s="870"/>
      <c r="DH38" s="871"/>
      <c r="DI38" s="174"/>
      <c r="DJ38" s="174"/>
      <c r="DK38" s="174"/>
      <c r="DL38" s="19"/>
      <c r="DM38" s="41"/>
      <c r="DN38" s="1316"/>
      <c r="DO38" s="1396"/>
      <c r="DP38" s="870"/>
      <c r="DQ38" s="870"/>
      <c r="DR38" s="870"/>
      <c r="DS38" s="871"/>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869"/>
      <c r="BM39" s="870"/>
      <c r="BN39" s="870"/>
      <c r="BO39" s="870"/>
      <c r="BP39" s="1387" t="s">
        <v>99</v>
      </c>
      <c r="BQ39" s="1342">
        <f>EBL_Master</f>
        <v>899</v>
      </c>
      <c r="BR39" s="24"/>
      <c r="BS39" s="18"/>
      <c r="BT39" s="4"/>
      <c r="BU39" s="174"/>
      <c r="BV39" s="174"/>
      <c r="BW39" s="1349"/>
      <c r="BX39" s="1350"/>
      <c r="BY39" s="1350"/>
      <c r="BZ39" s="1350"/>
      <c r="CA39" s="870"/>
      <c r="CB39" s="870"/>
      <c r="CC39" s="870"/>
      <c r="CD39" s="871"/>
      <c r="CE39" s="1411"/>
      <c r="CF39" s="1409"/>
      <c r="CG39" s="1410"/>
      <c r="CH39" s="174"/>
      <c r="CI39" s="174"/>
      <c r="CJ39" s="174"/>
      <c r="CK39" s="174"/>
      <c r="CL39" s="174"/>
      <c r="CM39" s="174"/>
      <c r="CN39" s="174"/>
      <c r="CO39" s="174"/>
      <c r="CP39" s="174"/>
      <c r="CQ39" s="174"/>
      <c r="CR39" s="174"/>
      <c r="CS39" s="174"/>
      <c r="CT39" s="174"/>
      <c r="CU39" s="174"/>
      <c r="CV39" s="174"/>
      <c r="CW39" s="174"/>
      <c r="CX39" s="1402" t="s">
        <v>137</v>
      </c>
      <c r="CY39" s="1403"/>
      <c r="CZ39" s="1416"/>
      <c r="DA39" s="1349"/>
      <c r="DB39" s="1350"/>
      <c r="DC39" s="1350"/>
      <c r="DD39" s="1350"/>
      <c r="DE39" s="870"/>
      <c r="DF39" s="870"/>
      <c r="DG39" s="870"/>
      <c r="DH39" s="871"/>
      <c r="DI39" s="174"/>
      <c r="DJ39" s="174"/>
      <c r="DK39" s="174"/>
      <c r="DL39" s="19"/>
      <c r="DM39" s="41"/>
      <c r="DN39" s="1316"/>
      <c r="DO39" s="1396"/>
      <c r="DP39" s="870"/>
      <c r="DQ39" s="870"/>
      <c r="DR39" s="870"/>
      <c r="DS39" s="871"/>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869"/>
      <c r="BM40" s="870"/>
      <c r="BN40" s="870"/>
      <c r="BO40" s="870"/>
      <c r="BP40" s="1387"/>
      <c r="BQ40" s="1342"/>
      <c r="BR40" s="24"/>
      <c r="BS40" s="18"/>
      <c r="BT40" s="4"/>
      <c r="BU40" s="174"/>
      <c r="BV40" s="174"/>
      <c r="BW40" s="1343" t="s">
        <v>134</v>
      </c>
      <c r="BX40" s="1344"/>
      <c r="BY40" s="1344"/>
      <c r="BZ40" s="1344"/>
      <c r="CA40" s="1344"/>
      <c r="CB40" s="1344"/>
      <c r="CC40" s="1344"/>
      <c r="CD40" s="1345"/>
      <c r="CE40" s="1411"/>
      <c r="CF40" s="222"/>
      <c r="CG40" s="222"/>
      <c r="CH40" s="174"/>
      <c r="CI40" s="174"/>
      <c r="CJ40" s="174"/>
      <c r="CK40" s="174"/>
      <c r="CL40" s="174"/>
      <c r="CM40" s="174"/>
      <c r="CN40" s="174"/>
      <c r="CO40" s="174"/>
      <c r="CP40" s="174"/>
      <c r="CQ40" s="174"/>
      <c r="CR40" s="174"/>
      <c r="CS40" s="174"/>
      <c r="CT40" s="174"/>
      <c r="CU40" s="174"/>
      <c r="CV40" s="174"/>
      <c r="CW40" s="174"/>
      <c r="CX40" s="1404"/>
      <c r="CY40" s="1405"/>
      <c r="CZ40" s="1416"/>
      <c r="DA40" s="1343" t="s">
        <v>134</v>
      </c>
      <c r="DB40" s="1344"/>
      <c r="DC40" s="1344"/>
      <c r="DD40" s="1344"/>
      <c r="DE40" s="1344"/>
      <c r="DF40" s="1344"/>
      <c r="DG40" s="1344"/>
      <c r="DH40" s="1345"/>
      <c r="DI40" s="174"/>
      <c r="DJ40" s="174"/>
      <c r="DK40" s="174"/>
      <c r="DL40" s="19"/>
      <c r="DM40" s="41"/>
      <c r="DN40" s="1316">
        <f>WBU_Master</f>
        <v>0</v>
      </c>
      <c r="DO40" s="1396" t="s">
        <v>99</v>
      </c>
      <c r="DP40" s="870"/>
      <c r="DQ40" s="870"/>
      <c r="DR40" s="870"/>
      <c r="DS40" s="871"/>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869"/>
      <c r="BM41" s="870"/>
      <c r="BN41" s="870"/>
      <c r="BO41" s="870"/>
      <c r="BP41" s="1387"/>
      <c r="BQ41" s="1342"/>
      <c r="BR41" s="24"/>
      <c r="BS41" s="18"/>
      <c r="BT41" s="4"/>
      <c r="BU41" s="174"/>
      <c r="BV41" s="174"/>
      <c r="BW41" s="1346"/>
      <c r="BX41" s="1347"/>
      <c r="BY41" s="1347"/>
      <c r="BZ41" s="1347"/>
      <c r="CA41" s="1347"/>
      <c r="CB41" s="1347"/>
      <c r="CC41" s="1347"/>
      <c r="CD41" s="1348"/>
      <c r="CE41" s="1411"/>
      <c r="CF41" s="222"/>
      <c r="CG41" s="222"/>
      <c r="CH41" s="174"/>
      <c r="CI41" s="174"/>
      <c r="CJ41" s="174"/>
      <c r="CK41" s="174"/>
      <c r="CL41" s="174"/>
      <c r="CM41" s="174"/>
      <c r="CN41" s="174"/>
      <c r="CO41" s="174"/>
      <c r="CP41" s="174"/>
      <c r="CQ41" s="174"/>
      <c r="CR41" s="174"/>
      <c r="CS41" s="174"/>
      <c r="CT41" s="174"/>
      <c r="CU41" s="174"/>
      <c r="CV41" s="174"/>
      <c r="CW41" s="174"/>
      <c r="CX41" s="1404"/>
      <c r="CY41" s="1405"/>
      <c r="CZ41" s="1416"/>
      <c r="DA41" s="1346"/>
      <c r="DB41" s="1347"/>
      <c r="DC41" s="1347"/>
      <c r="DD41" s="1347"/>
      <c r="DE41" s="1347"/>
      <c r="DF41" s="1347"/>
      <c r="DG41" s="1347"/>
      <c r="DH41" s="1348"/>
      <c r="DI41" s="174"/>
      <c r="DJ41" s="174"/>
      <c r="DK41" s="174"/>
      <c r="DL41" s="19"/>
      <c r="DM41" s="41"/>
      <c r="DN41" s="1316"/>
      <c r="DO41" s="1396"/>
      <c r="DP41" s="870"/>
      <c r="DQ41" s="870"/>
      <c r="DR41" s="870"/>
      <c r="DS41" s="871"/>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869"/>
      <c r="BM42" s="870"/>
      <c r="BN42" s="870"/>
      <c r="BO42" s="870"/>
      <c r="BP42" s="1387" t="s">
        <v>99</v>
      </c>
      <c r="BQ42" s="1342">
        <f>EBT_Master</f>
        <v>0</v>
      </c>
      <c r="BR42" s="24"/>
      <c r="BS42" s="18"/>
      <c r="BT42" s="4"/>
      <c r="BU42" s="174"/>
      <c r="BV42" s="174"/>
      <c r="BW42" s="1349">
        <f>CK15+CN15+CQ15+DN37+DN40+CL64</f>
        <v>2642</v>
      </c>
      <c r="BX42" s="1350"/>
      <c r="BY42" s="1350"/>
      <c r="BZ42" s="1350"/>
      <c r="CA42" s="870" t="s">
        <v>133</v>
      </c>
      <c r="CB42" s="870"/>
      <c r="CC42" s="870"/>
      <c r="CD42" s="871"/>
      <c r="CE42" s="1411"/>
      <c r="CF42" s="222"/>
      <c r="CG42" s="222"/>
      <c r="CH42" s="174"/>
      <c r="CI42" s="174"/>
      <c r="CJ42" s="174"/>
      <c r="CK42" s="174"/>
      <c r="CL42" s="174"/>
      <c r="CM42" s="174"/>
      <c r="CN42" s="174"/>
      <c r="CO42" s="174"/>
      <c r="CP42" s="174"/>
      <c r="CQ42" s="174"/>
      <c r="CR42" s="174"/>
      <c r="CS42" s="174"/>
      <c r="CT42" s="174"/>
      <c r="CU42" s="174"/>
      <c r="CV42" s="174"/>
      <c r="CW42" s="174"/>
      <c r="CX42" s="1398">
        <v>1</v>
      </c>
      <c r="CY42" s="1399"/>
      <c r="CZ42" s="1416"/>
      <c r="DA42" s="1349">
        <f>CL64+CO64+CR64+CQ15+BQ39+BQ36</f>
        <v>2159</v>
      </c>
      <c r="DB42" s="1350"/>
      <c r="DC42" s="1350"/>
      <c r="DD42" s="1350"/>
      <c r="DE42" s="870" t="s">
        <v>133</v>
      </c>
      <c r="DF42" s="870"/>
      <c r="DG42" s="870"/>
      <c r="DH42" s="871"/>
      <c r="DI42" s="174"/>
      <c r="DJ42" s="174"/>
      <c r="DK42" s="174"/>
      <c r="DL42" s="19"/>
      <c r="DM42" s="41"/>
      <c r="DN42" s="1317"/>
      <c r="DO42" s="1397"/>
      <c r="DP42" s="1094"/>
      <c r="DQ42" s="1094"/>
      <c r="DR42" s="1094"/>
      <c r="DS42" s="1095"/>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869"/>
      <c r="BM43" s="870"/>
      <c r="BN43" s="870"/>
      <c r="BO43" s="870"/>
      <c r="BP43" s="1387"/>
      <c r="BQ43" s="1342"/>
      <c r="BR43" s="24"/>
      <c r="BS43" s="18"/>
      <c r="BT43" s="4"/>
      <c r="BU43" s="174"/>
      <c r="BV43" s="174"/>
      <c r="BW43" s="1351"/>
      <c r="BX43" s="1352"/>
      <c r="BY43" s="1352"/>
      <c r="BZ43" s="1352"/>
      <c r="CA43" s="1094"/>
      <c r="CB43" s="1094"/>
      <c r="CC43" s="1094"/>
      <c r="CD43" s="1095"/>
      <c r="CE43" s="1411"/>
      <c r="CF43" s="222"/>
      <c r="CG43" s="222"/>
      <c r="CH43" s="174"/>
      <c r="CI43" s="174"/>
      <c r="CJ43" s="174"/>
      <c r="CK43" s="174"/>
      <c r="CL43" s="174"/>
      <c r="CM43" s="174"/>
      <c r="CN43" s="174"/>
      <c r="CO43" s="174"/>
      <c r="CP43" s="174"/>
      <c r="CQ43" s="174"/>
      <c r="CR43" s="174"/>
      <c r="CS43" s="174"/>
      <c r="CT43" s="174"/>
      <c r="CU43" s="174"/>
      <c r="CV43" s="174"/>
      <c r="CW43" s="174"/>
      <c r="CX43" s="1400"/>
      <c r="CY43" s="1401"/>
      <c r="CZ43" s="1416"/>
      <c r="DA43" s="1351"/>
      <c r="DB43" s="1352"/>
      <c r="DC43" s="1352"/>
      <c r="DD43" s="1352"/>
      <c r="DE43" s="1094"/>
      <c r="DF43" s="1094"/>
      <c r="DG43" s="1094"/>
      <c r="DH43" s="1095"/>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869"/>
      <c r="BM44" s="870"/>
      <c r="BN44" s="870"/>
      <c r="BO44" s="870"/>
      <c r="BP44" s="1387"/>
      <c r="BQ44" s="1342"/>
      <c r="BR44" s="24"/>
      <c r="BS44" s="18"/>
      <c r="BT44" s="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869"/>
      <c r="BM45" s="870"/>
      <c r="BN45" s="870"/>
      <c r="BO45" s="870"/>
      <c r="BP45" s="1387" t="s">
        <v>99</v>
      </c>
      <c r="BQ45" s="1342">
        <f>EBR_Master</f>
        <v>208</v>
      </c>
      <c r="BR45" s="24"/>
      <c r="BS45" s="18"/>
      <c r="BT45" s="4"/>
      <c r="BU45" s="1084"/>
      <c r="BV45" s="1075"/>
      <c r="BW45" s="1075"/>
      <c r="BX45" s="1075"/>
      <c r="BY45" s="1390" t="s">
        <v>99</v>
      </c>
      <c r="BZ45" s="1393">
        <f>SUM(BQ36:BQ47)</f>
        <v>1107</v>
      </c>
      <c r="CA45" s="1353">
        <v>1</v>
      </c>
      <c r="CB45" s="1356" t="s">
        <v>135</v>
      </c>
      <c r="CC45" s="1357"/>
      <c r="CD45" s="1357"/>
      <c r="CE45" s="1357"/>
      <c r="CF45" s="1358"/>
      <c r="CG45" s="1359">
        <f>BZ45/BW38</f>
        <v>13.755462542013497</v>
      </c>
      <c r="CH45" s="1360"/>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869"/>
      <c r="BM46" s="870"/>
      <c r="BN46" s="870"/>
      <c r="BO46" s="870"/>
      <c r="BP46" s="1387"/>
      <c r="BQ46" s="1342"/>
      <c r="BR46" s="24"/>
      <c r="BS46" s="18"/>
      <c r="BT46" s="4"/>
      <c r="BU46" s="869"/>
      <c r="BV46" s="870"/>
      <c r="BW46" s="870"/>
      <c r="BX46" s="870"/>
      <c r="BY46" s="1391"/>
      <c r="BZ46" s="1394"/>
      <c r="CA46" s="1354"/>
      <c r="CB46" s="1356"/>
      <c r="CC46" s="1357"/>
      <c r="CD46" s="1357"/>
      <c r="CE46" s="1357"/>
      <c r="CF46" s="1358"/>
      <c r="CG46" s="1361"/>
      <c r="CH46" s="1362"/>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106"/>
      <c r="BM47" s="1094"/>
      <c r="BN47" s="1094"/>
      <c r="BO47" s="1094"/>
      <c r="BP47" s="1388"/>
      <c r="BQ47" s="1389"/>
      <c r="BR47" s="46"/>
      <c r="BS47" s="47"/>
      <c r="BT47" s="45"/>
      <c r="BU47" s="1106"/>
      <c r="BV47" s="1094"/>
      <c r="BW47" s="1094"/>
      <c r="BX47" s="1094"/>
      <c r="BY47" s="1392"/>
      <c r="BZ47" s="1395"/>
      <c r="CA47" s="1355"/>
      <c r="CB47" s="1356"/>
      <c r="CC47" s="1357"/>
      <c r="CD47" s="1357"/>
      <c r="CE47" s="1357"/>
      <c r="CF47" s="1358"/>
      <c r="CG47" s="1363"/>
      <c r="CH47" s="1364"/>
      <c r="CI47" s="174"/>
      <c r="CJ47" s="174"/>
      <c r="CK47" s="174"/>
      <c r="CL47" s="174"/>
      <c r="CM47" s="174"/>
      <c r="CN47" s="174"/>
      <c r="CO47" s="174"/>
      <c r="CP47" s="174"/>
      <c r="CQ47" s="174"/>
      <c r="CR47" s="174"/>
      <c r="CS47" s="174"/>
      <c r="CT47" s="174"/>
      <c r="CU47" s="1325">
        <f>CU55/CL56</f>
        <v>9.2567179515502698</v>
      </c>
      <c r="CV47" s="1326"/>
      <c r="CW47" s="1327"/>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328"/>
      <c r="CV48" s="1329"/>
      <c r="CW48" s="1330"/>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72"/>
      <c r="CU49" s="1331" t="s">
        <v>135</v>
      </c>
      <c r="CV49" s="1331"/>
      <c r="CW49" s="1331"/>
      <c r="CX49" s="174"/>
      <c r="CY49" s="174"/>
      <c r="CZ49" s="174"/>
      <c r="DA49" s="174"/>
      <c r="DB49" s="39"/>
      <c r="DC49" s="39"/>
      <c r="DD49" s="39"/>
      <c r="DE49" s="39"/>
      <c r="DF49" s="39"/>
      <c r="DG49" s="39"/>
      <c r="DH49" s="39"/>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078">
        <v>1</v>
      </c>
      <c r="CM50" s="1136" t="s">
        <v>137</v>
      </c>
      <c r="CN50" s="1136"/>
      <c r="CO50" s="1077"/>
      <c r="CP50" s="238"/>
      <c r="CQ50" s="238"/>
      <c r="CR50" s="238"/>
      <c r="CS50" s="238"/>
      <c r="CT50" s="174"/>
      <c r="CU50" s="1332"/>
      <c r="CV50" s="1332"/>
      <c r="CW50" s="1332"/>
      <c r="CX50" s="174"/>
      <c r="CY50" s="174"/>
      <c r="CZ50" s="174"/>
      <c r="DA50" s="174"/>
      <c r="DB50" s="39"/>
      <c r="DC50" s="39"/>
      <c r="DD50" s="39"/>
      <c r="DE50" s="39"/>
      <c r="DF50" s="39"/>
      <c r="DG50" s="39"/>
      <c r="DH50" s="39"/>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078"/>
      <c r="CM51" s="1136"/>
      <c r="CN51" s="1136"/>
      <c r="CO51" s="1077"/>
      <c r="CP51" s="238"/>
      <c r="CQ51" s="238"/>
      <c r="CR51" s="238"/>
      <c r="CS51" s="238"/>
      <c r="CT51" s="174"/>
      <c r="CU51" s="1332"/>
      <c r="CV51" s="1332"/>
      <c r="CW51" s="1332"/>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334" t="s">
        <v>136</v>
      </c>
      <c r="CM52" s="1334"/>
      <c r="CN52" s="1334"/>
      <c r="CO52" s="1334"/>
      <c r="CP52" s="1334"/>
      <c r="CQ52" s="1334"/>
      <c r="CR52" s="1334"/>
      <c r="CS52" s="1334"/>
      <c r="CT52" s="174"/>
      <c r="CU52" s="1332"/>
      <c r="CV52" s="1332"/>
      <c r="CW52" s="1332"/>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378" t="s">
        <v>132</v>
      </c>
      <c r="CM53" s="1379"/>
      <c r="CN53" s="1379"/>
      <c r="CO53" s="1379"/>
      <c r="CP53" s="1379"/>
      <c r="CQ53" s="1379"/>
      <c r="CR53" s="1379"/>
      <c r="CS53" s="1380"/>
      <c r="CT53" s="174"/>
      <c r="CU53" s="1333"/>
      <c r="CV53" s="1333"/>
      <c r="CW53" s="1333"/>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381"/>
      <c r="CM54" s="1382"/>
      <c r="CN54" s="1382"/>
      <c r="CO54" s="1382"/>
      <c r="CP54" s="1382"/>
      <c r="CQ54" s="1382"/>
      <c r="CR54" s="1382"/>
      <c r="CS54" s="1383"/>
      <c r="CT54" s="174"/>
      <c r="CU54" s="1369">
        <v>1</v>
      </c>
      <c r="CV54" s="1370"/>
      <c r="CW54" s="1371"/>
      <c r="CX54" s="174"/>
      <c r="CY54" s="174"/>
      <c r="CZ54" s="174"/>
      <c r="DA54" s="174"/>
      <c r="DB54" s="174"/>
      <c r="DC54" s="174"/>
      <c r="DD54" s="174"/>
      <c r="DE54" s="174"/>
      <c r="DF54" s="154"/>
      <c r="DG54" s="154"/>
      <c r="DH54" s="155"/>
      <c r="DI54" s="155"/>
      <c r="DJ54" s="155"/>
      <c r="DK54" s="155"/>
      <c r="DL54" s="155"/>
      <c r="DM54" s="55"/>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39"/>
      <c r="CC55" s="39"/>
      <c r="CD55" s="174"/>
      <c r="CE55" s="174"/>
      <c r="CF55" s="174"/>
      <c r="CG55" s="174"/>
      <c r="CH55" s="174"/>
      <c r="CI55" s="174"/>
      <c r="CJ55" s="174"/>
      <c r="CK55" s="174"/>
      <c r="CL55" s="1384"/>
      <c r="CM55" s="1385"/>
      <c r="CN55" s="1385"/>
      <c r="CO55" s="1385"/>
      <c r="CP55" s="1385"/>
      <c r="CQ55" s="1385"/>
      <c r="CR55" s="1385"/>
      <c r="CS55" s="1386"/>
      <c r="CT55" s="174"/>
      <c r="CU55" s="1372">
        <f>SUM(CL64:CW64)</f>
        <v>2320</v>
      </c>
      <c r="CV55" s="1373"/>
      <c r="CW55" s="1374"/>
      <c r="CX55" s="174"/>
      <c r="CY55" s="174"/>
      <c r="CZ55" s="174"/>
      <c r="DA55" s="174"/>
      <c r="DB55" s="174"/>
      <c r="DC55" s="174"/>
      <c r="DD55" s="174"/>
      <c r="DE55" s="174"/>
      <c r="DF55" s="154"/>
      <c r="DG55" s="154"/>
      <c r="DH55" s="155"/>
      <c r="DI55" s="155"/>
      <c r="DJ55" s="155"/>
      <c r="DK55" s="155"/>
      <c r="DL55" s="155"/>
      <c r="DM55" s="55"/>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6"/>
      <c r="BN56" s="6"/>
      <c r="BO56" s="6"/>
      <c r="BP56" s="6"/>
      <c r="BQ56" s="174"/>
      <c r="BR56" s="174"/>
      <c r="BS56" s="174"/>
      <c r="BT56" s="174"/>
      <c r="BU56" s="174"/>
      <c r="BV56" s="174"/>
      <c r="BW56" s="174"/>
      <c r="BX56" s="174"/>
      <c r="BY56" s="174"/>
      <c r="BZ56" s="174"/>
      <c r="CA56" s="174"/>
      <c r="CB56" s="39"/>
      <c r="CC56" s="39"/>
      <c r="CD56" s="174"/>
      <c r="CE56" s="174"/>
      <c r="CF56" s="174"/>
      <c r="CG56" s="174"/>
      <c r="CH56" s="174"/>
      <c r="CI56" s="174"/>
      <c r="CJ56" s="174"/>
      <c r="CK56" s="174"/>
      <c r="CL56" s="1349">
        <f>$DE$10*EXP(-$DL$10*CL60)</f>
        <v>250.62878788604093</v>
      </c>
      <c r="CM56" s="1350"/>
      <c r="CN56" s="1350"/>
      <c r="CO56" s="1350"/>
      <c r="CP56" s="870" t="s">
        <v>133</v>
      </c>
      <c r="CQ56" s="870"/>
      <c r="CR56" s="870"/>
      <c r="CS56" s="871"/>
      <c r="CT56" s="174"/>
      <c r="CU56" s="1375" t="s">
        <v>99</v>
      </c>
      <c r="CV56" s="1376"/>
      <c r="CW56" s="1377"/>
      <c r="CX56" s="174"/>
      <c r="CY56" s="174"/>
      <c r="CZ56" s="174"/>
      <c r="DA56" s="174"/>
      <c r="DB56" s="174"/>
      <c r="DC56" s="174"/>
      <c r="DD56" s="174"/>
      <c r="DE56" s="174"/>
      <c r="DF56" s="154"/>
      <c r="DG56" s="154"/>
      <c r="DH56" s="155"/>
      <c r="DI56" s="155"/>
      <c r="DJ56" s="155"/>
      <c r="DK56" s="155"/>
      <c r="DL56" s="155"/>
      <c r="DM56" s="55"/>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349"/>
      <c r="CM57" s="1350"/>
      <c r="CN57" s="1350"/>
      <c r="CO57" s="1350"/>
      <c r="CP57" s="870"/>
      <c r="CQ57" s="870"/>
      <c r="CR57" s="870"/>
      <c r="CS57" s="871"/>
      <c r="CT57" s="174"/>
      <c r="CU57" s="1053"/>
      <c r="CV57" s="1054"/>
      <c r="CW57" s="1058"/>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343" t="s">
        <v>134</v>
      </c>
      <c r="CM58" s="1344"/>
      <c r="CN58" s="1344"/>
      <c r="CO58" s="1344"/>
      <c r="CP58" s="1344"/>
      <c r="CQ58" s="1344"/>
      <c r="CR58" s="1344"/>
      <c r="CS58" s="1345"/>
      <c r="CT58" s="174"/>
      <c r="CU58" s="1053"/>
      <c r="CV58" s="1054"/>
      <c r="CW58" s="1058"/>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346"/>
      <c r="CM59" s="1347"/>
      <c r="CN59" s="1347"/>
      <c r="CO59" s="1347"/>
      <c r="CP59" s="1347"/>
      <c r="CQ59" s="1347"/>
      <c r="CR59" s="1347"/>
      <c r="CS59" s="1348"/>
      <c r="CT59" s="174"/>
      <c r="CU59" s="1053"/>
      <c r="CV59" s="1054"/>
      <c r="CW59" s="1058"/>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thickBot="1">
      <c r="B60" s="1"/>
      <c r="C60" s="174"/>
      <c r="D60" s="174"/>
      <c r="E60" s="174"/>
      <c r="F60" s="174"/>
      <c r="G60" s="174"/>
      <c r="H60" s="174"/>
      <c r="I60" s="174"/>
      <c r="J60" s="1378" t="s">
        <v>132</v>
      </c>
      <c r="K60" s="1379"/>
      <c r="L60" s="1379"/>
      <c r="M60" s="1379"/>
      <c r="N60" s="1379"/>
      <c r="O60" s="1379"/>
      <c r="P60" s="1379"/>
      <c r="Q60" s="1380"/>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378" t="s">
        <v>132</v>
      </c>
      <c r="AU60" s="1379"/>
      <c r="AV60" s="1379"/>
      <c r="AW60" s="1379"/>
      <c r="AX60" s="1379"/>
      <c r="AY60" s="1379"/>
      <c r="AZ60" s="1379"/>
      <c r="BA60" s="1380"/>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349">
        <f>BQ36+BQ39+BQ42+CN15+CQ15+DN40</f>
        <v>1506</v>
      </c>
      <c r="CM60" s="1350"/>
      <c r="CN60" s="1350"/>
      <c r="CO60" s="1350"/>
      <c r="CP60" s="870" t="s">
        <v>133</v>
      </c>
      <c r="CQ60" s="870"/>
      <c r="CR60" s="870"/>
      <c r="CS60" s="871"/>
      <c r="CT60" s="174"/>
      <c r="CU60" s="1116"/>
      <c r="CV60" s="1117"/>
      <c r="CW60" s="1119"/>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381"/>
      <c r="K61" s="1382"/>
      <c r="L61" s="1382"/>
      <c r="M61" s="1382"/>
      <c r="N61" s="1382"/>
      <c r="O61" s="1382"/>
      <c r="P61" s="1382"/>
      <c r="Q61" s="1383"/>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381"/>
      <c r="AU61" s="1382"/>
      <c r="AV61" s="1382"/>
      <c r="AW61" s="1382"/>
      <c r="AX61" s="1382"/>
      <c r="AY61" s="1382"/>
      <c r="AZ61" s="1382"/>
      <c r="BA61" s="1383"/>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351"/>
      <c r="CM61" s="1352"/>
      <c r="CN61" s="1352"/>
      <c r="CO61" s="1352"/>
      <c r="CP61" s="1094"/>
      <c r="CQ61" s="1094"/>
      <c r="CR61" s="1094"/>
      <c r="CS61" s="1095"/>
      <c r="CT61" s="174"/>
      <c r="CU61" s="174"/>
      <c r="CV61" s="174"/>
      <c r="CW61" s="177"/>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384"/>
      <c r="K62" s="1385"/>
      <c r="L62" s="1385"/>
      <c r="M62" s="1385"/>
      <c r="N62" s="1385"/>
      <c r="O62" s="1385"/>
      <c r="P62" s="1385"/>
      <c r="Q62" s="1386"/>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384"/>
      <c r="AU62" s="1385"/>
      <c r="AV62" s="1385"/>
      <c r="AW62" s="1385"/>
      <c r="AX62" s="1385"/>
      <c r="AY62" s="1385"/>
      <c r="AZ62" s="1385"/>
      <c r="BA62" s="1386"/>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6"/>
      <c r="CM62" s="16"/>
      <c r="CN62" s="16"/>
      <c r="CO62" s="16"/>
      <c r="CP62" s="16"/>
      <c r="CQ62" s="16"/>
      <c r="CR62" s="16"/>
      <c r="CS62" s="16"/>
      <c r="CT62" s="16"/>
      <c r="CU62" s="16"/>
      <c r="CV62" s="16"/>
      <c r="CW62" s="48"/>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455">
        <f>BW38</f>
        <v>80.477119298524116</v>
      </c>
      <c r="K63" s="1456"/>
      <c r="L63" s="1456"/>
      <c r="M63" s="1456"/>
      <c r="N63" s="1457" t="s">
        <v>133</v>
      </c>
      <c r="O63" s="1457"/>
      <c r="P63" s="1457"/>
      <c r="Q63" s="1458"/>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455">
        <f>CL56</f>
        <v>250.62878788604093</v>
      </c>
      <c r="AU63" s="1456"/>
      <c r="AV63" s="1456"/>
      <c r="AW63" s="1456"/>
      <c r="AX63" s="1457" t="s">
        <v>133</v>
      </c>
      <c r="AY63" s="1457"/>
      <c r="AZ63" s="1457"/>
      <c r="BA63" s="1458"/>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25"/>
      <c r="CM63" s="25"/>
      <c r="CN63" s="25"/>
      <c r="CO63" s="25"/>
      <c r="CP63" s="25"/>
      <c r="CQ63" s="25"/>
      <c r="CR63" s="25"/>
      <c r="CS63" s="25"/>
      <c r="CT63" s="25"/>
      <c r="CU63" s="25"/>
      <c r="CV63" s="25"/>
      <c r="CW63" s="49"/>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455"/>
      <c r="K64" s="1456"/>
      <c r="L64" s="1456"/>
      <c r="M64" s="1456"/>
      <c r="N64" s="1457"/>
      <c r="O64" s="1457"/>
      <c r="P64" s="1457"/>
      <c r="Q64" s="1458"/>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455"/>
      <c r="AU64" s="1456"/>
      <c r="AV64" s="1456"/>
      <c r="AW64" s="1456"/>
      <c r="AX64" s="1457"/>
      <c r="AY64" s="1457"/>
      <c r="AZ64" s="1457"/>
      <c r="BA64" s="1458"/>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301">
        <f>NBU_Master</f>
        <v>0</v>
      </c>
      <c r="CM64" s="1302"/>
      <c r="CN64" s="1302"/>
      <c r="CO64" s="1302">
        <f>NBL_Master</f>
        <v>0</v>
      </c>
      <c r="CP64" s="1302"/>
      <c r="CQ64" s="1302"/>
      <c r="CR64" s="1302">
        <f>NBT_Master</f>
        <v>1260</v>
      </c>
      <c r="CS64" s="1302"/>
      <c r="CT64" s="1302"/>
      <c r="CU64" s="1302">
        <f>NBR_Master</f>
        <v>1060</v>
      </c>
      <c r="CV64" s="1302"/>
      <c r="CW64" s="1365"/>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447">
        <f>CG45</f>
        <v>13.755462542013497</v>
      </c>
      <c r="K65" s="1448"/>
      <c r="L65" s="1448"/>
      <c r="M65" s="1448"/>
      <c r="N65" s="1451" t="s">
        <v>55</v>
      </c>
      <c r="O65" s="1451"/>
      <c r="P65" s="1451"/>
      <c r="Q65" s="1452"/>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447">
        <f>CU47</f>
        <v>9.2567179515502698</v>
      </c>
      <c r="AU65" s="1448"/>
      <c r="AV65" s="1448"/>
      <c r="AW65" s="1448"/>
      <c r="AX65" s="1451" t="s">
        <v>55</v>
      </c>
      <c r="AY65" s="1451"/>
      <c r="AZ65" s="1451"/>
      <c r="BA65" s="1452"/>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366" t="s">
        <v>99</v>
      </c>
      <c r="CM65" s="1367"/>
      <c r="CN65" s="1367"/>
      <c r="CO65" s="1367" t="s">
        <v>99</v>
      </c>
      <c r="CP65" s="1367"/>
      <c r="CQ65" s="1367"/>
      <c r="CR65" s="1367" t="s">
        <v>99</v>
      </c>
      <c r="CS65" s="1367"/>
      <c r="CT65" s="1367"/>
      <c r="CU65" s="1367" t="s">
        <v>99</v>
      </c>
      <c r="CV65" s="1367"/>
      <c r="CW65" s="1368"/>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174"/>
      <c r="F66" s="174"/>
      <c r="G66" s="174"/>
      <c r="H66" s="174"/>
      <c r="I66" s="174"/>
      <c r="J66" s="1449"/>
      <c r="K66" s="1450"/>
      <c r="L66" s="1450"/>
      <c r="M66" s="1450"/>
      <c r="N66" s="1453"/>
      <c r="O66" s="1453"/>
      <c r="P66" s="1453"/>
      <c r="Q66" s="1454"/>
      <c r="R66" s="55">
        <f>+IF(J65&gt;1,1,0)</f>
        <v>1</v>
      </c>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449"/>
      <c r="AU66" s="1450"/>
      <c r="AV66" s="1450"/>
      <c r="AW66" s="1450"/>
      <c r="AX66" s="1453"/>
      <c r="AY66" s="1453"/>
      <c r="AZ66" s="1453"/>
      <c r="BA66" s="1454"/>
      <c r="BB66" s="55">
        <f>+IF(AT65&gt;1,1,0)</f>
        <v>1</v>
      </c>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053"/>
      <c r="CM66" s="1054"/>
      <c r="CN66" s="1054"/>
      <c r="CO66" s="1054"/>
      <c r="CP66" s="1054"/>
      <c r="CQ66" s="1054"/>
      <c r="CR66" s="1054"/>
      <c r="CS66" s="1054"/>
      <c r="CT66" s="1054"/>
      <c r="CU66" s="1054"/>
      <c r="CV66" s="1054"/>
      <c r="CW66" s="1058"/>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6"/>
      <c r="BQ67" s="16"/>
      <c r="BR67" s="16"/>
      <c r="BS67" s="16"/>
      <c r="BT67" s="16"/>
      <c r="BU67" s="174"/>
      <c r="BV67" s="174"/>
      <c r="BW67" s="174"/>
      <c r="BX67" s="174"/>
      <c r="BY67" s="174"/>
      <c r="BZ67" s="174"/>
      <c r="CA67" s="174"/>
      <c r="CB67" s="174"/>
      <c r="CC67" s="174"/>
      <c r="CD67" s="174"/>
      <c r="CE67" s="174"/>
      <c r="CF67" s="174"/>
      <c r="CG67" s="174"/>
      <c r="CH67" s="174"/>
      <c r="CI67" s="174"/>
      <c r="CJ67" s="174"/>
      <c r="CK67" s="174"/>
      <c r="CL67" s="1053"/>
      <c r="CM67" s="1054"/>
      <c r="CN67" s="1054"/>
      <c r="CO67" s="1054"/>
      <c r="CP67" s="1054"/>
      <c r="CQ67" s="1054"/>
      <c r="CR67" s="1054"/>
      <c r="CS67" s="1054"/>
      <c r="CT67" s="1054"/>
      <c r="CU67" s="1054"/>
      <c r="CV67" s="1054"/>
      <c r="CW67" s="1058"/>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4"/>
      <c r="BQ68" s="4"/>
      <c r="BR68" s="4"/>
      <c r="BS68" s="4"/>
      <c r="BT68" s="4"/>
      <c r="BU68" s="174"/>
      <c r="BV68" s="174"/>
      <c r="BW68" s="174"/>
      <c r="BX68" s="174"/>
      <c r="BY68" s="174"/>
      <c r="BZ68" s="174"/>
      <c r="CA68" s="174"/>
      <c r="CB68" s="174"/>
      <c r="CC68" s="174"/>
      <c r="CD68" s="174"/>
      <c r="CE68" s="174"/>
      <c r="CF68" s="174"/>
      <c r="CG68" s="174"/>
      <c r="CH68" s="174"/>
      <c r="CI68" s="174"/>
      <c r="CJ68" s="174"/>
      <c r="CK68" s="174"/>
      <c r="CL68" s="1053"/>
      <c r="CM68" s="1054"/>
      <c r="CN68" s="1054"/>
      <c r="CO68" s="1054"/>
      <c r="CP68" s="1054"/>
      <c r="CQ68" s="1054"/>
      <c r="CR68" s="1054"/>
      <c r="CS68" s="1054"/>
      <c r="CT68" s="1054"/>
      <c r="CU68" s="1054"/>
      <c r="CV68" s="1054"/>
      <c r="CW68" s="1058"/>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thickBo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6"/>
      <c r="BQ69" s="16"/>
      <c r="BR69" s="16"/>
      <c r="BS69" s="16"/>
      <c r="BT69" s="16"/>
      <c r="BU69" s="174"/>
      <c r="BV69" s="174"/>
      <c r="BW69" s="174"/>
      <c r="BX69" s="174"/>
      <c r="BY69" s="174"/>
      <c r="BZ69" s="174"/>
      <c r="CA69" s="174"/>
      <c r="CB69" s="174"/>
      <c r="CC69" s="174"/>
      <c r="CD69" s="174"/>
      <c r="CE69" s="174"/>
      <c r="CF69" s="174"/>
      <c r="CG69" s="174"/>
      <c r="CH69" s="174"/>
      <c r="CI69" s="174"/>
      <c r="CJ69" s="174"/>
      <c r="CK69" s="174"/>
      <c r="CL69" s="1116"/>
      <c r="CM69" s="1117"/>
      <c r="CN69" s="1117"/>
      <c r="CO69" s="1117"/>
      <c r="CP69" s="1117"/>
      <c r="CQ69" s="1117"/>
      <c r="CR69" s="1117"/>
      <c r="CS69" s="1117"/>
      <c r="CT69" s="1117"/>
      <c r="CU69" s="1117"/>
      <c r="CV69" s="1117"/>
      <c r="CW69" s="1119"/>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6"/>
      <c r="BQ70" s="16"/>
      <c r="BR70" s="16"/>
      <c r="BS70" s="16"/>
      <c r="BT70" s="16"/>
      <c r="BU70" s="16"/>
      <c r="BV70" s="16"/>
      <c r="BW70" s="16"/>
      <c r="BX70" s="16"/>
      <c r="BY70" s="16"/>
      <c r="BZ70" s="16"/>
      <c r="CA70" s="16"/>
      <c r="CB70" s="16"/>
      <c r="CC70" s="16"/>
      <c r="CD70" s="16"/>
      <c r="CE70" s="16"/>
      <c r="CF70" s="16"/>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4"/>
      <c r="BQ71" s="4"/>
      <c r="BR71" s="4"/>
      <c r="BS71" s="4"/>
      <c r="BT71" s="4"/>
      <c r="BU71" s="4"/>
      <c r="BV71" s="4"/>
      <c r="BW71" s="4"/>
      <c r="BX71" s="4"/>
      <c r="BY71" s="4"/>
      <c r="BZ71" s="4"/>
      <c r="CA71" s="4"/>
      <c r="CB71" s="4"/>
      <c r="CC71" s="4"/>
      <c r="CD71" s="4"/>
      <c r="CE71" s="4"/>
      <c r="CF71" s="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4"/>
      <c r="BQ72" s="4"/>
      <c r="BR72" s="4"/>
      <c r="BS72" s="4"/>
      <c r="BT72" s="4"/>
      <c r="BU72" s="4"/>
      <c r="BV72" s="4"/>
      <c r="BW72" s="4"/>
      <c r="BX72" s="4"/>
      <c r="BY72" s="4"/>
      <c r="BZ72" s="4"/>
      <c r="CA72" s="4"/>
      <c r="CB72" s="4"/>
      <c r="CC72" s="4"/>
      <c r="CD72" s="4"/>
      <c r="CE72" s="4"/>
      <c r="CF72" s="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65">
    <mergeCell ref="AS10:AV11"/>
    <mergeCell ref="AW10:AZ11"/>
    <mergeCell ref="BA10:BD11"/>
    <mergeCell ref="BE10:BH11"/>
    <mergeCell ref="AS12:AV13"/>
    <mergeCell ref="AW12:AZ13"/>
    <mergeCell ref="BA12:BD13"/>
    <mergeCell ref="BE12:BH13"/>
    <mergeCell ref="AK10:AR13"/>
    <mergeCell ref="CU54:CW54"/>
    <mergeCell ref="CU55:CW55"/>
    <mergeCell ref="CL56:CO57"/>
    <mergeCell ref="CP56:CS57"/>
    <mergeCell ref="CU56:CW56"/>
    <mergeCell ref="CU47:CW48"/>
    <mergeCell ref="CP60:CS61"/>
    <mergeCell ref="CL50:CL51"/>
    <mergeCell ref="AW8:BB9"/>
    <mergeCell ref="BC8:BH9"/>
    <mergeCell ref="CU57:CW60"/>
    <mergeCell ref="CL60:CO61"/>
    <mergeCell ref="CL52:CS52"/>
    <mergeCell ref="CU49:CW53"/>
    <mergeCell ref="CM50:CO51"/>
    <mergeCell ref="CP50:CS51"/>
    <mergeCell ref="CW31:CX33"/>
    <mergeCell ref="CX39:CY41"/>
    <mergeCell ref="CX35:CY38"/>
    <mergeCell ref="CL58:CS59"/>
    <mergeCell ref="BL39:BO41"/>
    <mergeCell ref="BP39:BP41"/>
    <mergeCell ref="BQ39:BQ41"/>
    <mergeCell ref="BW40:CD41"/>
    <mergeCell ref="CL66:CN69"/>
    <mergeCell ref="CO66:CQ69"/>
    <mergeCell ref="CR66:CT69"/>
    <mergeCell ref="CU66:CW69"/>
    <mergeCell ref="CL64:CN64"/>
    <mergeCell ref="CO64:CQ64"/>
    <mergeCell ref="CR64:CT64"/>
    <mergeCell ref="CU64:CW64"/>
    <mergeCell ref="CL65:CN65"/>
    <mergeCell ref="CO65:CQ65"/>
    <mergeCell ref="CR65:CT65"/>
    <mergeCell ref="CU65:CW65"/>
    <mergeCell ref="BZ45:BZ47"/>
    <mergeCell ref="BW38:BZ39"/>
    <mergeCell ref="CA38:CD39"/>
    <mergeCell ref="CE35:CE43"/>
    <mergeCell ref="CF35:CG36"/>
    <mergeCell ref="BW42:BZ43"/>
    <mergeCell ref="CA45:CA47"/>
    <mergeCell ref="CG45:CH47"/>
    <mergeCell ref="CB45:CF47"/>
    <mergeCell ref="CL53:CS55"/>
    <mergeCell ref="DE31:DE33"/>
    <mergeCell ref="DF31:DF33"/>
    <mergeCell ref="DG31:DJ33"/>
    <mergeCell ref="DN31:DN33"/>
    <mergeCell ref="BL36:BO38"/>
    <mergeCell ref="BP36:BP38"/>
    <mergeCell ref="BQ36:BQ38"/>
    <mergeCell ref="CF37:CG39"/>
    <mergeCell ref="BL42:BO44"/>
    <mergeCell ref="BP42:BP44"/>
    <mergeCell ref="BQ42:BQ44"/>
    <mergeCell ref="DN37:DN39"/>
    <mergeCell ref="DA38:DD39"/>
    <mergeCell ref="DE38:DH39"/>
    <mergeCell ref="DN34:DN36"/>
    <mergeCell ref="CZ35:CZ43"/>
    <mergeCell ref="DA35:DH37"/>
    <mergeCell ref="CF40:CG43"/>
    <mergeCell ref="BL45:BO47"/>
    <mergeCell ref="BP45:BP47"/>
    <mergeCell ref="BQ45:BQ47"/>
    <mergeCell ref="BU45:BX47"/>
    <mergeCell ref="BY45:BY47"/>
    <mergeCell ref="AT63:AW64"/>
    <mergeCell ref="AK6:BH7"/>
    <mergeCell ref="AK8:AP9"/>
    <mergeCell ref="AQ8:AV9"/>
    <mergeCell ref="CA42:CD43"/>
    <mergeCell ref="CX42:CY43"/>
    <mergeCell ref="DA40:DH41"/>
    <mergeCell ref="DN40:DN42"/>
    <mergeCell ref="DO40:DO42"/>
    <mergeCell ref="DE8:DP9"/>
    <mergeCell ref="DP40:DS42"/>
    <mergeCell ref="DA42:DD43"/>
    <mergeCell ref="DE42:DH43"/>
    <mergeCell ref="CL27:CS27"/>
    <mergeCell ref="CH23:CJ23"/>
    <mergeCell ref="CL23:CS24"/>
    <mergeCell ref="CH24:CJ24"/>
    <mergeCell ref="CL28:CL29"/>
    <mergeCell ref="CM28:CO29"/>
    <mergeCell ref="CP28:CS29"/>
    <mergeCell ref="CH25:CJ25"/>
    <mergeCell ref="CL25:CO26"/>
    <mergeCell ref="CP25:CS26"/>
    <mergeCell ref="DP37:DS39"/>
    <mergeCell ref="DO37:DO39"/>
    <mergeCell ref="DO34:DO36"/>
    <mergeCell ref="DO31:DO33"/>
    <mergeCell ref="DP31:DS33"/>
    <mergeCell ref="B1:BI2"/>
    <mergeCell ref="B3:BI4"/>
    <mergeCell ref="K12:AJ13"/>
    <mergeCell ref="DL10:DP11"/>
    <mergeCell ref="AX63:BA64"/>
    <mergeCell ref="J60:Q62"/>
    <mergeCell ref="AT60:BA62"/>
    <mergeCell ref="C6:J7"/>
    <mergeCell ref="K6:AJ7"/>
    <mergeCell ref="C8:J9"/>
    <mergeCell ref="K8:AJ9"/>
    <mergeCell ref="C10:J11"/>
    <mergeCell ref="K10:AJ11"/>
    <mergeCell ref="DE10:DI11"/>
    <mergeCell ref="DJ10:DK11"/>
    <mergeCell ref="CH10:CJ13"/>
    <mergeCell ref="AY25:BB26"/>
    <mergeCell ref="AU25:AX26"/>
    <mergeCell ref="N23:Q24"/>
    <mergeCell ref="C12:J13"/>
    <mergeCell ref="BL1:DS2"/>
    <mergeCell ref="J23:M24"/>
    <mergeCell ref="J65:M66"/>
    <mergeCell ref="AT65:AW66"/>
    <mergeCell ref="AX65:BA66"/>
    <mergeCell ref="N65:Q66"/>
    <mergeCell ref="BL3:DS4"/>
    <mergeCell ref="J63:M64"/>
    <mergeCell ref="N63:Q64"/>
    <mergeCell ref="CX8:DD9"/>
    <mergeCell ref="DP34:DS36"/>
    <mergeCell ref="BW35:CD37"/>
    <mergeCell ref="CQ14:CS14"/>
    <mergeCell ref="CK10:CM13"/>
    <mergeCell ref="CN10:CP13"/>
    <mergeCell ref="CQ10:CS13"/>
    <mergeCell ref="CQ15:CS15"/>
    <mergeCell ref="CH31:CJ32"/>
    <mergeCell ref="CL18:CS20"/>
    <mergeCell ref="CX10:DB11"/>
    <mergeCell ref="DC10:DD11"/>
    <mergeCell ref="DD31:DD33"/>
    <mergeCell ref="CY31:DC33"/>
    <mergeCell ref="CH26:CJ30"/>
    <mergeCell ref="J18:Q20"/>
    <mergeCell ref="AU20:BB22"/>
    <mergeCell ref="J21:M22"/>
    <mergeCell ref="N21:Q22"/>
    <mergeCell ref="AU23:AX24"/>
    <mergeCell ref="AY23:BB24"/>
    <mergeCell ref="CH14:CJ14"/>
    <mergeCell ref="CK14:CM14"/>
    <mergeCell ref="CN14:CP14"/>
    <mergeCell ref="CH19:CJ22"/>
    <mergeCell ref="CL21:CO22"/>
    <mergeCell ref="CP21:CS22"/>
    <mergeCell ref="CH15:CJ15"/>
    <mergeCell ref="CK15:CM15"/>
    <mergeCell ref="CN15:CP15"/>
  </mergeCells>
  <conditionalFormatting sqref="AW10 BE10 AW12 BE12 J23 AU25 CH31 CW31 CG45 CU47 J65 AT65">
    <cfRule type="cellIs" dxfId="103" priority="1" operator="between">
      <formula>0.875</formula>
      <formula>0.99</formula>
    </cfRule>
    <cfRule type="cellIs" dxfId="102" priority="2" operator="between">
      <formula>0.75</formula>
      <formula>0.875</formula>
    </cfRule>
    <cfRule type="cellIs" dxfId="101" priority="18"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8" tint="0.39997558519241921"/>
  </sheetPr>
  <dimension ref="A1:HL157"/>
  <sheetViews>
    <sheetView showGridLines="0" showRowColHeaders="0" zoomScale="90" zoomScaleNormal="90" workbookViewId="0">
      <selection activeCell="DN15" sqref="DN15:DO18"/>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146</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146</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thickBot="1">
      <c r="B2" s="1668"/>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c r="BF2" s="1669"/>
      <c r="BG2" s="1669"/>
      <c r="BH2" s="1669"/>
      <c r="BI2" s="1670"/>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15" t="s">
        <v>102</v>
      </c>
      <c r="C3" s="816"/>
      <c r="D3" s="816"/>
      <c r="E3" s="816"/>
      <c r="F3" s="816"/>
      <c r="G3" s="816"/>
      <c r="H3" s="816"/>
      <c r="I3" s="816"/>
      <c r="J3" s="816"/>
      <c r="K3" s="816"/>
      <c r="L3" s="816"/>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c r="AW3" s="816"/>
      <c r="AX3" s="816"/>
      <c r="AY3" s="816"/>
      <c r="AZ3" s="816"/>
      <c r="BA3" s="816"/>
      <c r="BB3" s="816"/>
      <c r="BC3" s="816"/>
      <c r="BD3" s="816"/>
      <c r="BE3" s="816"/>
      <c r="BF3" s="816"/>
      <c r="BG3" s="816"/>
      <c r="BH3" s="816"/>
      <c r="BI3" s="822"/>
      <c r="BJ3" s="165"/>
      <c r="BK3" s="174"/>
      <c r="BL3" s="1084" t="s">
        <v>97</v>
      </c>
      <c r="BM3" s="1075"/>
      <c r="BN3" s="1075"/>
      <c r="BO3" s="1075"/>
      <c r="BP3" s="1075"/>
      <c r="BQ3" s="1075"/>
      <c r="BR3" s="1075"/>
      <c r="BS3" s="1075"/>
      <c r="BT3" s="1075"/>
      <c r="BU3" s="1075"/>
      <c r="BV3" s="1075"/>
      <c r="BW3" s="1075"/>
      <c r="BX3" s="1075"/>
      <c r="BY3" s="1075"/>
      <c r="BZ3" s="1075"/>
      <c r="CA3" s="1075"/>
      <c r="CB3" s="1075"/>
      <c r="CC3" s="1075"/>
      <c r="CD3" s="1075"/>
      <c r="CE3" s="1075"/>
      <c r="CF3" s="1075"/>
      <c r="CG3" s="1075"/>
      <c r="CH3" s="1075"/>
      <c r="CI3" s="1075"/>
      <c r="CJ3" s="1075"/>
      <c r="CK3" s="1075"/>
      <c r="CL3" s="1075"/>
      <c r="CM3" s="1075"/>
      <c r="CN3" s="1075"/>
      <c r="CO3" s="1075"/>
      <c r="CP3" s="1075"/>
      <c r="CQ3" s="1075"/>
      <c r="CR3" s="1075"/>
      <c r="CS3" s="1075"/>
      <c r="CT3" s="1075"/>
      <c r="CU3" s="1075"/>
      <c r="CV3" s="1075"/>
      <c r="CW3" s="1075"/>
      <c r="CX3" s="1075"/>
      <c r="CY3" s="1075"/>
      <c r="CZ3" s="1075"/>
      <c r="DA3" s="1075"/>
      <c r="DB3" s="1075"/>
      <c r="DC3" s="1075"/>
      <c r="DD3" s="1075"/>
      <c r="DE3" s="1075"/>
      <c r="DF3" s="1075"/>
      <c r="DG3" s="1075"/>
      <c r="DH3" s="1075"/>
      <c r="DI3" s="1075"/>
      <c r="DJ3" s="1075"/>
      <c r="DK3" s="1075"/>
      <c r="DL3" s="1075"/>
      <c r="DM3" s="1075"/>
      <c r="DN3" s="1075"/>
      <c r="DO3" s="1075"/>
      <c r="DP3" s="1075"/>
      <c r="DQ3" s="1075"/>
      <c r="DR3" s="1075"/>
      <c r="DS3" s="1076"/>
    </row>
    <row r="4" spans="2:123" ht="9.9499999999999993" customHeight="1" thickBot="1">
      <c r="B4" s="792"/>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c r="BA4" s="793"/>
      <c r="BB4" s="793"/>
      <c r="BC4" s="793"/>
      <c r="BD4" s="793"/>
      <c r="BE4" s="793"/>
      <c r="BF4" s="793"/>
      <c r="BG4" s="793"/>
      <c r="BH4" s="793"/>
      <c r="BI4" s="814"/>
      <c r="BJ4" s="165"/>
      <c r="BK4" s="174"/>
      <c r="BL4" s="1106"/>
      <c r="BM4" s="1094"/>
      <c r="BN4" s="1094"/>
      <c r="BO4" s="1094"/>
      <c r="BP4" s="1094"/>
      <c r="BQ4" s="1094"/>
      <c r="BR4" s="1094"/>
      <c r="BS4" s="1094"/>
      <c r="BT4" s="1094"/>
      <c r="BU4" s="1094"/>
      <c r="BV4" s="1094"/>
      <c r="BW4" s="1094"/>
      <c r="BX4" s="1094"/>
      <c r="BY4" s="1094"/>
      <c r="BZ4" s="1094"/>
      <c r="CA4" s="1094"/>
      <c r="CB4" s="1094"/>
      <c r="CC4" s="1094"/>
      <c r="CD4" s="1094"/>
      <c r="CE4" s="1094"/>
      <c r="CF4" s="1094"/>
      <c r="CG4" s="1094"/>
      <c r="CH4" s="1094"/>
      <c r="CI4" s="1094"/>
      <c r="CJ4" s="1094"/>
      <c r="CK4" s="1094"/>
      <c r="CL4" s="1094"/>
      <c r="CM4" s="1094"/>
      <c r="CN4" s="1094"/>
      <c r="CO4" s="1094"/>
      <c r="CP4" s="1094"/>
      <c r="CQ4" s="1094"/>
      <c r="CR4" s="1094"/>
      <c r="CS4" s="1094"/>
      <c r="CT4" s="1094"/>
      <c r="CU4" s="1094"/>
      <c r="CV4" s="1094"/>
      <c r="CW4" s="1094"/>
      <c r="CX4" s="1094"/>
      <c r="CY4" s="1094"/>
      <c r="CZ4" s="1094"/>
      <c r="DA4" s="1094"/>
      <c r="DB4" s="1094"/>
      <c r="DC4" s="1094"/>
      <c r="DD4" s="1094"/>
      <c r="DE4" s="1094"/>
      <c r="DF4" s="1094"/>
      <c r="DG4" s="1094"/>
      <c r="DH4" s="1094"/>
      <c r="DI4" s="1094"/>
      <c r="DJ4" s="1094"/>
      <c r="DK4" s="1094"/>
      <c r="DL4" s="1094"/>
      <c r="DM4" s="1094"/>
      <c r="DN4" s="1094"/>
      <c r="DO4" s="1094"/>
      <c r="DP4" s="1094"/>
      <c r="DQ4" s="1094"/>
      <c r="DR4" s="1094"/>
      <c r="DS4" s="1095"/>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469" t="s">
        <v>141</v>
      </c>
      <c r="CF5" s="470"/>
      <c r="CG5" s="470"/>
      <c r="CH5" s="470"/>
      <c r="CI5" s="470"/>
      <c r="CJ5" s="470"/>
      <c r="CK5" s="470"/>
      <c r="CL5" s="1497" t="s">
        <v>142</v>
      </c>
      <c r="CM5" s="1497"/>
      <c r="CN5" s="1497"/>
      <c r="CO5" s="1497"/>
      <c r="CP5" s="1497"/>
      <c r="CQ5" s="1497"/>
      <c r="CR5" s="1497"/>
      <c r="CS5" s="1497"/>
      <c r="CT5" s="1497"/>
      <c r="CU5" s="1497"/>
      <c r="CV5" s="1497"/>
      <c r="CW5" s="1497"/>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1671" t="s">
        <v>3</v>
      </c>
      <c r="D6" s="1672"/>
      <c r="E6" s="1672"/>
      <c r="F6" s="1672"/>
      <c r="G6" s="1672"/>
      <c r="H6" s="1672"/>
      <c r="I6" s="1672"/>
      <c r="J6" s="1673"/>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479"/>
      <c r="CF6" s="1480"/>
      <c r="CG6" s="1480"/>
      <c r="CH6" s="1480"/>
      <c r="CI6" s="1480"/>
      <c r="CJ6" s="1480"/>
      <c r="CK6" s="1480"/>
      <c r="CL6" s="1494"/>
      <c r="CM6" s="1494"/>
      <c r="CN6" s="1494"/>
      <c r="CO6" s="1494"/>
      <c r="CP6" s="1494"/>
      <c r="CQ6" s="1494"/>
      <c r="CR6" s="1494"/>
      <c r="CS6" s="1494"/>
      <c r="CT6" s="1494"/>
      <c r="CU6" s="1494"/>
      <c r="CV6" s="1494"/>
      <c r="CW6" s="149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1674"/>
      <c r="D7" s="1675"/>
      <c r="E7" s="1675"/>
      <c r="F7" s="1675"/>
      <c r="G7" s="1675"/>
      <c r="H7" s="1675"/>
      <c r="I7" s="1675"/>
      <c r="J7" s="1676"/>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481" t="s">
        <v>147</v>
      </c>
      <c r="CF7" s="1482"/>
      <c r="CG7" s="1482"/>
      <c r="CH7" s="1482"/>
      <c r="CI7" s="1483"/>
      <c r="CJ7" s="1487" t="s">
        <v>144</v>
      </c>
      <c r="CK7" s="1488"/>
      <c r="CL7" s="1490">
        <v>1130</v>
      </c>
      <c r="CM7" s="1490"/>
      <c r="CN7" s="1490"/>
      <c r="CO7" s="1490"/>
      <c r="CP7" s="1491"/>
      <c r="CQ7" s="1487" t="s">
        <v>145</v>
      </c>
      <c r="CR7" s="1488"/>
      <c r="CS7" s="1490">
        <v>1E-3</v>
      </c>
      <c r="CT7" s="1490"/>
      <c r="CU7" s="1490"/>
      <c r="CV7" s="1490"/>
      <c r="CW7" s="1491"/>
      <c r="CX7" s="174"/>
      <c r="CY7" s="174"/>
      <c r="CZ7" s="174"/>
      <c r="DA7" s="174"/>
      <c r="DB7" s="174"/>
      <c r="DC7" s="174"/>
      <c r="DD7" s="36"/>
      <c r="DE7" s="9"/>
      <c r="DF7" s="121"/>
      <c r="DG7" s="121"/>
      <c r="DH7" s="121"/>
      <c r="DI7" s="121"/>
      <c r="DJ7" s="121"/>
      <c r="DK7" s="174"/>
      <c r="DL7" s="174"/>
      <c r="DM7" s="174"/>
      <c r="DN7" s="174"/>
      <c r="DO7" s="174"/>
      <c r="DP7" s="174"/>
      <c r="DQ7" s="174"/>
      <c r="DR7" s="174"/>
      <c r="DS7" s="177"/>
    </row>
    <row r="8" spans="2:123" ht="9.9499999999999993" customHeight="1" thickBot="1">
      <c r="B8" s="1"/>
      <c r="C8" s="1686" t="s">
        <v>5</v>
      </c>
      <c r="D8" s="1687"/>
      <c r="E8" s="1687"/>
      <c r="F8" s="1687"/>
      <c r="G8" s="1687"/>
      <c r="H8" s="1687"/>
      <c r="I8" s="1687"/>
      <c r="J8" s="168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206"/>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484"/>
      <c r="CF8" s="1485"/>
      <c r="CG8" s="1485"/>
      <c r="CH8" s="1485"/>
      <c r="CI8" s="1486"/>
      <c r="CJ8" s="1489"/>
      <c r="CK8" s="1489"/>
      <c r="CL8" s="1492"/>
      <c r="CM8" s="1492"/>
      <c r="CN8" s="1492"/>
      <c r="CO8" s="1492"/>
      <c r="CP8" s="1493"/>
      <c r="CQ8" s="1489"/>
      <c r="CR8" s="1489"/>
      <c r="CS8" s="1492"/>
      <c r="CT8" s="1492"/>
      <c r="CU8" s="1492"/>
      <c r="CV8" s="1492"/>
      <c r="CW8" s="1493"/>
      <c r="CX8" s="174"/>
      <c r="CY8" s="174"/>
      <c r="CZ8" s="174"/>
      <c r="DA8" s="174"/>
      <c r="DB8" s="174"/>
      <c r="DC8" s="174"/>
      <c r="DD8" s="9"/>
      <c r="DE8" s="9"/>
      <c r="DF8" s="121"/>
      <c r="DG8" s="121"/>
      <c r="DH8" s="121"/>
      <c r="DI8" s="174"/>
      <c r="DJ8" s="174"/>
      <c r="DK8" s="174"/>
      <c r="DL8" s="174"/>
      <c r="DM8" s="174"/>
      <c r="DN8" s="174"/>
      <c r="DO8" s="174"/>
      <c r="DP8" s="174"/>
      <c r="DQ8" s="174"/>
      <c r="DR8" s="174"/>
      <c r="DS8" s="177"/>
    </row>
    <row r="9" spans="2:123" ht="9.9499999999999993" customHeight="1" thickBot="1">
      <c r="B9" s="1"/>
      <c r="C9" s="1674"/>
      <c r="D9" s="1675"/>
      <c r="E9" s="1675"/>
      <c r="F9" s="1675"/>
      <c r="G9" s="1675"/>
      <c r="H9" s="1675"/>
      <c r="I9" s="1675"/>
      <c r="J9" s="1676"/>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207"/>
      <c r="AK9" s="1677"/>
      <c r="AL9" s="1678"/>
      <c r="AM9" s="1678"/>
      <c r="AN9" s="1678"/>
      <c r="AO9" s="1678"/>
      <c r="AP9" s="1678"/>
      <c r="AQ9" s="1679"/>
      <c r="AR9" s="1679"/>
      <c r="AS9" s="1679"/>
      <c r="AT9" s="1679"/>
      <c r="AU9" s="1679"/>
      <c r="AV9" s="1679"/>
      <c r="AW9" s="1680"/>
      <c r="AX9" s="1680"/>
      <c r="AY9" s="1680"/>
      <c r="AZ9" s="1680"/>
      <c r="BA9" s="1680"/>
      <c r="BB9" s="1680"/>
      <c r="BC9" s="1681"/>
      <c r="BD9" s="1681"/>
      <c r="BE9" s="1681"/>
      <c r="BF9" s="1681"/>
      <c r="BG9" s="1681"/>
      <c r="BH9" s="1682"/>
      <c r="BI9" s="177"/>
      <c r="BK9" s="174"/>
      <c r="BL9" s="1"/>
      <c r="BM9" s="174"/>
      <c r="BN9" s="174"/>
      <c r="BO9" s="174"/>
      <c r="BP9" s="174"/>
      <c r="BQ9" s="174"/>
      <c r="BR9" s="174"/>
      <c r="BS9" s="174"/>
      <c r="BT9" s="174"/>
      <c r="BU9" s="174"/>
      <c r="BV9" s="174"/>
      <c r="BW9" s="174"/>
      <c r="BX9" s="174"/>
      <c r="BY9" s="174"/>
      <c r="BZ9" s="174"/>
      <c r="CA9" s="174"/>
      <c r="CB9" s="174"/>
      <c r="CC9" s="174"/>
      <c r="CD9" s="174"/>
      <c r="CE9" s="1481" t="s">
        <v>148</v>
      </c>
      <c r="CF9" s="1482"/>
      <c r="CG9" s="1482"/>
      <c r="CH9" s="1482"/>
      <c r="CI9" s="1483"/>
      <c r="CJ9" s="1487" t="s">
        <v>144</v>
      </c>
      <c r="CK9" s="1488"/>
      <c r="CL9" s="1490">
        <v>1130</v>
      </c>
      <c r="CM9" s="1490"/>
      <c r="CN9" s="1490"/>
      <c r="CO9" s="1490"/>
      <c r="CP9" s="1491"/>
      <c r="CQ9" s="1487" t="s">
        <v>145</v>
      </c>
      <c r="CR9" s="1488"/>
      <c r="CS9" s="1490">
        <v>1E-3</v>
      </c>
      <c r="CT9" s="1490"/>
      <c r="CU9" s="1490"/>
      <c r="CV9" s="1490"/>
      <c r="CW9" s="1491"/>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thickBot="1">
      <c r="B10" s="1"/>
      <c r="C10" s="1686" t="s">
        <v>7</v>
      </c>
      <c r="D10" s="1687"/>
      <c r="E10" s="1687"/>
      <c r="F10" s="1687"/>
      <c r="G10" s="1687"/>
      <c r="H10" s="1687"/>
      <c r="I10" s="1687"/>
      <c r="J10" s="168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206"/>
      <c r="AK10" s="712" t="s">
        <v>98</v>
      </c>
      <c r="AL10" s="1474"/>
      <c r="AM10" s="1474"/>
      <c r="AN10" s="1474"/>
      <c r="AO10" s="1474"/>
      <c r="AP10" s="1474"/>
      <c r="AQ10" s="1474"/>
      <c r="AR10" s="1475"/>
      <c r="AS10" s="1683" t="s">
        <v>127</v>
      </c>
      <c r="AT10" s="1684"/>
      <c r="AU10" s="1684"/>
      <c r="AV10" s="1685"/>
      <c r="AW10" s="1465">
        <f>MAX(J23)</f>
        <v>2.7433271684152856</v>
      </c>
      <c r="AX10" s="1466"/>
      <c r="AY10" s="1466"/>
      <c r="AZ10" s="1467"/>
      <c r="BA10" s="1683" t="s">
        <v>149</v>
      </c>
      <c r="BB10" s="1684"/>
      <c r="BC10" s="1684"/>
      <c r="BD10" s="1685"/>
      <c r="BE10" s="1465">
        <f>MAX(AX23:BA26)</f>
        <v>4.791189632150993</v>
      </c>
      <c r="BF10" s="1466"/>
      <c r="BG10" s="1466"/>
      <c r="BH10" s="1467"/>
      <c r="BI10" s="177"/>
      <c r="BK10" s="174"/>
      <c r="BL10" s="1"/>
      <c r="BM10" s="39"/>
      <c r="BN10" s="39"/>
      <c r="BO10" s="39"/>
      <c r="BP10" s="119"/>
      <c r="BQ10" s="119"/>
      <c r="BR10" s="119"/>
      <c r="BS10" s="119"/>
      <c r="BT10" s="119"/>
      <c r="BU10" s="119"/>
      <c r="BV10" s="119"/>
      <c r="BW10" s="119"/>
      <c r="BX10" s="119"/>
      <c r="BY10" s="119"/>
      <c r="BZ10" s="130"/>
      <c r="CA10" s="130"/>
      <c r="CB10" s="130"/>
      <c r="CC10" s="130"/>
      <c r="CD10" s="174"/>
      <c r="CE10" s="1484"/>
      <c r="CF10" s="1485"/>
      <c r="CG10" s="1485"/>
      <c r="CH10" s="1485"/>
      <c r="CI10" s="1486"/>
      <c r="CJ10" s="1489"/>
      <c r="CK10" s="1489"/>
      <c r="CL10" s="1492"/>
      <c r="CM10" s="1492"/>
      <c r="CN10" s="1492"/>
      <c r="CO10" s="1492"/>
      <c r="CP10" s="1493"/>
      <c r="CQ10" s="1489"/>
      <c r="CR10" s="1489"/>
      <c r="CS10" s="1492"/>
      <c r="CT10" s="1492"/>
      <c r="CU10" s="1492"/>
      <c r="CV10" s="1492"/>
      <c r="CW10" s="1493"/>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thickBot="1">
      <c r="B11" s="1"/>
      <c r="C11" s="1674"/>
      <c r="D11" s="1675"/>
      <c r="E11" s="1675"/>
      <c r="F11" s="1675"/>
      <c r="G11" s="1675"/>
      <c r="H11" s="1675"/>
      <c r="I11" s="1675"/>
      <c r="J11" s="1676"/>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20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39"/>
      <c r="BN11" s="39"/>
      <c r="BO11" s="39"/>
      <c r="BP11" s="119"/>
      <c r="BQ11" s="119"/>
      <c r="BR11" s="119"/>
      <c r="BS11" s="119"/>
      <c r="BT11" s="119"/>
      <c r="BU11" s="119"/>
      <c r="BV11" s="119"/>
      <c r="BW11" s="119"/>
      <c r="BX11" s="119"/>
      <c r="BY11" s="119"/>
      <c r="BZ11" s="130"/>
      <c r="CA11" s="130"/>
      <c r="CB11" s="130"/>
      <c r="CC11" s="130"/>
      <c r="CD11" s="174"/>
      <c r="CE11" s="1481" t="s">
        <v>143</v>
      </c>
      <c r="CF11" s="1482"/>
      <c r="CG11" s="1482"/>
      <c r="CH11" s="1482"/>
      <c r="CI11" s="1483"/>
      <c r="CJ11" s="1487" t="s">
        <v>144</v>
      </c>
      <c r="CK11" s="1488"/>
      <c r="CL11" s="1490">
        <v>1130</v>
      </c>
      <c r="CM11" s="1490"/>
      <c r="CN11" s="1490"/>
      <c r="CO11" s="1490"/>
      <c r="CP11" s="1491"/>
      <c r="CQ11" s="1487" t="s">
        <v>145</v>
      </c>
      <c r="CR11" s="1488"/>
      <c r="CS11" s="1508">
        <v>6.9999999999999999E-4</v>
      </c>
      <c r="CT11" s="1508"/>
      <c r="CU11" s="1508"/>
      <c r="CV11" s="1508"/>
      <c r="CW11" s="1509"/>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thickBot="1">
      <c r="B12" s="1"/>
      <c r="C12" s="1686" t="s">
        <v>9</v>
      </c>
      <c r="D12" s="1687"/>
      <c r="E12" s="1687"/>
      <c r="F12" s="1687"/>
      <c r="G12" s="1687"/>
      <c r="H12" s="1687"/>
      <c r="I12" s="1687"/>
      <c r="J12" s="168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208"/>
      <c r="AK12" s="1476"/>
      <c r="AL12" s="1477"/>
      <c r="AM12" s="1477"/>
      <c r="AN12" s="1477"/>
      <c r="AO12" s="1477"/>
      <c r="AP12" s="1477"/>
      <c r="AQ12" s="1477"/>
      <c r="AR12" s="1478"/>
      <c r="AS12" s="1459" t="s">
        <v>128</v>
      </c>
      <c r="AT12" s="1460"/>
      <c r="AU12" s="1460"/>
      <c r="AV12" s="1461"/>
      <c r="AW12" s="1465">
        <f>MAX(J62:M65)</f>
        <v>11.17087698759723</v>
      </c>
      <c r="AX12" s="1466"/>
      <c r="AY12" s="1466"/>
      <c r="AZ12" s="1467"/>
      <c r="BA12" s="1459" t="s">
        <v>130</v>
      </c>
      <c r="BB12" s="1460"/>
      <c r="BC12" s="1460"/>
      <c r="BD12" s="1461"/>
      <c r="BE12" s="1471">
        <f>AX62</f>
        <v>5.8917292944702435</v>
      </c>
      <c r="BF12" s="1472"/>
      <c r="BG12" s="1472"/>
      <c r="BH12" s="1473"/>
      <c r="BI12" s="177"/>
      <c r="BK12" s="174"/>
      <c r="BL12" s="1"/>
      <c r="BM12" s="38"/>
      <c r="BN12" s="38"/>
      <c r="BO12" s="38"/>
      <c r="BP12" s="119"/>
      <c r="BQ12" s="119"/>
      <c r="BR12" s="119"/>
      <c r="BS12" s="119"/>
      <c r="BT12" s="119"/>
      <c r="BU12" s="119"/>
      <c r="BV12" s="119"/>
      <c r="BW12" s="119"/>
      <c r="BX12" s="119"/>
      <c r="BY12" s="119"/>
      <c r="BZ12" s="129"/>
      <c r="CA12" s="129"/>
      <c r="CB12" s="129"/>
      <c r="CC12" s="129"/>
      <c r="CD12" s="174"/>
      <c r="CE12" s="1484"/>
      <c r="CF12" s="1485"/>
      <c r="CG12" s="1485"/>
      <c r="CH12" s="1485"/>
      <c r="CI12" s="1486"/>
      <c r="CJ12" s="1489"/>
      <c r="CK12" s="1489"/>
      <c r="CL12" s="1492"/>
      <c r="CM12" s="1492"/>
      <c r="CN12" s="1492"/>
      <c r="CO12" s="1492"/>
      <c r="CP12" s="1493"/>
      <c r="CQ12" s="1489"/>
      <c r="CR12" s="1489"/>
      <c r="CS12" s="1510"/>
      <c r="CT12" s="1510"/>
      <c r="CU12" s="1510"/>
      <c r="CV12" s="1510"/>
      <c r="CW12" s="1511"/>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1689"/>
      <c r="D13" s="1690"/>
      <c r="E13" s="1690"/>
      <c r="F13" s="1690"/>
      <c r="G13" s="1690"/>
      <c r="H13" s="1690"/>
      <c r="I13" s="1690"/>
      <c r="J13" s="1691"/>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209"/>
      <c r="AK13" s="1692"/>
      <c r="AL13" s="1693"/>
      <c r="AM13" s="1693"/>
      <c r="AN13" s="1693"/>
      <c r="AO13" s="1693"/>
      <c r="AP13" s="1693"/>
      <c r="AQ13" s="1693"/>
      <c r="AR13" s="1694"/>
      <c r="AS13" s="1462"/>
      <c r="AT13" s="1463"/>
      <c r="AU13" s="1463"/>
      <c r="AV13" s="1464"/>
      <c r="AW13" s="1468"/>
      <c r="AX13" s="1469"/>
      <c r="AY13" s="1469"/>
      <c r="AZ13" s="1470"/>
      <c r="BA13" s="1462"/>
      <c r="BB13" s="1463"/>
      <c r="BC13" s="1463"/>
      <c r="BD13" s="1464"/>
      <c r="BE13" s="1468"/>
      <c r="BF13" s="1469"/>
      <c r="BG13" s="1469"/>
      <c r="BH13" s="1470"/>
      <c r="BI13" s="177"/>
      <c r="BK13" s="174"/>
      <c r="BL13" s="17"/>
      <c r="BM13" s="38"/>
      <c r="BN13" s="38"/>
      <c r="BO13" s="38"/>
      <c r="BP13" s="119"/>
      <c r="BQ13" s="119"/>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thickBo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
      <c r="BN14" s="174"/>
      <c r="BO14" s="174"/>
      <c r="BP14" s="4"/>
      <c r="BQ14" s="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thickBo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6"/>
      <c r="BN15" s="6"/>
      <c r="BO15" s="6"/>
      <c r="BP15" s="4"/>
      <c r="BQ15" s="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650">
        <f>$CL$7*EXP(-$CS$7*DB36)</f>
        <v>130.447769340202</v>
      </c>
      <c r="DA15" s="1651"/>
      <c r="DB15" s="1651">
        <f>$CL$9*EXP(-$CS$9*DB36)</f>
        <v>130.447769340202</v>
      </c>
      <c r="DC15" s="1651"/>
      <c r="DD15" s="1593" t="s">
        <v>150</v>
      </c>
      <c r="DE15" s="174"/>
      <c r="DF15" s="174"/>
      <c r="DG15" s="174"/>
      <c r="DH15" s="174"/>
      <c r="DI15" s="174"/>
      <c r="DJ15" s="174"/>
      <c r="DK15" s="174"/>
      <c r="DL15" s="174"/>
      <c r="DM15" s="174"/>
      <c r="DN15" s="1627">
        <v>0.5</v>
      </c>
      <c r="DO15" s="1628"/>
      <c r="DP15" s="1631">
        <f>DL30/(DL30+DL33+DL36+DL39)</f>
        <v>0.51525144270403955</v>
      </c>
      <c r="DQ15" s="1632"/>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6"/>
      <c r="BN16" s="6"/>
      <c r="BO16" s="6"/>
      <c r="BP16" s="4"/>
      <c r="BQ16" s="4"/>
      <c r="BR16" s="1051"/>
      <c r="BS16" s="1052"/>
      <c r="BT16" s="1052"/>
      <c r="BU16" s="1052"/>
      <c r="BV16" s="1052"/>
      <c r="BW16" s="1052"/>
      <c r="BX16" s="1052"/>
      <c r="BY16" s="1052"/>
      <c r="BZ16" s="1052"/>
      <c r="CA16" s="1052"/>
      <c r="CB16" s="1052"/>
      <c r="CC16" s="1057"/>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652"/>
      <c r="DA16" s="1653"/>
      <c r="DB16" s="1653"/>
      <c r="DC16" s="1653"/>
      <c r="DD16" s="1594"/>
      <c r="DE16" s="174"/>
      <c r="DF16" s="174"/>
      <c r="DG16" s="174"/>
      <c r="DH16" s="121"/>
      <c r="DI16" s="121"/>
      <c r="DJ16" s="1635">
        <f>DL30</f>
        <v>625</v>
      </c>
      <c r="DK16" s="1635"/>
      <c r="DL16" s="174"/>
      <c r="DM16" s="174"/>
      <c r="DN16" s="1629"/>
      <c r="DO16" s="1630"/>
      <c r="DP16" s="1633"/>
      <c r="DQ16" s="1634"/>
      <c r="DR16" s="174"/>
      <c r="DS16" s="177"/>
    </row>
    <row r="17" spans="2:123" ht="9.9499999999999993" customHeigh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4"/>
      <c r="BQ17" s="4"/>
      <c r="BR17" s="1053"/>
      <c r="BS17" s="1054"/>
      <c r="BT17" s="1054"/>
      <c r="BU17" s="1054"/>
      <c r="BV17" s="1054"/>
      <c r="BW17" s="1054"/>
      <c r="BX17" s="1054"/>
      <c r="BY17" s="1054"/>
      <c r="BZ17" s="1054"/>
      <c r="CA17" s="1054"/>
      <c r="CB17" s="1054"/>
      <c r="CC17" s="1058"/>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652"/>
      <c r="DA17" s="1653"/>
      <c r="DB17" s="1653"/>
      <c r="DC17" s="1653"/>
      <c r="DD17" s="1594"/>
      <c r="DE17" s="174"/>
      <c r="DF17" s="174"/>
      <c r="DG17" s="174"/>
      <c r="DH17" s="174"/>
      <c r="DI17" s="174"/>
      <c r="DJ17" s="1635"/>
      <c r="DK17" s="1635"/>
      <c r="DL17" s="174"/>
      <c r="DM17" s="174"/>
      <c r="DN17" s="1629"/>
      <c r="DO17" s="1630"/>
      <c r="DP17" s="1633"/>
      <c r="DQ17" s="1634"/>
      <c r="DR17" s="174"/>
      <c r="DS17" s="177"/>
    </row>
    <row r="18" spans="2:123" ht="9.9499999999999993" customHeight="1">
      <c r="B18" s="1"/>
      <c r="C18" s="174"/>
      <c r="D18" s="174"/>
      <c r="E18" s="174"/>
      <c r="F18" s="174"/>
      <c r="G18" s="174"/>
      <c r="H18" s="174"/>
      <c r="I18" s="174"/>
      <c r="J18" s="174"/>
      <c r="K18" s="174"/>
      <c r="L18" s="174"/>
      <c r="M18" s="174"/>
      <c r="N18" s="174"/>
      <c r="O18" s="174"/>
      <c r="P18" s="174"/>
      <c r="Q18" s="119"/>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K18" s="174"/>
      <c r="BL18" s="17"/>
      <c r="BM18" s="174"/>
      <c r="BN18" s="174"/>
      <c r="BO18" s="174"/>
      <c r="BP18" s="6"/>
      <c r="BQ18" s="6"/>
      <c r="BR18" s="1053"/>
      <c r="BS18" s="1054"/>
      <c r="BT18" s="1054"/>
      <c r="BU18" s="1054"/>
      <c r="BV18" s="1054"/>
      <c r="BW18" s="1054"/>
      <c r="BX18" s="1054"/>
      <c r="BY18" s="1054"/>
      <c r="BZ18" s="1054"/>
      <c r="CA18" s="1054"/>
      <c r="CB18" s="1054"/>
      <c r="CC18" s="1058"/>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652"/>
      <c r="DA18" s="1653"/>
      <c r="DB18" s="1653"/>
      <c r="DC18" s="1653"/>
      <c r="DD18" s="1594"/>
      <c r="DE18" s="174"/>
      <c r="DF18" s="174"/>
      <c r="DG18" s="174"/>
      <c r="DH18" s="174"/>
      <c r="DI18" s="174"/>
      <c r="DJ18" s="1635"/>
      <c r="DK18" s="1635"/>
      <c r="DL18" s="174"/>
      <c r="DM18" s="174"/>
      <c r="DN18" s="1629"/>
      <c r="DO18" s="1630"/>
      <c r="DP18" s="1633"/>
      <c r="DQ18" s="1634"/>
      <c r="DR18" s="174"/>
      <c r="DS18" s="177"/>
    </row>
    <row r="19" spans="2:123" ht="9.9499999999999993" customHeight="1" thickBot="1">
      <c r="B19" s="1"/>
      <c r="C19" s="174"/>
      <c r="D19" s="174"/>
      <c r="E19" s="174"/>
      <c r="F19" s="174"/>
      <c r="G19" s="174"/>
      <c r="H19" s="174"/>
      <c r="I19" s="174"/>
      <c r="J19" s="174"/>
      <c r="K19" s="174"/>
      <c r="L19" s="174"/>
      <c r="M19" s="174"/>
      <c r="N19" s="174"/>
      <c r="O19" s="174"/>
      <c r="P19" s="174"/>
      <c r="Q19" s="119"/>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K19" s="174"/>
      <c r="BL19" s="17"/>
      <c r="BM19" s="174"/>
      <c r="BN19" s="174"/>
      <c r="BO19" s="174"/>
      <c r="BP19" s="6"/>
      <c r="BQ19" s="6"/>
      <c r="BR19" s="1053"/>
      <c r="BS19" s="1054"/>
      <c r="BT19" s="1054"/>
      <c r="BU19" s="1054"/>
      <c r="BV19" s="1054"/>
      <c r="BW19" s="1054"/>
      <c r="BX19" s="1054"/>
      <c r="BY19" s="1054"/>
      <c r="BZ19" s="1054"/>
      <c r="CA19" s="1054"/>
      <c r="CB19" s="1054"/>
      <c r="CC19" s="1058"/>
      <c r="CD19" s="174"/>
      <c r="CE19" s="174"/>
      <c r="CF19" s="174"/>
      <c r="CG19" s="174"/>
      <c r="CH19" s="174"/>
      <c r="CI19" s="174"/>
      <c r="CJ19" s="174"/>
      <c r="CK19" s="174"/>
      <c r="CL19" s="174"/>
      <c r="CM19" s="174"/>
      <c r="CN19" s="174"/>
      <c r="CO19" s="174"/>
      <c r="CP19" s="1607"/>
      <c r="CQ19" s="1607"/>
      <c r="CR19" s="1607"/>
      <c r="CS19" s="174"/>
      <c r="CT19" s="174"/>
      <c r="CU19" s="174"/>
      <c r="CV19" s="174"/>
      <c r="CW19" s="174"/>
      <c r="CX19" s="174"/>
      <c r="CY19" s="174"/>
      <c r="CZ19" s="1638">
        <v>1</v>
      </c>
      <c r="DA19" s="1639"/>
      <c r="DB19" s="1644">
        <v>2</v>
      </c>
      <c r="DC19" s="1639"/>
      <c r="DD19" s="1594"/>
      <c r="DE19" s="174"/>
      <c r="DF19" s="174"/>
      <c r="DG19" s="174"/>
      <c r="DH19" s="1635">
        <f>DL33*(1-DN15)</f>
        <v>0</v>
      </c>
      <c r="DI19" s="1635"/>
      <c r="DJ19" s="1575"/>
      <c r="DK19" s="1541"/>
      <c r="DL19" s="870"/>
      <c r="DM19" s="1078"/>
      <c r="DN19" s="1603" t="s">
        <v>151</v>
      </c>
      <c r="DO19" s="1604"/>
      <c r="DP19" s="1604" t="s">
        <v>152</v>
      </c>
      <c r="DQ19" s="1636"/>
      <c r="DR19" s="174"/>
      <c r="DS19" s="177"/>
    </row>
    <row r="20" spans="2:123" ht="9.9499999999999993" customHeight="1">
      <c r="B20" s="1"/>
      <c r="C20" s="174"/>
      <c r="D20" s="174"/>
      <c r="E20" s="174"/>
      <c r="F20" s="1654" t="s">
        <v>153</v>
      </c>
      <c r="G20" s="1655"/>
      <c r="H20" s="1655"/>
      <c r="I20" s="1655"/>
      <c r="J20" s="1655"/>
      <c r="K20" s="1655"/>
      <c r="L20" s="1655"/>
      <c r="M20" s="1655"/>
      <c r="N20" s="1655"/>
      <c r="O20" s="1655"/>
      <c r="P20" s="1655"/>
      <c r="Q20" s="165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654" t="s">
        <v>153</v>
      </c>
      <c r="AU20" s="1655"/>
      <c r="AV20" s="1655"/>
      <c r="AW20" s="1655"/>
      <c r="AX20" s="1655"/>
      <c r="AY20" s="1655"/>
      <c r="AZ20" s="1655"/>
      <c r="BA20" s="1655"/>
      <c r="BB20" s="1655"/>
      <c r="BC20" s="1655"/>
      <c r="BD20" s="1655"/>
      <c r="BE20" s="1656"/>
      <c r="BF20" s="174"/>
      <c r="BG20" s="174"/>
      <c r="BH20" s="174"/>
      <c r="BI20" s="177"/>
      <c r="BK20" s="174"/>
      <c r="BL20" s="17"/>
      <c r="BM20" s="6"/>
      <c r="BN20" s="6"/>
      <c r="BO20" s="174"/>
      <c r="BP20" s="174"/>
      <c r="BQ20" s="174"/>
      <c r="BR20" s="1366" t="s">
        <v>99</v>
      </c>
      <c r="BS20" s="1367"/>
      <c r="BT20" s="1367"/>
      <c r="BU20" s="1367" t="s">
        <v>99</v>
      </c>
      <c r="BV20" s="1367"/>
      <c r="BW20" s="1367"/>
      <c r="BX20" s="1367" t="s">
        <v>99</v>
      </c>
      <c r="BY20" s="1367"/>
      <c r="BZ20" s="1367"/>
      <c r="CA20" s="1367" t="s">
        <v>99</v>
      </c>
      <c r="CB20" s="1367"/>
      <c r="CC20" s="1368"/>
      <c r="CD20" s="174"/>
      <c r="CE20" s="174"/>
      <c r="CF20" s="174"/>
      <c r="CG20" s="174"/>
      <c r="CH20" s="174"/>
      <c r="CI20" s="174"/>
      <c r="CJ20" s="174"/>
      <c r="CK20" s="174"/>
      <c r="CL20" s="174"/>
      <c r="CM20" s="174"/>
      <c r="CN20" s="174"/>
      <c r="CO20" s="174"/>
      <c r="CP20" s="1607"/>
      <c r="CQ20" s="1607"/>
      <c r="CR20" s="1607"/>
      <c r="CS20" s="174"/>
      <c r="CT20" s="174"/>
      <c r="CU20" s="174"/>
      <c r="CV20" s="174"/>
      <c r="CW20" s="174"/>
      <c r="CX20" s="174"/>
      <c r="CY20" s="174"/>
      <c r="CZ20" s="1640"/>
      <c r="DA20" s="1641"/>
      <c r="DB20" s="1645"/>
      <c r="DC20" s="1641"/>
      <c r="DD20" s="1594"/>
      <c r="DE20" s="174"/>
      <c r="DF20" s="174"/>
      <c r="DG20" s="174"/>
      <c r="DH20" s="1635"/>
      <c r="DI20" s="1635"/>
      <c r="DJ20" s="1077"/>
      <c r="DK20" s="870"/>
      <c r="DL20" s="870"/>
      <c r="DM20" s="1078"/>
      <c r="DN20" s="1603"/>
      <c r="DO20" s="1604"/>
      <c r="DP20" s="1604"/>
      <c r="DQ20" s="1636"/>
      <c r="DR20" s="174"/>
      <c r="DS20" s="177"/>
    </row>
    <row r="21" spans="2:123" ht="9.9499999999999993" customHeight="1" thickBot="1">
      <c r="B21" s="1"/>
      <c r="C21" s="174"/>
      <c r="D21" s="174"/>
      <c r="E21" s="174"/>
      <c r="F21" s="1657"/>
      <c r="G21" s="1658"/>
      <c r="H21" s="1658"/>
      <c r="I21" s="1658"/>
      <c r="J21" s="1658"/>
      <c r="K21" s="1658"/>
      <c r="L21" s="1658"/>
      <c r="M21" s="1658"/>
      <c r="N21" s="1658"/>
      <c r="O21" s="1658"/>
      <c r="P21" s="1658"/>
      <c r="Q21" s="1659"/>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657"/>
      <c r="AU21" s="1658"/>
      <c r="AV21" s="1658"/>
      <c r="AW21" s="1658"/>
      <c r="AX21" s="1658"/>
      <c r="AY21" s="1658"/>
      <c r="AZ21" s="1658"/>
      <c r="BA21" s="1658"/>
      <c r="BB21" s="1658"/>
      <c r="BC21" s="1658"/>
      <c r="BD21" s="1658"/>
      <c r="BE21" s="1659"/>
      <c r="BF21" s="174"/>
      <c r="BG21" s="174"/>
      <c r="BH21" s="174"/>
      <c r="BI21" s="177"/>
      <c r="BK21" s="174"/>
      <c r="BL21" s="17"/>
      <c r="BM21" s="6"/>
      <c r="BN21" s="6"/>
      <c r="BO21" s="174"/>
      <c r="BP21" s="174"/>
      <c r="BQ21" s="174"/>
      <c r="BR21" s="1444">
        <f>SBR_Master</f>
        <v>0</v>
      </c>
      <c r="BS21" s="1445"/>
      <c r="BT21" s="1445"/>
      <c r="BU21" s="1445">
        <f>SBT_Master</f>
        <v>1447</v>
      </c>
      <c r="BV21" s="1445"/>
      <c r="BW21" s="1445"/>
      <c r="BX21" s="1445">
        <f>SBL_Master</f>
        <v>607</v>
      </c>
      <c r="BY21" s="1445"/>
      <c r="BZ21" s="1445"/>
      <c r="CA21" s="1445">
        <f>SBU_Master</f>
        <v>0</v>
      </c>
      <c r="CB21" s="1445"/>
      <c r="CC21" s="1446"/>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640"/>
      <c r="DA21" s="1641"/>
      <c r="DB21" s="1645"/>
      <c r="DC21" s="1641"/>
      <c r="DD21" s="1594"/>
      <c r="DE21" s="174"/>
      <c r="DF21" s="174"/>
      <c r="DG21" s="174"/>
      <c r="DH21" s="1635"/>
      <c r="DI21" s="1635"/>
      <c r="DJ21" s="1077"/>
      <c r="DK21" s="870"/>
      <c r="DL21" s="870"/>
      <c r="DM21" s="1078"/>
      <c r="DN21" s="1603"/>
      <c r="DO21" s="1604"/>
      <c r="DP21" s="1604"/>
      <c r="DQ21" s="1636"/>
      <c r="DR21" s="174"/>
      <c r="DS21" s="177"/>
    </row>
    <row r="22" spans="2:123" ht="9.9499999999999993" customHeight="1" thickBot="1">
      <c r="B22" s="1"/>
      <c r="C22" s="174"/>
      <c r="D22" s="174"/>
      <c r="E22" s="174"/>
      <c r="F22" s="1660"/>
      <c r="G22" s="1661"/>
      <c r="H22" s="1661"/>
      <c r="I22" s="1661"/>
      <c r="J22" s="1661"/>
      <c r="K22" s="1661"/>
      <c r="L22" s="1661"/>
      <c r="M22" s="1661"/>
      <c r="N22" s="1661"/>
      <c r="O22" s="1661"/>
      <c r="P22" s="1661"/>
      <c r="Q22" s="1662"/>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660"/>
      <c r="AU22" s="1661"/>
      <c r="AV22" s="1661"/>
      <c r="AW22" s="1661"/>
      <c r="AX22" s="1661"/>
      <c r="AY22" s="1661"/>
      <c r="AZ22" s="1661"/>
      <c r="BA22" s="1661"/>
      <c r="BB22" s="1661"/>
      <c r="BC22" s="1661"/>
      <c r="BD22" s="1661"/>
      <c r="BE22" s="1662"/>
      <c r="BF22" s="174"/>
      <c r="BG22" s="174"/>
      <c r="BH22" s="174"/>
      <c r="BI22" s="177"/>
      <c r="BK22" s="174"/>
      <c r="BL22" s="17"/>
      <c r="BM22" s="6"/>
      <c r="BN22" s="6"/>
      <c r="BO22" s="174"/>
      <c r="BP22" s="174"/>
      <c r="BQ22" s="174"/>
      <c r="BR22" s="13"/>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14"/>
      <c r="CT22" s="114"/>
      <c r="CU22" s="113"/>
      <c r="CV22" s="113"/>
      <c r="CW22" s="113"/>
      <c r="CX22" s="113"/>
      <c r="CY22" s="113"/>
      <c r="CZ22" s="1640"/>
      <c r="DA22" s="1641"/>
      <c r="DB22" s="1645"/>
      <c r="DC22" s="1641"/>
      <c r="DD22" s="1594"/>
      <c r="DE22" s="174"/>
      <c r="DF22" s="174"/>
      <c r="DG22" s="174"/>
      <c r="DH22" s="174"/>
      <c r="DI22" s="174"/>
      <c r="DJ22" s="174"/>
      <c r="DK22" s="174"/>
      <c r="DL22" s="174"/>
      <c r="DM22" s="174"/>
      <c r="DN22" s="1603"/>
      <c r="DO22" s="1604"/>
      <c r="DP22" s="1604"/>
      <c r="DQ22" s="1636"/>
      <c r="DR22" s="174"/>
      <c r="DS22" s="177"/>
    </row>
    <row r="23" spans="2:123" ht="9.9499999999999993" customHeight="1" thickBot="1">
      <c r="B23" s="1"/>
      <c r="C23" s="174"/>
      <c r="D23" s="174"/>
      <c r="E23" s="174"/>
      <c r="F23" s="1084" t="s">
        <v>74</v>
      </c>
      <c r="G23" s="1075"/>
      <c r="H23" s="1075"/>
      <c r="I23" s="1075"/>
      <c r="J23" s="1663">
        <f>CA35</f>
        <v>2.7433271684152856</v>
      </c>
      <c r="K23" s="1664"/>
      <c r="L23" s="1664"/>
      <c r="M23" s="1664"/>
      <c r="N23" s="1665" t="s">
        <v>55</v>
      </c>
      <c r="O23" s="1665"/>
      <c r="P23" s="1665"/>
      <c r="Q23" s="1666"/>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084" t="s">
        <v>74</v>
      </c>
      <c r="AU23" s="1075"/>
      <c r="AV23" s="1075"/>
      <c r="AW23" s="1075"/>
      <c r="AX23" s="1663">
        <f>CR28</f>
        <v>4.5075512059276539</v>
      </c>
      <c r="AY23" s="1664"/>
      <c r="AZ23" s="1664"/>
      <c r="BA23" s="1664"/>
      <c r="BB23" s="1665" t="s">
        <v>55</v>
      </c>
      <c r="BC23" s="1665"/>
      <c r="BD23" s="1665"/>
      <c r="BE23" s="1666"/>
      <c r="BF23" s="174"/>
      <c r="BG23" s="14"/>
      <c r="BH23" s="174"/>
      <c r="BI23" s="177"/>
      <c r="BK23" s="174"/>
      <c r="BL23" s="17"/>
      <c r="BM23" s="6"/>
      <c r="BN23" s="6"/>
      <c r="BO23" s="174"/>
      <c r="BP23" s="174"/>
      <c r="BQ23" s="174"/>
      <c r="BR23" s="12"/>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642"/>
      <c r="DA23" s="1643"/>
      <c r="DB23" s="1646"/>
      <c r="DC23" s="1643"/>
      <c r="DD23" s="1595"/>
      <c r="DE23" s="174"/>
      <c r="DF23" s="174"/>
      <c r="DG23" s="174"/>
      <c r="DH23" s="1635">
        <f>DL33*DN15</f>
        <v>0</v>
      </c>
      <c r="DI23" s="1635"/>
      <c r="DJ23" s="1077"/>
      <c r="DK23" s="870"/>
      <c r="DL23" s="870"/>
      <c r="DM23" s="1078"/>
      <c r="DN23" s="1603"/>
      <c r="DO23" s="1604"/>
      <c r="DP23" s="1604"/>
      <c r="DQ23" s="1636"/>
      <c r="DR23" s="174"/>
      <c r="DS23" s="177"/>
    </row>
    <row r="24" spans="2:123" ht="9.9499999999999993" customHeight="1" thickBot="1">
      <c r="B24" s="1"/>
      <c r="C24" s="174"/>
      <c r="D24" s="174"/>
      <c r="E24" s="174"/>
      <c r="F24" s="1106"/>
      <c r="G24" s="1094"/>
      <c r="H24" s="1094"/>
      <c r="I24" s="1094"/>
      <c r="J24" s="1449"/>
      <c r="K24" s="1450"/>
      <c r="L24" s="1450"/>
      <c r="M24" s="1450"/>
      <c r="N24" s="1453"/>
      <c r="O24" s="1453"/>
      <c r="P24" s="1453"/>
      <c r="Q24" s="1454"/>
      <c r="R24" s="55">
        <f>+IF(J23&gt;1,1,0)</f>
        <v>1</v>
      </c>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869"/>
      <c r="AU24" s="870"/>
      <c r="AV24" s="870"/>
      <c r="AW24" s="870"/>
      <c r="AX24" s="1667"/>
      <c r="AY24" s="1448"/>
      <c r="AZ24" s="1448"/>
      <c r="BA24" s="1448"/>
      <c r="BB24" s="1451"/>
      <c r="BC24" s="1451"/>
      <c r="BD24" s="1451"/>
      <c r="BE24" s="1452"/>
      <c r="BF24" s="174"/>
      <c r="BG24" s="14"/>
      <c r="BH24" s="174"/>
      <c r="BI24" s="177"/>
      <c r="BK24" s="174"/>
      <c r="BL24" s="1"/>
      <c r="BM24" s="174"/>
      <c r="BN24" s="174"/>
      <c r="BO24" s="174"/>
      <c r="BP24" s="174"/>
      <c r="BQ24" s="174"/>
      <c r="BR24" s="1647" t="s">
        <v>150</v>
      </c>
      <c r="BS24" s="1648"/>
      <c r="BT24" s="1648"/>
      <c r="BU24" s="1648"/>
      <c r="BV24" s="1648"/>
      <c r="BW24" s="1648"/>
      <c r="BX24" s="1648"/>
      <c r="BY24" s="1649"/>
      <c r="BZ24" s="112"/>
      <c r="CA24" s="1051"/>
      <c r="CB24" s="1052"/>
      <c r="CC24" s="1057"/>
      <c r="CD24" s="169"/>
      <c r="CE24" s="1647" t="s">
        <v>136</v>
      </c>
      <c r="CF24" s="1648"/>
      <c r="CG24" s="1648"/>
      <c r="CH24" s="1648"/>
      <c r="CI24" s="1648"/>
      <c r="CJ24" s="1648"/>
      <c r="CK24" s="1648"/>
      <c r="CL24" s="1649"/>
      <c r="CM24" s="174"/>
      <c r="CN24" s="174"/>
      <c r="CO24" s="174"/>
      <c r="CP24" s="174"/>
      <c r="CQ24" s="174"/>
      <c r="CR24" s="174"/>
      <c r="CS24" s="174"/>
      <c r="CT24" s="174"/>
      <c r="CU24" s="174"/>
      <c r="CV24" s="174"/>
      <c r="CW24" s="174"/>
      <c r="CX24" s="174"/>
      <c r="CY24" s="174"/>
      <c r="CZ24" s="174"/>
      <c r="DA24" s="174"/>
      <c r="DB24" s="174"/>
      <c r="DC24" s="174"/>
      <c r="DD24" s="170"/>
      <c r="DE24" s="174"/>
      <c r="DF24" s="174"/>
      <c r="DG24" s="174"/>
      <c r="DH24" s="1635"/>
      <c r="DI24" s="1635"/>
      <c r="DJ24" s="1077"/>
      <c r="DK24" s="870"/>
      <c r="DL24" s="870"/>
      <c r="DM24" s="1078"/>
      <c r="DN24" s="1603"/>
      <c r="DO24" s="1604"/>
      <c r="DP24" s="1604"/>
      <c r="DQ24" s="1636"/>
      <c r="DR24" s="174"/>
      <c r="DS24" s="177"/>
    </row>
    <row r="25" spans="2:123" ht="9.9499999999999993" customHeight="1" thickBot="1">
      <c r="B25" s="1"/>
      <c r="C25" s="174"/>
      <c r="D25" s="174"/>
      <c r="E25" s="174"/>
      <c r="F25" s="174"/>
      <c r="G25" s="174"/>
      <c r="H25" s="174"/>
      <c r="I25" s="174"/>
      <c r="J25" s="6"/>
      <c r="K25" s="6"/>
      <c r="L25" s="6"/>
      <c r="M25" s="6"/>
      <c r="N25" s="6"/>
      <c r="O25" s="6"/>
      <c r="P25" s="6"/>
      <c r="Q25" s="6"/>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869" t="s">
        <v>75</v>
      </c>
      <c r="AU25" s="870"/>
      <c r="AV25" s="870"/>
      <c r="AW25" s="870"/>
      <c r="AX25" s="1447">
        <f>CR25</f>
        <v>4.791189632150993</v>
      </c>
      <c r="AY25" s="1448"/>
      <c r="AZ25" s="1448"/>
      <c r="BA25" s="1448"/>
      <c r="BB25" s="1451" t="s">
        <v>55</v>
      </c>
      <c r="BC25" s="1451"/>
      <c r="BD25" s="1451"/>
      <c r="BE25" s="1452"/>
      <c r="BF25" s="174"/>
      <c r="BG25" s="174"/>
      <c r="BH25" s="174"/>
      <c r="BI25" s="177"/>
      <c r="BK25" s="174"/>
      <c r="BL25" s="1"/>
      <c r="BM25" s="174"/>
      <c r="BN25" s="174"/>
      <c r="BO25" s="6"/>
      <c r="BP25" s="6"/>
      <c r="BQ25" s="6"/>
      <c r="BR25" s="815">
        <v>1</v>
      </c>
      <c r="BS25" s="816"/>
      <c r="BT25" s="816"/>
      <c r="BU25" s="1495"/>
      <c r="BV25" s="1350">
        <f>$CL$11*EXP(-$CS$11*(CE27+CE25))</f>
        <v>748.72586239377222</v>
      </c>
      <c r="BW25" s="1350"/>
      <c r="BX25" s="1350"/>
      <c r="BY25" s="1584"/>
      <c r="BZ25" s="39"/>
      <c r="CA25" s="1053"/>
      <c r="CB25" s="1054"/>
      <c r="CC25" s="1058"/>
      <c r="CD25" s="174"/>
      <c r="CE25" s="1617">
        <f>DH19+DD60+BR40</f>
        <v>0</v>
      </c>
      <c r="CF25" s="1618"/>
      <c r="CG25" s="1618"/>
      <c r="CH25" s="1619"/>
      <c r="CI25" s="237"/>
      <c r="CJ25" s="237"/>
      <c r="CK25" s="237"/>
      <c r="CL25" s="314"/>
      <c r="CM25" s="174"/>
      <c r="CN25" s="174"/>
      <c r="CO25" s="174"/>
      <c r="CP25" s="1608">
        <v>2</v>
      </c>
      <c r="CQ25" s="1609"/>
      <c r="CR25" s="1419">
        <f>CY25/DB15</f>
        <v>4.791189632150993</v>
      </c>
      <c r="CS25" s="1420"/>
      <c r="CT25" s="1357" t="s">
        <v>135</v>
      </c>
      <c r="CU25" s="1357"/>
      <c r="CV25" s="1357"/>
      <c r="CW25" s="1357"/>
      <c r="CX25" s="1425"/>
      <c r="CY25" s="1614">
        <f>DH19+DJ16</f>
        <v>625</v>
      </c>
      <c r="CZ25" s="1432" t="s">
        <v>99</v>
      </c>
      <c r="DA25" s="1075"/>
      <c r="DB25" s="1075"/>
      <c r="DC25" s="1075"/>
      <c r="DD25" s="1076"/>
      <c r="DE25" s="174"/>
      <c r="DF25" s="174"/>
      <c r="DG25" s="174"/>
      <c r="DH25" s="1635"/>
      <c r="DI25" s="1635"/>
      <c r="DJ25" s="1495"/>
      <c r="DK25" s="1602"/>
      <c r="DL25" s="870"/>
      <c r="DM25" s="1078"/>
      <c r="DN25" s="1603"/>
      <c r="DO25" s="1604"/>
      <c r="DP25" s="1604"/>
      <c r="DQ25" s="1636"/>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106"/>
      <c r="AU26" s="1094"/>
      <c r="AV26" s="1094"/>
      <c r="AW26" s="1094"/>
      <c r="AX26" s="1449"/>
      <c r="AY26" s="1450"/>
      <c r="AZ26" s="1450"/>
      <c r="BA26" s="1450"/>
      <c r="BB26" s="1453"/>
      <c r="BC26" s="1453"/>
      <c r="BD26" s="1453"/>
      <c r="BE26" s="1454"/>
      <c r="BF26" s="55">
        <f>+IF(OR(AX23&gt;1,AX25&gt;1),1,0)</f>
        <v>1</v>
      </c>
      <c r="BG26" s="174"/>
      <c r="BH26" s="174"/>
      <c r="BI26" s="177"/>
      <c r="BK26" s="174"/>
      <c r="BL26" s="1"/>
      <c r="BM26" s="174"/>
      <c r="BN26" s="174"/>
      <c r="BO26" s="174"/>
      <c r="BP26" s="174"/>
      <c r="BQ26" s="174"/>
      <c r="BR26" s="824"/>
      <c r="BS26" s="825"/>
      <c r="BT26" s="825"/>
      <c r="BU26" s="1496"/>
      <c r="BV26" s="1352"/>
      <c r="BW26" s="1352"/>
      <c r="BX26" s="1352"/>
      <c r="BY26" s="1616"/>
      <c r="BZ26" s="174"/>
      <c r="CA26" s="1053"/>
      <c r="CB26" s="1054"/>
      <c r="CC26" s="1058"/>
      <c r="CD26" s="174"/>
      <c r="CE26" s="1556"/>
      <c r="CF26" s="1557"/>
      <c r="CG26" s="1557"/>
      <c r="CH26" s="1558"/>
      <c r="CI26" s="238"/>
      <c r="CJ26" s="238"/>
      <c r="CK26" s="238"/>
      <c r="CL26" s="315"/>
      <c r="CM26" s="174"/>
      <c r="CN26" s="174"/>
      <c r="CO26" s="174"/>
      <c r="CP26" s="1610"/>
      <c r="CQ26" s="1611"/>
      <c r="CR26" s="1421"/>
      <c r="CS26" s="1422"/>
      <c r="CT26" s="1357"/>
      <c r="CU26" s="1357"/>
      <c r="CV26" s="1357"/>
      <c r="CW26" s="1357"/>
      <c r="CX26" s="1425"/>
      <c r="CY26" s="1615"/>
      <c r="CZ26" s="1433"/>
      <c r="DA26" s="870"/>
      <c r="DB26" s="870"/>
      <c r="DC26" s="870"/>
      <c r="DD26" s="871"/>
      <c r="DE26" s="174"/>
      <c r="DF26" s="174"/>
      <c r="DG26" s="174"/>
      <c r="DH26" s="174"/>
      <c r="DI26" s="40"/>
      <c r="DJ26" s="1635">
        <f>DL36+DL39</f>
        <v>588</v>
      </c>
      <c r="DK26" s="1635"/>
      <c r="DL26" s="174"/>
      <c r="DM26" s="174"/>
      <c r="DN26" s="1603"/>
      <c r="DO26" s="1604"/>
      <c r="DP26" s="1604"/>
      <c r="DQ26" s="1636"/>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053"/>
      <c r="CB27" s="1054"/>
      <c r="CC27" s="1058"/>
      <c r="CD27" s="174"/>
      <c r="CE27" s="1512">
        <f>DH23+DJ26+DA60</f>
        <v>588</v>
      </c>
      <c r="CF27" s="1513"/>
      <c r="CG27" s="1513"/>
      <c r="CH27" s="1514"/>
      <c r="CI27" s="238"/>
      <c r="CJ27" s="238"/>
      <c r="CK27" s="238"/>
      <c r="CL27" s="315"/>
      <c r="CM27" s="174"/>
      <c r="CN27" s="174"/>
      <c r="CO27" s="174"/>
      <c r="CP27" s="1612"/>
      <c r="CQ27" s="1613"/>
      <c r="CR27" s="1423"/>
      <c r="CS27" s="1424"/>
      <c r="CT27" s="1357"/>
      <c r="CU27" s="1357"/>
      <c r="CV27" s="1357"/>
      <c r="CW27" s="1357"/>
      <c r="CX27" s="1425"/>
      <c r="CY27" s="1615"/>
      <c r="CZ27" s="1433"/>
      <c r="DA27" s="870"/>
      <c r="DB27" s="870"/>
      <c r="DC27" s="870"/>
      <c r="DD27" s="871"/>
      <c r="DE27" s="174"/>
      <c r="DF27" s="174"/>
      <c r="DG27" s="174"/>
      <c r="DH27" s="174"/>
      <c r="DI27" s="174"/>
      <c r="DJ27" s="1635"/>
      <c r="DK27" s="1635"/>
      <c r="DL27" s="174"/>
      <c r="DM27" s="174"/>
      <c r="DN27" s="1603"/>
      <c r="DO27" s="1604"/>
      <c r="DP27" s="1604"/>
      <c r="DQ27" s="1636"/>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74"/>
      <c r="AU28" s="17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375" t="s">
        <v>99</v>
      </c>
      <c r="CB28" s="1376"/>
      <c r="CC28" s="1377"/>
      <c r="CD28" s="174"/>
      <c r="CE28" s="1515"/>
      <c r="CF28" s="1516"/>
      <c r="CG28" s="1516"/>
      <c r="CH28" s="1517"/>
      <c r="CI28" s="1518"/>
      <c r="CJ28" s="1518"/>
      <c r="CK28" s="1518"/>
      <c r="CL28" s="1519"/>
      <c r="CM28" s="174"/>
      <c r="CN28" s="174"/>
      <c r="CO28" s="174"/>
      <c r="CP28" s="1610">
        <v>1</v>
      </c>
      <c r="CQ28" s="1611"/>
      <c r="CR28" s="1421">
        <f>CY28/CZ15</f>
        <v>4.5075512059276539</v>
      </c>
      <c r="CS28" s="1422"/>
      <c r="CT28" s="1357" t="s">
        <v>135</v>
      </c>
      <c r="CU28" s="1357"/>
      <c r="CV28" s="1357"/>
      <c r="CW28" s="1357"/>
      <c r="CX28" s="1425"/>
      <c r="CY28" s="1615">
        <f>DJ26+DH23</f>
        <v>588</v>
      </c>
      <c r="CZ28" s="1433" t="s">
        <v>99</v>
      </c>
      <c r="DA28" s="870"/>
      <c r="DB28" s="870"/>
      <c r="DC28" s="870"/>
      <c r="DD28" s="871"/>
      <c r="DE28" s="174"/>
      <c r="DF28" s="174"/>
      <c r="DG28" s="174"/>
      <c r="DH28" s="174"/>
      <c r="DI28" s="174"/>
      <c r="DJ28" s="1635"/>
      <c r="DK28" s="1635"/>
      <c r="DL28" s="174"/>
      <c r="DM28" s="174"/>
      <c r="DN28" s="1605"/>
      <c r="DO28" s="1606"/>
      <c r="DP28" s="1606"/>
      <c r="DQ28" s="1637"/>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74"/>
      <c r="AU29" s="17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624">
        <f>BR21+BU21+BX21+CA21</f>
        <v>2054</v>
      </c>
      <c r="CB29" s="1625"/>
      <c r="CC29" s="1626"/>
      <c r="CD29" s="174"/>
      <c r="CE29" s="174"/>
      <c r="CF29" s="174"/>
      <c r="CG29" s="174"/>
      <c r="CH29" s="174"/>
      <c r="CI29" s="174"/>
      <c r="CJ29" s="174"/>
      <c r="CK29" s="174"/>
      <c r="CL29" s="174"/>
      <c r="CM29" s="174"/>
      <c r="CN29" s="174"/>
      <c r="CO29" s="174"/>
      <c r="CP29" s="1610"/>
      <c r="CQ29" s="1611"/>
      <c r="CR29" s="1421"/>
      <c r="CS29" s="1422"/>
      <c r="CT29" s="1357"/>
      <c r="CU29" s="1357"/>
      <c r="CV29" s="1357"/>
      <c r="CW29" s="1357"/>
      <c r="CX29" s="1425"/>
      <c r="CY29" s="1615"/>
      <c r="CZ29" s="1433"/>
      <c r="DA29" s="870"/>
      <c r="DB29" s="870"/>
      <c r="DC29" s="870"/>
      <c r="DD29" s="871"/>
      <c r="DE29" s="174"/>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16"/>
      <c r="CA30" s="1438" t="s">
        <v>135</v>
      </c>
      <c r="CB30" s="1438"/>
      <c r="CC30" s="1438"/>
      <c r="CD30" s="174"/>
      <c r="CE30" s="174"/>
      <c r="CF30" s="174"/>
      <c r="CG30" s="174"/>
      <c r="CH30" s="174"/>
      <c r="CI30" s="174"/>
      <c r="CJ30" s="174"/>
      <c r="CK30" s="174"/>
      <c r="CL30" s="174"/>
      <c r="CM30" s="174"/>
      <c r="CN30" s="174"/>
      <c r="CO30" s="174"/>
      <c r="CP30" s="1612"/>
      <c r="CQ30" s="1613"/>
      <c r="CR30" s="1423"/>
      <c r="CS30" s="1424"/>
      <c r="CT30" s="1357"/>
      <c r="CU30" s="1357"/>
      <c r="CV30" s="1357"/>
      <c r="CW30" s="1357"/>
      <c r="CX30" s="1425"/>
      <c r="CY30" s="1623"/>
      <c r="CZ30" s="1434"/>
      <c r="DA30" s="1094"/>
      <c r="DB30" s="1094"/>
      <c r="DC30" s="1094"/>
      <c r="DD30" s="1095"/>
      <c r="DE30" s="174"/>
      <c r="DF30" s="174"/>
      <c r="DG30" s="174"/>
      <c r="DH30" s="174"/>
      <c r="DI30" s="174"/>
      <c r="DJ30" s="174"/>
      <c r="DK30" s="174"/>
      <c r="DL30" s="1417">
        <f>WBR_Master</f>
        <v>625</v>
      </c>
      <c r="DM30" s="1418" t="s">
        <v>99</v>
      </c>
      <c r="DN30" s="1075"/>
      <c r="DO30" s="1075"/>
      <c r="DP30" s="1075"/>
      <c r="DQ30" s="1076"/>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74"/>
      <c r="AU31" s="174"/>
      <c r="AV31" s="174"/>
      <c r="AW31" s="174"/>
      <c r="AX31" s="174"/>
      <c r="AY31" s="174"/>
      <c r="AZ31" s="174"/>
      <c r="BA31" s="174"/>
      <c r="BB31" s="174"/>
      <c r="BC31" s="174"/>
      <c r="BD31" s="174"/>
      <c r="BE31" s="174"/>
      <c r="BF31" s="14"/>
      <c r="BG31" s="14"/>
      <c r="BH31" s="174"/>
      <c r="BI31" s="177"/>
      <c r="BK31" s="174"/>
      <c r="BL31" s="1"/>
      <c r="BM31" s="174"/>
      <c r="BN31" s="174"/>
      <c r="BO31" s="174"/>
      <c r="BP31" s="174"/>
      <c r="BQ31" s="174"/>
      <c r="BR31" s="174"/>
      <c r="BS31" s="174"/>
      <c r="BT31" s="174"/>
      <c r="BU31" s="174"/>
      <c r="BV31" s="174"/>
      <c r="BW31" s="174"/>
      <c r="BX31" s="174"/>
      <c r="BY31" s="174"/>
      <c r="BZ31" s="6"/>
      <c r="CA31" s="1439"/>
      <c r="CB31" s="1439"/>
      <c r="CC31" s="1439"/>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
      <c r="DF31" s="174"/>
      <c r="DG31" s="174"/>
      <c r="DH31" s="174"/>
      <c r="DI31" s="174"/>
      <c r="DJ31" s="174"/>
      <c r="DK31" s="174"/>
      <c r="DL31" s="1316"/>
      <c r="DM31" s="1396"/>
      <c r="DN31" s="870"/>
      <c r="DO31" s="870"/>
      <c r="DP31" s="870"/>
      <c r="DQ31" s="871"/>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6"/>
      <c r="CA32" s="1439"/>
      <c r="CB32" s="1439"/>
      <c r="CC32" s="1439"/>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620"/>
      <c r="DC32" s="1621"/>
      <c r="DD32" s="1593" t="s">
        <v>136</v>
      </c>
      <c r="DE32" s="174"/>
      <c r="DF32" s="174"/>
      <c r="DG32" s="174"/>
      <c r="DH32" s="174"/>
      <c r="DI32" s="174"/>
      <c r="DJ32" s="174"/>
      <c r="DK32" s="174"/>
      <c r="DL32" s="1316"/>
      <c r="DM32" s="1396"/>
      <c r="DN32" s="870"/>
      <c r="DO32" s="870"/>
      <c r="DP32" s="870"/>
      <c r="DQ32" s="871"/>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439"/>
      <c r="CB33" s="1439"/>
      <c r="CC33" s="1439"/>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622"/>
      <c r="DC33" s="222"/>
      <c r="DD33" s="1594"/>
      <c r="DE33" s="174"/>
      <c r="DF33" s="174"/>
      <c r="DG33" s="174"/>
      <c r="DH33" s="174"/>
      <c r="DI33" s="174"/>
      <c r="DJ33" s="174"/>
      <c r="DK33" s="174"/>
      <c r="DL33" s="1316">
        <f>WBT_Master</f>
        <v>0</v>
      </c>
      <c r="DM33" s="1396" t="s">
        <v>99</v>
      </c>
      <c r="DN33" s="870"/>
      <c r="DO33" s="870"/>
      <c r="DP33" s="870"/>
      <c r="DQ33" s="871"/>
      <c r="DR33" s="174"/>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440"/>
      <c r="CB34" s="1440"/>
      <c r="CC34" s="1440"/>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622"/>
      <c r="DC34" s="222"/>
      <c r="DD34" s="1594"/>
      <c r="DE34" s="174"/>
      <c r="DF34" s="174"/>
      <c r="DG34" s="174"/>
      <c r="DH34" s="174"/>
      <c r="DI34" s="174"/>
      <c r="DJ34" s="174"/>
      <c r="DK34" s="174"/>
      <c r="DL34" s="1316"/>
      <c r="DM34" s="1396"/>
      <c r="DN34" s="870"/>
      <c r="DO34" s="870"/>
      <c r="DP34" s="870"/>
      <c r="DQ34" s="871"/>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498">
        <f>CA29/BV25</f>
        <v>2.7433271684152856</v>
      </c>
      <c r="CB35" s="1499"/>
      <c r="CC35" s="1500"/>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622"/>
      <c r="DC35" s="222"/>
      <c r="DD35" s="1594"/>
      <c r="DE35" s="174"/>
      <c r="DF35" s="174"/>
      <c r="DG35" s="174"/>
      <c r="DH35" s="174"/>
      <c r="DI35" s="174"/>
      <c r="DJ35" s="174"/>
      <c r="DK35" s="174"/>
      <c r="DL35" s="1316"/>
      <c r="DM35" s="1396"/>
      <c r="DN35" s="870"/>
      <c r="DO35" s="870"/>
      <c r="DP35" s="870"/>
      <c r="DQ35" s="871"/>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501"/>
      <c r="CB36" s="1502"/>
      <c r="CC36" s="1503"/>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23"/>
      <c r="DA36" s="123"/>
      <c r="DB36" s="1576">
        <f>BS53+DA60+DD60+DG60+CA21</f>
        <v>2159</v>
      </c>
      <c r="DC36" s="1577"/>
      <c r="DD36" s="1594"/>
      <c r="DE36" s="174"/>
      <c r="DF36" s="174"/>
      <c r="DG36" s="174"/>
      <c r="DH36" s="174"/>
      <c r="DI36" s="174"/>
      <c r="DJ36" s="174"/>
      <c r="DK36" s="174"/>
      <c r="DL36" s="1316">
        <f>WBL_Master</f>
        <v>588</v>
      </c>
      <c r="DM36" s="1396" t="s">
        <v>99</v>
      </c>
      <c r="DN36" s="870"/>
      <c r="DO36" s="870"/>
      <c r="DP36" s="870"/>
      <c r="DQ36" s="871"/>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591">
        <v>1</v>
      </c>
      <c r="CB37" s="1541"/>
      <c r="CC37" s="1592"/>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23"/>
      <c r="DA37" s="123"/>
      <c r="DB37" s="1578"/>
      <c r="DC37" s="1579"/>
      <c r="DD37" s="1594"/>
      <c r="DE37" s="174"/>
      <c r="DF37" s="174"/>
      <c r="DG37" s="174"/>
      <c r="DH37" s="174"/>
      <c r="DI37" s="174"/>
      <c r="DJ37" s="174"/>
      <c r="DK37" s="174"/>
      <c r="DL37" s="1316"/>
      <c r="DM37" s="1396"/>
      <c r="DN37" s="870"/>
      <c r="DO37" s="870"/>
      <c r="DP37" s="870"/>
      <c r="DQ37" s="871"/>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106"/>
      <c r="CB38" s="1094"/>
      <c r="CC38" s="1095"/>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23"/>
      <c r="DA38" s="123"/>
      <c r="DB38" s="1578"/>
      <c r="DC38" s="1579"/>
      <c r="DD38" s="1594"/>
      <c r="DE38" s="174"/>
      <c r="DF38" s="174"/>
      <c r="DG38" s="174"/>
      <c r="DH38" s="174"/>
      <c r="DI38" s="174"/>
      <c r="DJ38" s="174"/>
      <c r="DK38" s="174"/>
      <c r="DL38" s="1316"/>
      <c r="DM38" s="1396"/>
      <c r="DN38" s="870"/>
      <c r="DO38" s="870"/>
      <c r="DP38" s="870"/>
      <c r="DQ38" s="871"/>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23"/>
      <c r="DA39" s="123"/>
      <c r="DB39" s="1578"/>
      <c r="DC39" s="1579"/>
      <c r="DD39" s="1594"/>
      <c r="DE39" s="174"/>
      <c r="DF39" s="174"/>
      <c r="DG39" s="174"/>
      <c r="DH39" s="174"/>
      <c r="DI39" s="174"/>
      <c r="DJ39" s="174"/>
      <c r="DK39" s="174"/>
      <c r="DL39" s="1316">
        <f>WBU_Master</f>
        <v>0</v>
      </c>
      <c r="DM39" s="1396" t="s">
        <v>99</v>
      </c>
      <c r="DN39" s="870"/>
      <c r="DO39" s="870"/>
      <c r="DP39" s="870"/>
      <c r="DQ39" s="871"/>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084"/>
      <c r="BN40" s="1075"/>
      <c r="BO40" s="1075"/>
      <c r="BP40" s="1075"/>
      <c r="BQ40" s="1406" t="s">
        <v>99</v>
      </c>
      <c r="BR40" s="1341">
        <f>EBU_Master</f>
        <v>0</v>
      </c>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23"/>
      <c r="DA40" s="123"/>
      <c r="DB40" s="1580"/>
      <c r="DC40" s="1581"/>
      <c r="DD40" s="1595"/>
      <c r="DE40" s="1"/>
      <c r="DF40" s="174"/>
      <c r="DG40" s="174"/>
      <c r="DH40" s="174"/>
      <c r="DI40" s="174"/>
      <c r="DJ40" s="174"/>
      <c r="DK40" s="174"/>
      <c r="DL40" s="1316"/>
      <c r="DM40" s="1396"/>
      <c r="DN40" s="870"/>
      <c r="DO40" s="870"/>
      <c r="DP40" s="870"/>
      <c r="DQ40" s="871"/>
      <c r="DR40" s="174"/>
      <c r="DS40" s="177"/>
    </row>
    <row r="41" spans="2:123" ht="9.9499999999999993" customHeight="1" thickBo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869"/>
      <c r="BN41" s="870"/>
      <c r="BO41" s="870"/>
      <c r="BP41" s="870"/>
      <c r="BQ41" s="1387"/>
      <c r="BR41" s="1342"/>
      <c r="BS41" s="174"/>
      <c r="BT41" s="174"/>
      <c r="BU41" s="174"/>
      <c r="BV41" s="174"/>
      <c r="BW41" s="174"/>
      <c r="BX41" s="174"/>
      <c r="BY41" s="177"/>
      <c r="BZ41" s="1520" t="s">
        <v>136</v>
      </c>
      <c r="CA41" s="1523">
        <f>DJ26+CA21+BX21+BU21+DA60</f>
        <v>2642</v>
      </c>
      <c r="CB41" s="1524"/>
      <c r="CC41" s="122"/>
      <c r="CD41" s="122"/>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317"/>
      <c r="DM41" s="1397"/>
      <c r="DN41" s="1094"/>
      <c r="DO41" s="1094"/>
      <c r="DP41" s="1094"/>
      <c r="DQ41" s="1095"/>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869"/>
      <c r="BN42" s="870"/>
      <c r="BO42" s="870"/>
      <c r="BP42" s="870"/>
      <c r="BQ42" s="1387"/>
      <c r="BR42" s="1342"/>
      <c r="BS42" s="174"/>
      <c r="BT42" s="174"/>
      <c r="BU42" s="174"/>
      <c r="BV42" s="174"/>
      <c r="BW42" s="174"/>
      <c r="BX42" s="174"/>
      <c r="BY42" s="174"/>
      <c r="BZ42" s="1521"/>
      <c r="CA42" s="1525"/>
      <c r="CB42" s="1526"/>
      <c r="CC42" s="122"/>
      <c r="CD42" s="122"/>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869"/>
      <c r="BN43" s="870"/>
      <c r="BO43" s="870"/>
      <c r="BP43" s="870"/>
      <c r="BQ43" s="1387" t="s">
        <v>99</v>
      </c>
      <c r="BR43" s="1342">
        <f>EBL_Master</f>
        <v>899</v>
      </c>
      <c r="BS43" s="174"/>
      <c r="BT43" s="174"/>
      <c r="BU43" s="174"/>
      <c r="BV43" s="174"/>
      <c r="BW43" s="174"/>
      <c r="BX43" s="174"/>
      <c r="BY43" s="174"/>
      <c r="BZ43" s="1521"/>
      <c r="CA43" s="1525"/>
      <c r="CB43" s="1526"/>
      <c r="CC43" s="122"/>
      <c r="CD43" s="122"/>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084">
        <v>1</v>
      </c>
      <c r="DB43" s="1075"/>
      <c r="DC43" s="1076"/>
      <c r="DD43" s="174"/>
      <c r="DE43" s="174"/>
      <c r="DF43" s="174"/>
      <c r="DG43" s="174"/>
      <c r="DH43" s="174"/>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869"/>
      <c r="BN44" s="870"/>
      <c r="BO44" s="870"/>
      <c r="BP44" s="870"/>
      <c r="BQ44" s="1387"/>
      <c r="BR44" s="1342"/>
      <c r="BS44" s="174"/>
      <c r="BT44" s="174"/>
      <c r="BU44" s="174"/>
      <c r="BV44" s="174"/>
      <c r="BW44" s="174"/>
      <c r="BX44" s="174"/>
      <c r="BY44" s="174"/>
      <c r="BZ44" s="1521"/>
      <c r="CA44" s="1525"/>
      <c r="CB44" s="1526"/>
      <c r="CC44" s="122"/>
      <c r="CD44" s="122"/>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596"/>
      <c r="DB44" s="1597"/>
      <c r="DC44" s="1598"/>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869"/>
      <c r="BN45" s="870"/>
      <c r="BO45" s="870"/>
      <c r="BP45" s="870"/>
      <c r="BQ45" s="1387"/>
      <c r="BR45" s="1342"/>
      <c r="BS45" s="174"/>
      <c r="BT45" s="174"/>
      <c r="BU45" s="174"/>
      <c r="BV45" s="174"/>
      <c r="BW45" s="174"/>
      <c r="BX45" s="174"/>
      <c r="BY45" s="174"/>
      <c r="BZ45" s="1521"/>
      <c r="CA45" s="1527"/>
      <c r="CB45" s="1528"/>
      <c r="CC45" s="122"/>
      <c r="CD45" s="122"/>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498">
        <f>DA52/DI55</f>
        <v>5.8917292944702435</v>
      </c>
      <c r="DB45" s="1499"/>
      <c r="DC45" s="1500"/>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869"/>
      <c r="BN46" s="870"/>
      <c r="BO46" s="870"/>
      <c r="BP46" s="870"/>
      <c r="BQ46" s="1387" t="s">
        <v>99</v>
      </c>
      <c r="BR46" s="1342">
        <f>EBT_Master</f>
        <v>0</v>
      </c>
      <c r="BS46" s="174"/>
      <c r="BT46" s="174"/>
      <c r="BU46" s="174"/>
      <c r="BV46" s="174"/>
      <c r="BW46" s="174"/>
      <c r="BX46" s="174"/>
      <c r="BY46" s="174"/>
      <c r="BZ46" s="1521"/>
      <c r="CA46" s="222"/>
      <c r="CB46" s="150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501"/>
      <c r="DB46" s="1502"/>
      <c r="DC46" s="1503"/>
      <c r="DD46" s="174"/>
      <c r="DE46" s="174"/>
      <c r="DF46" s="174"/>
      <c r="DG46" s="174"/>
      <c r="DH46" s="174"/>
      <c r="DI46" s="174"/>
      <c r="DJ46" s="174"/>
      <c r="DK46" s="174"/>
      <c r="DL46" s="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869"/>
      <c r="BN47" s="870"/>
      <c r="BO47" s="870"/>
      <c r="BP47" s="870"/>
      <c r="BQ47" s="1387"/>
      <c r="BR47" s="1342"/>
      <c r="BS47" s="174"/>
      <c r="BT47" s="174"/>
      <c r="BU47" s="174"/>
      <c r="BV47" s="174"/>
      <c r="BW47" s="174"/>
      <c r="BX47" s="174"/>
      <c r="BY47" s="174"/>
      <c r="BZ47" s="1521"/>
      <c r="CA47" s="222"/>
      <c r="CB47" s="150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331" t="s">
        <v>135</v>
      </c>
      <c r="DB47" s="1331"/>
      <c r="DC47" s="1331"/>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869"/>
      <c r="BN48" s="870"/>
      <c r="BO48" s="870"/>
      <c r="BP48" s="870"/>
      <c r="BQ48" s="1387"/>
      <c r="BR48" s="1342"/>
      <c r="BS48" s="174"/>
      <c r="BT48" s="174"/>
      <c r="BU48" s="174"/>
      <c r="BV48" s="174"/>
      <c r="BW48" s="174"/>
      <c r="BX48" s="174"/>
      <c r="BY48" s="174"/>
      <c r="BZ48" s="1521"/>
      <c r="CA48" s="222"/>
      <c r="CB48" s="150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332"/>
      <c r="DB48" s="1332"/>
      <c r="DC48" s="1332"/>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869"/>
      <c r="BN49" s="870"/>
      <c r="BO49" s="870"/>
      <c r="BP49" s="870"/>
      <c r="BQ49" s="1387" t="s">
        <v>99</v>
      </c>
      <c r="BR49" s="1342">
        <f>EBR_Master</f>
        <v>208</v>
      </c>
      <c r="BS49" s="174"/>
      <c r="BT49" s="174"/>
      <c r="BU49" s="174"/>
      <c r="BV49" s="174"/>
      <c r="BW49" s="174"/>
      <c r="BX49" s="174"/>
      <c r="BY49" s="174"/>
      <c r="BZ49" s="1522"/>
      <c r="CA49" s="1505"/>
      <c r="CB49" s="1506"/>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332"/>
      <c r="DB49" s="1332"/>
      <c r="DC49" s="1332"/>
      <c r="DD49" s="174"/>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869"/>
      <c r="BN50" s="870"/>
      <c r="BO50" s="870"/>
      <c r="BP50" s="870"/>
      <c r="BQ50" s="1387"/>
      <c r="BR50" s="1342"/>
      <c r="BS50" s="174"/>
      <c r="BT50" s="174"/>
      <c r="BU50" s="174"/>
      <c r="BV50" s="174"/>
      <c r="BW50" s="174"/>
      <c r="BX50" s="174"/>
      <c r="BY50" s="174"/>
      <c r="BZ50" s="135"/>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332"/>
      <c r="DB50" s="1332"/>
      <c r="DC50" s="1332"/>
      <c r="DD50" s="174"/>
      <c r="DE50" s="174"/>
      <c r="DF50" s="174"/>
      <c r="DG50" s="174"/>
      <c r="DH50" s="174"/>
      <c r="DI50" s="174"/>
      <c r="DJ50" s="174"/>
      <c r="DK50" s="174"/>
      <c r="DL50" s="174"/>
      <c r="DM50" s="17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106"/>
      <c r="BN51" s="1094"/>
      <c r="BO51" s="1094"/>
      <c r="BP51" s="1094"/>
      <c r="BQ51" s="1388"/>
      <c r="BR51" s="1389"/>
      <c r="BS51" s="174"/>
      <c r="BT51" s="174"/>
      <c r="BU51" s="174"/>
      <c r="BV51" s="174"/>
      <c r="BW51" s="174"/>
      <c r="BX51" s="174"/>
      <c r="BY51" s="174"/>
      <c r="BZ51" s="1084"/>
      <c r="CA51" s="1075"/>
      <c r="CB51" s="1075"/>
      <c r="CC51" s="1075"/>
      <c r="CD51" s="1390" t="s">
        <v>99</v>
      </c>
      <c r="CE51" s="1566">
        <f>BS53+BU56</f>
        <v>899</v>
      </c>
      <c r="CF51" s="1356" t="s">
        <v>135</v>
      </c>
      <c r="CG51" s="1357"/>
      <c r="CH51" s="1357"/>
      <c r="CI51" s="1357"/>
      <c r="CJ51" s="1358"/>
      <c r="CK51" s="1359">
        <f>CE51/CC63</f>
        <v>11.17087698759723</v>
      </c>
      <c r="CL51" s="1360"/>
      <c r="CM51" s="1568">
        <v>1</v>
      </c>
      <c r="CN51" s="1569"/>
      <c r="CO51" s="174"/>
      <c r="CP51" s="174"/>
      <c r="CQ51" s="174"/>
      <c r="CR51" s="174"/>
      <c r="CS51" s="174"/>
      <c r="CT51" s="174"/>
      <c r="CU51" s="174"/>
      <c r="CV51" s="174"/>
      <c r="CW51" s="174"/>
      <c r="CX51" s="174"/>
      <c r="CY51" s="174"/>
      <c r="CZ51" s="174"/>
      <c r="DA51" s="1333"/>
      <c r="DB51" s="1333"/>
      <c r="DC51" s="1333"/>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869"/>
      <c r="CA52" s="870"/>
      <c r="CB52" s="870"/>
      <c r="CC52" s="870"/>
      <c r="CD52" s="1391"/>
      <c r="CE52" s="1567"/>
      <c r="CF52" s="1356"/>
      <c r="CG52" s="1357"/>
      <c r="CH52" s="1357"/>
      <c r="CI52" s="1357"/>
      <c r="CJ52" s="1358"/>
      <c r="CK52" s="1361"/>
      <c r="CL52" s="1362"/>
      <c r="CM52" s="1570"/>
      <c r="CN52" s="1571"/>
      <c r="CO52" s="174"/>
      <c r="CP52" s="174"/>
      <c r="CQ52" s="174"/>
      <c r="CR52" s="174"/>
      <c r="CS52" s="174"/>
      <c r="CT52" s="174"/>
      <c r="CU52" s="174"/>
      <c r="CV52" s="174"/>
      <c r="CW52" s="174"/>
      <c r="CX52" s="174"/>
      <c r="CY52" s="174"/>
      <c r="CZ52" s="174"/>
      <c r="DA52" s="1563">
        <f>DD60+DG60+DJ60+DA60</f>
        <v>2320</v>
      </c>
      <c r="DB52" s="1564"/>
      <c r="DC52" s="1565"/>
      <c r="DD52" s="117"/>
      <c r="DE52" s="117"/>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547" t="s">
        <v>152</v>
      </c>
      <c r="BN53" s="1548"/>
      <c r="BO53" s="1548" t="s">
        <v>151</v>
      </c>
      <c r="BP53" s="1553"/>
      <c r="BQ53" s="174"/>
      <c r="BR53" s="174"/>
      <c r="BS53" s="1507">
        <f>BR43+BR40</f>
        <v>899</v>
      </c>
      <c r="BT53" s="1507"/>
      <c r="BU53" s="174"/>
      <c r="BV53" s="174"/>
      <c r="BW53" s="174"/>
      <c r="BX53" s="174"/>
      <c r="BY53" s="174"/>
      <c r="BZ53" s="869"/>
      <c r="CA53" s="870"/>
      <c r="CB53" s="870"/>
      <c r="CC53" s="870"/>
      <c r="CD53" s="1391"/>
      <c r="CE53" s="1567"/>
      <c r="CF53" s="1356"/>
      <c r="CG53" s="1357"/>
      <c r="CH53" s="1357"/>
      <c r="CI53" s="1357"/>
      <c r="CJ53" s="1358"/>
      <c r="CK53" s="1363"/>
      <c r="CL53" s="1364"/>
      <c r="CM53" s="1572"/>
      <c r="CN53" s="1573"/>
      <c r="CO53" s="174"/>
      <c r="CP53" s="174"/>
      <c r="CQ53" s="174"/>
      <c r="CR53" s="1586">
        <f>BS53+BU56+CA21</f>
        <v>899</v>
      </c>
      <c r="CS53" s="1587"/>
      <c r="CT53" s="1587"/>
      <c r="CU53" s="1588"/>
      <c r="CV53" s="1589"/>
      <c r="CW53" s="1589"/>
      <c r="CX53" s="1589"/>
      <c r="CY53" s="1590"/>
      <c r="CZ53" s="174"/>
      <c r="DA53" s="1375" t="s">
        <v>99</v>
      </c>
      <c r="DB53" s="1376"/>
      <c r="DC53" s="1377"/>
      <c r="DD53" s="174"/>
      <c r="DE53" s="6"/>
      <c r="DF53" s="6"/>
      <c r="DG53" s="6"/>
      <c r="DH53" s="6"/>
      <c r="DI53" s="124"/>
      <c r="DJ53" s="124"/>
      <c r="DK53" s="124"/>
      <c r="DL53" s="124"/>
      <c r="DM53" s="174"/>
      <c r="DN53" s="174"/>
      <c r="DO53" s="174"/>
      <c r="DP53" s="174"/>
      <c r="DQ53" s="174"/>
      <c r="DR53" s="174"/>
      <c r="DS53" s="177"/>
    </row>
    <row r="54" spans="2:123" ht="9.9499999999999993" customHeight="1" thickBo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549"/>
      <c r="BN54" s="1550"/>
      <c r="BO54" s="1550"/>
      <c r="BP54" s="1554"/>
      <c r="BQ54" s="174"/>
      <c r="BR54" s="174"/>
      <c r="BS54" s="1507"/>
      <c r="BT54" s="1507"/>
      <c r="BU54" s="174"/>
      <c r="BV54" s="174"/>
      <c r="BW54" s="174"/>
      <c r="BX54" s="174"/>
      <c r="BY54" s="174"/>
      <c r="BZ54" s="869"/>
      <c r="CA54" s="870"/>
      <c r="CB54" s="870"/>
      <c r="CC54" s="870"/>
      <c r="CD54" s="1391" t="s">
        <v>99</v>
      </c>
      <c r="CE54" s="1567">
        <f>BU60+BS63</f>
        <v>208</v>
      </c>
      <c r="CF54" s="1356" t="s">
        <v>135</v>
      </c>
      <c r="CG54" s="1357"/>
      <c r="CH54" s="1357"/>
      <c r="CI54" s="1357"/>
      <c r="CJ54" s="1358"/>
      <c r="CK54" s="1361">
        <f>CE54/CA63</f>
        <v>2.5845855544162668</v>
      </c>
      <c r="CL54" s="1362"/>
      <c r="CM54" s="1570">
        <v>2</v>
      </c>
      <c r="CN54" s="1571"/>
      <c r="CO54" s="174"/>
      <c r="CP54" s="174"/>
      <c r="CQ54" s="174"/>
      <c r="CR54" s="1556"/>
      <c r="CS54" s="1557"/>
      <c r="CT54" s="1557"/>
      <c r="CU54" s="1558"/>
      <c r="CV54" s="238"/>
      <c r="CW54" s="238"/>
      <c r="CX54" s="238"/>
      <c r="CY54" s="315"/>
      <c r="CZ54" s="174"/>
      <c r="DA54" s="1053"/>
      <c r="DB54" s="1054"/>
      <c r="DC54" s="1058"/>
      <c r="DD54" s="174"/>
      <c r="DE54" s="6"/>
      <c r="DF54" s="6"/>
      <c r="DG54" s="6"/>
      <c r="DH54" s="6"/>
      <c r="DI54" s="124"/>
      <c r="DJ54" s="124"/>
      <c r="DK54" s="124"/>
      <c r="DL54" s="12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549"/>
      <c r="BN55" s="1550"/>
      <c r="BO55" s="1550"/>
      <c r="BP55" s="1554"/>
      <c r="BQ55" s="174"/>
      <c r="BR55" s="174"/>
      <c r="BS55" s="1507"/>
      <c r="BT55" s="1507"/>
      <c r="BU55" s="174"/>
      <c r="BV55" s="174"/>
      <c r="BW55" s="174"/>
      <c r="BX55" s="174"/>
      <c r="BY55" s="174"/>
      <c r="BZ55" s="869"/>
      <c r="CA55" s="870"/>
      <c r="CB55" s="870"/>
      <c r="CC55" s="870"/>
      <c r="CD55" s="1391"/>
      <c r="CE55" s="1567"/>
      <c r="CF55" s="1356"/>
      <c r="CG55" s="1357"/>
      <c r="CH55" s="1357"/>
      <c r="CI55" s="1357"/>
      <c r="CJ55" s="1358"/>
      <c r="CK55" s="1361"/>
      <c r="CL55" s="1362"/>
      <c r="CM55" s="1570"/>
      <c r="CN55" s="1571"/>
      <c r="CO55" s="174"/>
      <c r="CP55" s="174"/>
      <c r="CQ55" s="174"/>
      <c r="CR55" s="1512">
        <f>BU60+BX21+DL39</f>
        <v>607</v>
      </c>
      <c r="CS55" s="1513"/>
      <c r="CT55" s="1513"/>
      <c r="CU55" s="1514"/>
      <c r="CV55" s="238"/>
      <c r="CW55" s="238"/>
      <c r="CX55" s="238"/>
      <c r="CY55" s="315"/>
      <c r="CZ55" s="174"/>
      <c r="DA55" s="1053"/>
      <c r="DB55" s="1054"/>
      <c r="DC55" s="1058"/>
      <c r="DD55" s="174"/>
      <c r="DE55" s="788">
        <v>1</v>
      </c>
      <c r="DF55" s="789"/>
      <c r="DG55" s="789"/>
      <c r="DH55" s="1574"/>
      <c r="DI55" s="1582">
        <f>$CL$11*EXP(-$CS$11*(CR53+CR55))</f>
        <v>393.7723347502515</v>
      </c>
      <c r="DJ55" s="1582"/>
      <c r="DK55" s="1582"/>
      <c r="DL55" s="1583"/>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549"/>
      <c r="BN56" s="1550"/>
      <c r="BO56" s="1550"/>
      <c r="BP56" s="1554"/>
      <c r="BQ56" s="1077"/>
      <c r="BR56" s="870"/>
      <c r="BS56" s="1541"/>
      <c r="BT56" s="1542"/>
      <c r="BU56" s="1507">
        <f>BR46*BO63</f>
        <v>0</v>
      </c>
      <c r="BV56" s="1507"/>
      <c r="BW56" s="174"/>
      <c r="BX56" s="174"/>
      <c r="BY56" s="174"/>
      <c r="BZ56" s="1106"/>
      <c r="CA56" s="1094"/>
      <c r="CB56" s="1094"/>
      <c r="CC56" s="1094"/>
      <c r="CD56" s="1392"/>
      <c r="CE56" s="1585"/>
      <c r="CF56" s="1356"/>
      <c r="CG56" s="1357"/>
      <c r="CH56" s="1357"/>
      <c r="CI56" s="1357"/>
      <c r="CJ56" s="1358"/>
      <c r="CK56" s="1363"/>
      <c r="CL56" s="1364"/>
      <c r="CM56" s="1572"/>
      <c r="CN56" s="1573"/>
      <c r="CO56" s="174"/>
      <c r="CP56" s="174"/>
      <c r="CQ56" s="174"/>
      <c r="CR56" s="1556"/>
      <c r="CS56" s="1557"/>
      <c r="CT56" s="1557"/>
      <c r="CU56" s="1558"/>
      <c r="CV56" s="238"/>
      <c r="CW56" s="238"/>
      <c r="CX56" s="238"/>
      <c r="CY56" s="315"/>
      <c r="CZ56" s="174"/>
      <c r="DA56" s="1053"/>
      <c r="DB56" s="1054"/>
      <c r="DC56" s="1058"/>
      <c r="DD56" s="174"/>
      <c r="DE56" s="792"/>
      <c r="DF56" s="793"/>
      <c r="DG56" s="793"/>
      <c r="DH56" s="1575"/>
      <c r="DI56" s="1350"/>
      <c r="DJ56" s="1350"/>
      <c r="DK56" s="1350"/>
      <c r="DL56" s="1584"/>
      <c r="DM56" s="174"/>
      <c r="DN56" s="174"/>
      <c r="DO56" s="174"/>
      <c r="DP56" s="174"/>
      <c r="DQ56" s="174"/>
      <c r="DR56" s="174"/>
      <c r="DS56" s="177"/>
    </row>
    <row r="57" spans="2:123" ht="9.9499999999999993" customHeight="1" thickBo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549"/>
      <c r="BN57" s="1550"/>
      <c r="BO57" s="1550"/>
      <c r="BP57" s="1554"/>
      <c r="BQ57" s="1077"/>
      <c r="BR57" s="870"/>
      <c r="BS57" s="870"/>
      <c r="BT57" s="1078"/>
      <c r="BU57" s="1507"/>
      <c r="BV57" s="1507"/>
      <c r="BW57" s="174"/>
      <c r="BX57" s="174"/>
      <c r="BY57" s="174"/>
      <c r="BZ57" s="135"/>
      <c r="CA57" s="174"/>
      <c r="CB57" s="174"/>
      <c r="CC57" s="174"/>
      <c r="CD57" s="174"/>
      <c r="CE57" s="18"/>
      <c r="CF57" s="174"/>
      <c r="CG57" s="174"/>
      <c r="CH57" s="174"/>
      <c r="CI57" s="174"/>
      <c r="CJ57" s="174"/>
      <c r="CK57" s="115"/>
      <c r="CL57" s="115"/>
      <c r="CM57" s="174"/>
      <c r="CN57" s="174"/>
      <c r="CO57" s="174"/>
      <c r="CP57" s="174"/>
      <c r="CQ57" s="174"/>
      <c r="CR57" s="1599" t="s">
        <v>136</v>
      </c>
      <c r="CS57" s="1600"/>
      <c r="CT57" s="1600"/>
      <c r="CU57" s="1600"/>
      <c r="CV57" s="1600"/>
      <c r="CW57" s="1600"/>
      <c r="CX57" s="1600"/>
      <c r="CY57" s="1601"/>
      <c r="CZ57" s="168"/>
      <c r="DA57" s="1116"/>
      <c r="DB57" s="1117"/>
      <c r="DC57" s="1119"/>
      <c r="DD57" s="168"/>
      <c r="DE57" s="1599" t="s">
        <v>150</v>
      </c>
      <c r="DF57" s="1600"/>
      <c r="DG57" s="1600"/>
      <c r="DH57" s="1600"/>
      <c r="DI57" s="1600"/>
      <c r="DJ57" s="1600"/>
      <c r="DK57" s="1600"/>
      <c r="DL57" s="1601"/>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549"/>
      <c r="BN58" s="1550"/>
      <c r="BO58" s="1550"/>
      <c r="BP58" s="1554"/>
      <c r="BQ58" s="1077"/>
      <c r="BR58" s="870"/>
      <c r="BS58" s="870"/>
      <c r="BT58" s="1078"/>
      <c r="BU58" s="1507"/>
      <c r="BV58" s="1507"/>
      <c r="BW58" s="174"/>
      <c r="BX58" s="174"/>
      <c r="BY58" s="174"/>
      <c r="BZ58" s="1520" t="s">
        <v>150</v>
      </c>
      <c r="CA58" s="1559">
        <v>2</v>
      </c>
      <c r="CB58" s="1559"/>
      <c r="CC58" s="1559">
        <v>1</v>
      </c>
      <c r="CD58" s="1561"/>
      <c r="CE58" s="18"/>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0"/>
      <c r="DM58" s="174"/>
      <c r="DN58" s="174"/>
      <c r="DO58" s="174"/>
      <c r="DP58" s="174"/>
      <c r="DQ58" s="174"/>
      <c r="DR58" s="174"/>
      <c r="DS58" s="177"/>
    </row>
    <row r="59" spans="2:123" ht="9.9499999999999993" customHeight="1" thickBot="1">
      <c r="B59" s="1"/>
      <c r="C59" s="174"/>
      <c r="D59" s="174"/>
      <c r="E59" s="174"/>
      <c r="F59" s="1654" t="s">
        <v>153</v>
      </c>
      <c r="G59" s="1655"/>
      <c r="H59" s="1655"/>
      <c r="I59" s="1655"/>
      <c r="J59" s="1655"/>
      <c r="K59" s="1655"/>
      <c r="L59" s="1655"/>
      <c r="M59" s="1655"/>
      <c r="N59" s="1655"/>
      <c r="O59" s="1655"/>
      <c r="P59" s="1655"/>
      <c r="Q59" s="1656"/>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654" t="s">
        <v>153</v>
      </c>
      <c r="AU59" s="1655"/>
      <c r="AV59" s="1655"/>
      <c r="AW59" s="1655"/>
      <c r="AX59" s="1655"/>
      <c r="AY59" s="1655"/>
      <c r="AZ59" s="1655"/>
      <c r="BA59" s="1655"/>
      <c r="BB59" s="1655"/>
      <c r="BC59" s="1655"/>
      <c r="BD59" s="1655"/>
      <c r="BE59" s="1656"/>
      <c r="BF59" s="174"/>
      <c r="BG59" s="174"/>
      <c r="BH59" s="174"/>
      <c r="BI59" s="177"/>
      <c r="BK59" s="174"/>
      <c r="BL59" s="1"/>
      <c r="BM59" s="1549"/>
      <c r="BN59" s="1550"/>
      <c r="BO59" s="1550"/>
      <c r="BP59" s="1554"/>
      <c r="BQ59" s="174"/>
      <c r="BR59" s="174"/>
      <c r="BS59" s="174"/>
      <c r="BT59" s="174"/>
      <c r="BU59" s="174"/>
      <c r="BV59" s="174"/>
      <c r="BW59" s="174"/>
      <c r="BX59" s="174"/>
      <c r="BY59" s="174"/>
      <c r="BZ59" s="1521"/>
      <c r="CA59" s="1560"/>
      <c r="CB59" s="1560"/>
      <c r="CC59" s="1560"/>
      <c r="CD59" s="1562"/>
      <c r="CE59" s="18"/>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1"/>
      <c r="DM59" s="174"/>
      <c r="DN59" s="174"/>
      <c r="DO59" s="174"/>
      <c r="DP59" s="174"/>
      <c r="DQ59" s="174"/>
      <c r="DR59" s="174"/>
      <c r="DS59" s="177"/>
    </row>
    <row r="60" spans="2:123" ht="9.9499999999999993" customHeight="1">
      <c r="B60" s="1"/>
      <c r="C60" s="174"/>
      <c r="D60" s="174"/>
      <c r="E60" s="174"/>
      <c r="F60" s="1657"/>
      <c r="G60" s="1658"/>
      <c r="H60" s="1658"/>
      <c r="I60" s="1658"/>
      <c r="J60" s="1658"/>
      <c r="K60" s="1658"/>
      <c r="L60" s="1658"/>
      <c r="M60" s="1658"/>
      <c r="N60" s="1658"/>
      <c r="O60" s="1658"/>
      <c r="P60" s="1658"/>
      <c r="Q60" s="1659"/>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657"/>
      <c r="AU60" s="1658"/>
      <c r="AV60" s="1658"/>
      <c r="AW60" s="1658"/>
      <c r="AX60" s="1658"/>
      <c r="AY60" s="1658"/>
      <c r="AZ60" s="1658"/>
      <c r="BA60" s="1658"/>
      <c r="BB60" s="1658"/>
      <c r="BC60" s="1658"/>
      <c r="BD60" s="1658"/>
      <c r="BE60" s="1659"/>
      <c r="BF60" s="174"/>
      <c r="BG60" s="174"/>
      <c r="BH60" s="174"/>
      <c r="BI60" s="177"/>
      <c r="BK60" s="174"/>
      <c r="BL60" s="1"/>
      <c r="BM60" s="1549"/>
      <c r="BN60" s="1550"/>
      <c r="BO60" s="1550"/>
      <c r="BP60" s="1554"/>
      <c r="BQ60" s="1077"/>
      <c r="BR60" s="870"/>
      <c r="BS60" s="870"/>
      <c r="BT60" s="870"/>
      <c r="BU60" s="1507">
        <f>BR46*(1-BO63)</f>
        <v>0</v>
      </c>
      <c r="BV60" s="1507"/>
      <c r="BW60" s="174"/>
      <c r="BX60" s="174"/>
      <c r="BY60" s="174"/>
      <c r="BZ60" s="1521"/>
      <c r="CA60" s="1560"/>
      <c r="CB60" s="1560"/>
      <c r="CC60" s="1560"/>
      <c r="CD60" s="1562"/>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301">
        <f>NBU_Master</f>
        <v>0</v>
      </c>
      <c r="DB60" s="1302"/>
      <c r="DC60" s="1302"/>
      <c r="DD60" s="1302">
        <f>NBL_Master</f>
        <v>0</v>
      </c>
      <c r="DE60" s="1302"/>
      <c r="DF60" s="1302"/>
      <c r="DG60" s="1302">
        <f>NBT_Master</f>
        <v>1260</v>
      </c>
      <c r="DH60" s="1302"/>
      <c r="DI60" s="1302"/>
      <c r="DJ60" s="1302">
        <f>NBR_Master</f>
        <v>1060</v>
      </c>
      <c r="DK60" s="1302"/>
      <c r="DL60" s="1365"/>
      <c r="DM60" s="174"/>
      <c r="DN60" s="174"/>
      <c r="DO60" s="174"/>
      <c r="DP60" s="174"/>
      <c r="DQ60" s="174"/>
      <c r="DR60" s="174"/>
      <c r="DS60" s="177"/>
    </row>
    <row r="61" spans="2:123" ht="9.9499999999999993" customHeight="1" thickBot="1">
      <c r="B61" s="1"/>
      <c r="C61" s="174"/>
      <c r="D61" s="174"/>
      <c r="E61" s="174"/>
      <c r="F61" s="1660"/>
      <c r="G61" s="1661"/>
      <c r="H61" s="1661"/>
      <c r="I61" s="1661"/>
      <c r="J61" s="1661"/>
      <c r="K61" s="1661"/>
      <c r="L61" s="1661"/>
      <c r="M61" s="1661"/>
      <c r="N61" s="1661"/>
      <c r="O61" s="1661"/>
      <c r="P61" s="1661"/>
      <c r="Q61" s="1662"/>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660"/>
      <c r="AU61" s="1661"/>
      <c r="AV61" s="1661"/>
      <c r="AW61" s="1661"/>
      <c r="AX61" s="1661"/>
      <c r="AY61" s="1661"/>
      <c r="AZ61" s="1661"/>
      <c r="BA61" s="1661"/>
      <c r="BB61" s="1661"/>
      <c r="BC61" s="1661"/>
      <c r="BD61" s="1661"/>
      <c r="BE61" s="1662"/>
      <c r="BF61" s="174"/>
      <c r="BG61" s="174"/>
      <c r="BH61" s="174"/>
      <c r="BI61" s="177"/>
      <c r="BK61" s="174"/>
      <c r="BL61" s="1"/>
      <c r="BM61" s="1549"/>
      <c r="BN61" s="1550"/>
      <c r="BO61" s="1550"/>
      <c r="BP61" s="1554"/>
      <c r="BQ61" s="1077"/>
      <c r="BR61" s="870"/>
      <c r="BS61" s="870"/>
      <c r="BT61" s="870"/>
      <c r="BU61" s="1507"/>
      <c r="BV61" s="1507"/>
      <c r="BW61" s="174"/>
      <c r="BX61" s="174"/>
      <c r="BY61" s="174"/>
      <c r="BZ61" s="1521"/>
      <c r="CA61" s="1560"/>
      <c r="CB61" s="1560"/>
      <c r="CC61" s="1560"/>
      <c r="CD61" s="1562"/>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366" t="s">
        <v>99</v>
      </c>
      <c r="DB61" s="1367"/>
      <c r="DC61" s="1367"/>
      <c r="DD61" s="1367" t="s">
        <v>99</v>
      </c>
      <c r="DE61" s="1367"/>
      <c r="DF61" s="1367"/>
      <c r="DG61" s="1367" t="s">
        <v>99</v>
      </c>
      <c r="DH61" s="1367"/>
      <c r="DI61" s="1367"/>
      <c r="DJ61" s="1367" t="s">
        <v>99</v>
      </c>
      <c r="DK61" s="1367"/>
      <c r="DL61" s="1368"/>
      <c r="DM61" s="174"/>
      <c r="DN61" s="174"/>
      <c r="DO61" s="174"/>
      <c r="DP61" s="174"/>
      <c r="DQ61" s="174"/>
      <c r="DR61" s="174"/>
      <c r="DS61" s="177"/>
    </row>
    <row r="62" spans="2:123" ht="9.9499999999999993" customHeight="1" thickBot="1">
      <c r="B62" s="1"/>
      <c r="C62" s="174"/>
      <c r="D62" s="174"/>
      <c r="E62" s="174"/>
      <c r="F62" s="1084" t="s">
        <v>74</v>
      </c>
      <c r="G62" s="1075"/>
      <c r="H62" s="1075"/>
      <c r="I62" s="1075"/>
      <c r="J62" s="1663">
        <f>CK51</f>
        <v>11.17087698759723</v>
      </c>
      <c r="K62" s="1664"/>
      <c r="L62" s="1664"/>
      <c r="M62" s="1664"/>
      <c r="N62" s="1665" t="s">
        <v>55</v>
      </c>
      <c r="O62" s="1665"/>
      <c r="P62" s="1665"/>
      <c r="Q62" s="1666"/>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084" t="s">
        <v>74</v>
      </c>
      <c r="AU62" s="1075"/>
      <c r="AV62" s="1075"/>
      <c r="AW62" s="1075"/>
      <c r="AX62" s="1663">
        <f>DA45</f>
        <v>5.8917292944702435</v>
      </c>
      <c r="AY62" s="1664"/>
      <c r="AZ62" s="1664"/>
      <c r="BA62" s="1664"/>
      <c r="BB62" s="1665" t="s">
        <v>55</v>
      </c>
      <c r="BC62" s="1665"/>
      <c r="BD62" s="1665"/>
      <c r="BE62" s="1666"/>
      <c r="BF62" s="174"/>
      <c r="BG62" s="174"/>
      <c r="BH62" s="174"/>
      <c r="BI62" s="177"/>
      <c r="BK62" s="174"/>
      <c r="BL62" s="1"/>
      <c r="BM62" s="1551"/>
      <c r="BN62" s="1552"/>
      <c r="BO62" s="1552"/>
      <c r="BP62" s="1555"/>
      <c r="BQ62" s="1077"/>
      <c r="BR62" s="870"/>
      <c r="BS62" s="870"/>
      <c r="BT62" s="870"/>
      <c r="BU62" s="1507"/>
      <c r="BV62" s="1507"/>
      <c r="BW62" s="174"/>
      <c r="BX62" s="174"/>
      <c r="BY62" s="174"/>
      <c r="BZ62" s="1521"/>
      <c r="CA62" s="1560"/>
      <c r="CB62" s="1560"/>
      <c r="CC62" s="1560"/>
      <c r="CD62" s="1562"/>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053"/>
      <c r="DB62" s="1054"/>
      <c r="DC62" s="1054"/>
      <c r="DD62" s="1054"/>
      <c r="DE62" s="1054"/>
      <c r="DF62" s="1054"/>
      <c r="DG62" s="1054"/>
      <c r="DH62" s="1054"/>
      <c r="DI62" s="1054"/>
      <c r="DJ62" s="1054"/>
      <c r="DK62" s="1054"/>
      <c r="DL62" s="1058"/>
      <c r="DM62" s="6"/>
      <c r="DN62" s="6"/>
      <c r="DO62" s="6"/>
      <c r="DP62" s="174"/>
      <c r="DQ62" s="174"/>
      <c r="DR62" s="174"/>
      <c r="DS62" s="177"/>
    </row>
    <row r="63" spans="2:123" ht="9.9499999999999993" customHeight="1" thickBot="1">
      <c r="B63" s="1"/>
      <c r="C63" s="174"/>
      <c r="D63" s="174"/>
      <c r="E63" s="174"/>
      <c r="F63" s="869"/>
      <c r="G63" s="870"/>
      <c r="H63" s="870"/>
      <c r="I63" s="870"/>
      <c r="J63" s="1667"/>
      <c r="K63" s="1448"/>
      <c r="L63" s="1448"/>
      <c r="M63" s="1448"/>
      <c r="N63" s="1451"/>
      <c r="O63" s="1451"/>
      <c r="P63" s="1451"/>
      <c r="Q63" s="1452"/>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106"/>
      <c r="AU63" s="1094"/>
      <c r="AV63" s="1094"/>
      <c r="AW63" s="1094"/>
      <c r="AX63" s="1449"/>
      <c r="AY63" s="1450"/>
      <c r="AZ63" s="1450"/>
      <c r="BA63" s="1450"/>
      <c r="BB63" s="1453"/>
      <c r="BC63" s="1453"/>
      <c r="BD63" s="1453"/>
      <c r="BE63" s="1454"/>
      <c r="BF63" s="55">
        <f>+IF(AX62&gt;1,1,0)</f>
        <v>1</v>
      </c>
      <c r="BG63" s="174"/>
      <c r="BH63" s="174"/>
      <c r="BI63" s="177"/>
      <c r="BK63" s="174"/>
      <c r="BL63" s="1"/>
      <c r="BM63" s="1529">
        <f>BR49/(BR49+BR46+BR43+BR40)</f>
        <v>0.18789521228545619</v>
      </c>
      <c r="BN63" s="1530"/>
      <c r="BO63" s="1535">
        <v>0.5</v>
      </c>
      <c r="BP63" s="1536"/>
      <c r="BQ63" s="16"/>
      <c r="BR63" s="16"/>
      <c r="BS63" s="1507">
        <f>BR49</f>
        <v>208</v>
      </c>
      <c r="BT63" s="1507"/>
      <c r="BU63" s="174"/>
      <c r="BV63" s="174"/>
      <c r="BW63" s="174"/>
      <c r="BX63" s="174"/>
      <c r="BY63" s="174"/>
      <c r="BZ63" s="1521"/>
      <c r="CA63" s="1543">
        <f>$CL$9*EXP(-$CS$9*CA41)</f>
        <v>80.477119298524116</v>
      </c>
      <c r="CB63" s="1543"/>
      <c r="CC63" s="1543">
        <f>$CL$7*EXP(-$CS$7*CA41)</f>
        <v>80.477119298524116</v>
      </c>
      <c r="CD63" s="1545"/>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053"/>
      <c r="DB63" s="1054"/>
      <c r="DC63" s="1054"/>
      <c r="DD63" s="1054"/>
      <c r="DE63" s="1054"/>
      <c r="DF63" s="1054"/>
      <c r="DG63" s="1054"/>
      <c r="DH63" s="1054"/>
      <c r="DI63" s="1054"/>
      <c r="DJ63" s="1054"/>
      <c r="DK63" s="1054"/>
      <c r="DL63" s="1058"/>
      <c r="DM63" s="6"/>
      <c r="DN63" s="6"/>
      <c r="DO63" s="6"/>
      <c r="DP63" s="174"/>
      <c r="DQ63" s="174"/>
      <c r="DR63" s="174"/>
      <c r="DS63" s="177"/>
    </row>
    <row r="64" spans="2:123" ht="9.9499999999999993" customHeight="1">
      <c r="B64" s="1"/>
      <c r="C64" s="174"/>
      <c r="D64" s="174"/>
      <c r="E64" s="174"/>
      <c r="F64" s="869" t="s">
        <v>75</v>
      </c>
      <c r="G64" s="870"/>
      <c r="H64" s="870"/>
      <c r="I64" s="870"/>
      <c r="J64" s="1447">
        <f>CK54</f>
        <v>2.5845855544162668</v>
      </c>
      <c r="K64" s="1448"/>
      <c r="L64" s="1448"/>
      <c r="M64" s="1448"/>
      <c r="N64" s="1451" t="s">
        <v>55</v>
      </c>
      <c r="O64" s="1451"/>
      <c r="P64" s="1451"/>
      <c r="Q64" s="1452"/>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24"/>
      <c r="AU64" s="174"/>
      <c r="AV64" s="174"/>
      <c r="AW64" s="174"/>
      <c r="AX64" s="174"/>
      <c r="AY64" s="174"/>
      <c r="AZ64" s="174"/>
      <c r="BA64" s="174"/>
      <c r="BB64" s="174"/>
      <c r="BC64" s="174"/>
      <c r="BD64" s="174"/>
      <c r="BE64" s="174"/>
      <c r="BF64" s="174"/>
      <c r="BG64" s="174"/>
      <c r="BH64" s="174"/>
      <c r="BI64" s="177"/>
      <c r="BK64" s="174"/>
      <c r="BL64" s="1"/>
      <c r="BM64" s="1531"/>
      <c r="BN64" s="1532"/>
      <c r="BO64" s="1537"/>
      <c r="BP64" s="1538"/>
      <c r="BQ64" s="16"/>
      <c r="BR64" s="16"/>
      <c r="BS64" s="1507"/>
      <c r="BT64" s="1507"/>
      <c r="BU64" s="16"/>
      <c r="BV64" s="16"/>
      <c r="BW64" s="174"/>
      <c r="BX64" s="174"/>
      <c r="BY64" s="174"/>
      <c r="BZ64" s="1521"/>
      <c r="CA64" s="1543"/>
      <c r="CB64" s="1543"/>
      <c r="CC64" s="1543"/>
      <c r="CD64" s="1545"/>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053"/>
      <c r="DB64" s="1054"/>
      <c r="DC64" s="1054"/>
      <c r="DD64" s="1054"/>
      <c r="DE64" s="1054"/>
      <c r="DF64" s="1054"/>
      <c r="DG64" s="1054"/>
      <c r="DH64" s="1054"/>
      <c r="DI64" s="1054"/>
      <c r="DJ64" s="1054"/>
      <c r="DK64" s="1054"/>
      <c r="DL64" s="1058"/>
      <c r="DM64" s="174"/>
      <c r="DN64" s="174"/>
      <c r="DO64" s="174"/>
      <c r="DP64" s="174"/>
      <c r="DQ64" s="174"/>
      <c r="DR64" s="174"/>
      <c r="DS64" s="177"/>
    </row>
    <row r="65" spans="2:123" ht="9.9499999999999993" customHeight="1" thickBot="1">
      <c r="B65" s="1"/>
      <c r="C65" s="174"/>
      <c r="D65" s="174"/>
      <c r="E65" s="174"/>
      <c r="F65" s="1106"/>
      <c r="G65" s="1094"/>
      <c r="H65" s="1094"/>
      <c r="I65" s="1094"/>
      <c r="J65" s="1449"/>
      <c r="K65" s="1450"/>
      <c r="L65" s="1450"/>
      <c r="M65" s="1450"/>
      <c r="N65" s="1453"/>
      <c r="O65" s="1453"/>
      <c r="P65" s="1453"/>
      <c r="Q65" s="1454"/>
      <c r="R65" s="55">
        <f>+IF(OR(J62&gt;1,J64&gt;1),1,0)</f>
        <v>1</v>
      </c>
      <c r="S65" s="174"/>
      <c r="T65" s="174"/>
      <c r="U65" s="174"/>
      <c r="V65" s="174"/>
      <c r="W65" s="174"/>
      <c r="X65" s="174"/>
      <c r="Y65" s="174"/>
      <c r="Z65" s="174"/>
      <c r="AA65" s="174"/>
      <c r="AB65" s="174"/>
      <c r="AC65" s="174"/>
      <c r="AD65" s="174"/>
      <c r="AE65" s="36"/>
      <c r="AF65" s="9"/>
      <c r="AG65" s="121"/>
      <c r="AH65" s="121"/>
      <c r="AI65" s="121"/>
      <c r="AJ65" s="121"/>
      <c r="AK65" s="121"/>
      <c r="AL65" s="174"/>
      <c r="AM65" s="174"/>
      <c r="AN65" s="174"/>
      <c r="AO65" s="174"/>
      <c r="AP65" s="174"/>
      <c r="AQ65" s="174"/>
      <c r="AR65" s="174"/>
      <c r="AS65" s="174"/>
      <c r="AT65" s="39"/>
      <c r="AU65" s="174"/>
      <c r="AV65" s="174"/>
      <c r="AW65" s="174"/>
      <c r="AX65" s="174"/>
      <c r="AY65" s="174"/>
      <c r="AZ65" s="174"/>
      <c r="BA65" s="174"/>
      <c r="BB65" s="174"/>
      <c r="BC65" s="174"/>
      <c r="BD65" s="174"/>
      <c r="BE65" s="174"/>
      <c r="BF65" s="174"/>
      <c r="BG65" s="174"/>
      <c r="BH65" s="174"/>
      <c r="BI65" s="177"/>
      <c r="BK65" s="174"/>
      <c r="BL65" s="1"/>
      <c r="BM65" s="1531"/>
      <c r="BN65" s="1532"/>
      <c r="BO65" s="1537"/>
      <c r="BP65" s="1538"/>
      <c r="BQ65" s="4"/>
      <c r="BR65" s="4"/>
      <c r="BS65" s="1507"/>
      <c r="BT65" s="1507"/>
      <c r="BU65" s="4"/>
      <c r="BV65" s="4"/>
      <c r="BW65" s="174"/>
      <c r="BX65" s="174"/>
      <c r="BY65" s="174"/>
      <c r="BZ65" s="1521"/>
      <c r="CA65" s="1543"/>
      <c r="CB65" s="1543"/>
      <c r="CC65" s="1543"/>
      <c r="CD65" s="1545"/>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116"/>
      <c r="DB65" s="1117"/>
      <c r="DC65" s="1117"/>
      <c r="DD65" s="1117"/>
      <c r="DE65" s="1117"/>
      <c r="DF65" s="1117"/>
      <c r="DG65" s="1117"/>
      <c r="DH65" s="1117"/>
      <c r="DI65" s="1117"/>
      <c r="DJ65" s="1117"/>
      <c r="DK65" s="1117"/>
      <c r="DL65" s="1119"/>
      <c r="DM65" s="174"/>
      <c r="DN65" s="174"/>
      <c r="DO65" s="174"/>
      <c r="DP65" s="174"/>
      <c r="DQ65" s="174"/>
      <c r="DR65" s="174"/>
      <c r="DS65" s="177"/>
    </row>
    <row r="66" spans="2:123" ht="9.9499999999999993" customHeight="1" thickBot="1">
      <c r="B66" s="1"/>
      <c r="C66" s="174"/>
      <c r="D66" s="174"/>
      <c r="E66" s="174"/>
      <c r="F66" s="174"/>
      <c r="G66" s="174"/>
      <c r="H66" s="174"/>
      <c r="I66" s="174"/>
      <c r="J66" s="174"/>
      <c r="K66" s="174"/>
      <c r="L66" s="174"/>
      <c r="M66" s="174"/>
      <c r="N66" s="174"/>
      <c r="O66" s="174"/>
      <c r="P66" s="39"/>
      <c r="Q66" s="39"/>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39"/>
      <c r="AU66" s="39"/>
      <c r="AV66" s="39"/>
      <c r="AW66" s="39"/>
      <c r="AX66" s="39"/>
      <c r="AY66" s="39"/>
      <c r="AZ66" s="39"/>
      <c r="BA66" s="39"/>
      <c r="BB66" s="174"/>
      <c r="BC66" s="174"/>
      <c r="BD66" s="174"/>
      <c r="BE66" s="174"/>
      <c r="BF66" s="174"/>
      <c r="BG66" s="174"/>
      <c r="BH66" s="174"/>
      <c r="BI66" s="177"/>
      <c r="BK66" s="174"/>
      <c r="BL66" s="1"/>
      <c r="BM66" s="1533"/>
      <c r="BN66" s="1534"/>
      <c r="BO66" s="1539"/>
      <c r="BP66" s="1540"/>
      <c r="BQ66" s="174"/>
      <c r="BR66" s="174"/>
      <c r="BS66" s="174"/>
      <c r="BT66" s="174"/>
      <c r="BU66" s="174"/>
      <c r="BV66" s="174"/>
      <c r="BW66" s="174"/>
      <c r="BX66" s="174"/>
      <c r="BY66" s="174"/>
      <c r="BZ66" s="1522"/>
      <c r="CA66" s="1544"/>
      <c r="CB66" s="1544"/>
      <c r="CC66" s="1544"/>
      <c r="CD66" s="1546"/>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6"/>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19"/>
      <c r="DC70" s="119"/>
      <c r="DD70" s="119"/>
      <c r="DE70" s="119"/>
      <c r="DF70" s="119"/>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07"/>
      <c r="X71" s="107"/>
      <c r="Y71" s="107"/>
      <c r="Z71" s="107"/>
      <c r="AA71" s="107"/>
      <c r="AB71" s="107"/>
      <c r="AC71" s="107"/>
      <c r="AD71" s="107"/>
      <c r="AE71" s="36"/>
      <c r="AF71" s="9"/>
      <c r="AG71" s="121"/>
      <c r="AH71" s="121"/>
      <c r="AI71" s="121"/>
      <c r="AJ71" s="121"/>
      <c r="AK71" s="121"/>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19"/>
      <c r="DC71" s="119"/>
      <c r="DD71" s="119"/>
      <c r="DE71" s="119"/>
      <c r="DF71" s="119"/>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07"/>
      <c r="X72" s="107"/>
      <c r="Y72" s="107"/>
      <c r="Z72" s="107"/>
      <c r="AA72" s="107"/>
      <c r="AB72" s="107"/>
      <c r="AC72" s="107"/>
      <c r="AD72" s="107"/>
      <c r="AE72" s="36"/>
      <c r="AF72" s="9"/>
      <c r="AG72" s="121"/>
      <c r="AH72" s="121"/>
      <c r="AI72" s="121"/>
      <c r="AJ72" s="121"/>
      <c r="AK72" s="121"/>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4"/>
      <c r="BT72" s="4"/>
      <c r="BU72" s="4"/>
      <c r="BV72" s="4"/>
      <c r="BW72" s="4"/>
      <c r="BX72" s="4"/>
      <c r="BY72" s="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07"/>
      <c r="X73" s="107"/>
      <c r="Y73" s="107"/>
      <c r="Z73" s="107"/>
      <c r="AA73" s="107"/>
      <c r="AB73" s="107"/>
      <c r="AC73" s="107"/>
      <c r="AD73" s="107"/>
      <c r="AE73" s="9"/>
      <c r="AF73" s="9"/>
      <c r="AG73" s="121"/>
      <c r="AH73" s="121"/>
      <c r="AI73" s="121"/>
      <c r="AJ73" s="121"/>
      <c r="AK73" s="121"/>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4"/>
      <c r="BQ73" s="4"/>
      <c r="BR73" s="4"/>
      <c r="BS73" s="4"/>
      <c r="BT73" s="4"/>
      <c r="BU73" s="4"/>
      <c r="BV73" s="4"/>
      <c r="BW73" s="4"/>
      <c r="BX73" s="4"/>
      <c r="BY73" s="4"/>
      <c r="BZ73" s="4"/>
      <c r="CA73" s="4"/>
      <c r="CB73" s="4"/>
      <c r="CC73" s="4"/>
      <c r="CD73" s="4"/>
      <c r="CE73" s="4"/>
      <c r="CF73" s="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202">
    <mergeCell ref="AS10:AV11"/>
    <mergeCell ref="AW10:AZ11"/>
    <mergeCell ref="BA10:BD11"/>
    <mergeCell ref="BE10:BH11"/>
    <mergeCell ref="AS12:AV13"/>
    <mergeCell ref="AW12:AZ13"/>
    <mergeCell ref="BA12:BD13"/>
    <mergeCell ref="BE12:BH13"/>
    <mergeCell ref="C8:J9"/>
    <mergeCell ref="K8:AJ9"/>
    <mergeCell ref="C10:J11"/>
    <mergeCell ref="K10:AJ11"/>
    <mergeCell ref="C12:J13"/>
    <mergeCell ref="K12:AJ13"/>
    <mergeCell ref="AK10:AR13"/>
    <mergeCell ref="B1:BI2"/>
    <mergeCell ref="B3:BI4"/>
    <mergeCell ref="C6:J7"/>
    <mergeCell ref="K6:AJ7"/>
    <mergeCell ref="AK6:BH7"/>
    <mergeCell ref="AK8:AP9"/>
    <mergeCell ref="AQ8:AV9"/>
    <mergeCell ref="AW8:BB9"/>
    <mergeCell ref="BC8:BH9"/>
    <mergeCell ref="AT59:BE61"/>
    <mergeCell ref="F20:Q22"/>
    <mergeCell ref="F23:I24"/>
    <mergeCell ref="F59:Q61"/>
    <mergeCell ref="AT20:BE22"/>
    <mergeCell ref="AT23:AW24"/>
    <mergeCell ref="AT25:AW26"/>
    <mergeCell ref="AX62:BA63"/>
    <mergeCell ref="BB62:BE63"/>
    <mergeCell ref="AX23:BA24"/>
    <mergeCell ref="BB23:BE24"/>
    <mergeCell ref="AX25:BA26"/>
    <mergeCell ref="BB25:BE26"/>
    <mergeCell ref="J23:M24"/>
    <mergeCell ref="N23:Q24"/>
    <mergeCell ref="J62:M63"/>
    <mergeCell ref="N62:Q63"/>
    <mergeCell ref="F62:I63"/>
    <mergeCell ref="AT62:AW63"/>
    <mergeCell ref="DN15:DO18"/>
    <mergeCell ref="DP15:DQ18"/>
    <mergeCell ref="BR20:BT20"/>
    <mergeCell ref="BU20:BW20"/>
    <mergeCell ref="BX20:BZ20"/>
    <mergeCell ref="CA20:CC20"/>
    <mergeCell ref="DJ16:DK18"/>
    <mergeCell ref="BR16:BT19"/>
    <mergeCell ref="BU16:BW19"/>
    <mergeCell ref="BX16:BZ19"/>
    <mergeCell ref="CA16:CC19"/>
    <mergeCell ref="DH19:DI21"/>
    <mergeCell ref="DJ19:DM21"/>
    <mergeCell ref="DP19:DQ28"/>
    <mergeCell ref="DJ26:DK28"/>
    <mergeCell ref="CZ19:DA23"/>
    <mergeCell ref="DB19:DC23"/>
    <mergeCell ref="BR24:BY24"/>
    <mergeCell ref="CA24:CC27"/>
    <mergeCell ref="CE24:CL24"/>
    <mergeCell ref="CZ15:DA18"/>
    <mergeCell ref="DB15:DC18"/>
    <mergeCell ref="DD15:DD23"/>
    <mergeCell ref="DH23:DI25"/>
    <mergeCell ref="BV25:BY26"/>
    <mergeCell ref="CE25:CH26"/>
    <mergeCell ref="CI25:CL26"/>
    <mergeCell ref="CR25:CS27"/>
    <mergeCell ref="CT25:CX27"/>
    <mergeCell ref="CA30:CC34"/>
    <mergeCell ref="DB32:DC35"/>
    <mergeCell ref="CT28:CX30"/>
    <mergeCell ref="CY28:CY30"/>
    <mergeCell ref="CZ28:CZ30"/>
    <mergeCell ref="DA28:DD30"/>
    <mergeCell ref="CA29:CC29"/>
    <mergeCell ref="CA28:CC28"/>
    <mergeCell ref="DJ23:DM25"/>
    <mergeCell ref="DN19:DO28"/>
    <mergeCell ref="DL30:DL32"/>
    <mergeCell ref="DM30:DM32"/>
    <mergeCell ref="DN30:DQ32"/>
    <mergeCell ref="CP19:CR20"/>
    <mergeCell ref="CP25:CQ27"/>
    <mergeCell ref="CP28:CQ30"/>
    <mergeCell ref="DN33:DQ35"/>
    <mergeCell ref="CY25:CY27"/>
    <mergeCell ref="CZ25:CZ27"/>
    <mergeCell ref="DA25:DD27"/>
    <mergeCell ref="CR28:CS30"/>
    <mergeCell ref="DL36:DL38"/>
    <mergeCell ref="DM36:DM38"/>
    <mergeCell ref="DN36:DQ38"/>
    <mergeCell ref="DB36:DC40"/>
    <mergeCell ref="DL39:DL41"/>
    <mergeCell ref="DM39:DM41"/>
    <mergeCell ref="DI55:DL56"/>
    <mergeCell ref="BZ54:CC56"/>
    <mergeCell ref="CD54:CD56"/>
    <mergeCell ref="CE54:CE56"/>
    <mergeCell ref="CF54:CJ56"/>
    <mergeCell ref="DA54:DC57"/>
    <mergeCell ref="CR53:CU54"/>
    <mergeCell ref="CV53:CY54"/>
    <mergeCell ref="CA37:CC38"/>
    <mergeCell ref="DD32:DD40"/>
    <mergeCell ref="DL33:DL35"/>
    <mergeCell ref="DM33:DM35"/>
    <mergeCell ref="DA43:DC44"/>
    <mergeCell ref="DN39:DQ41"/>
    <mergeCell ref="CR57:CY57"/>
    <mergeCell ref="DE57:DL57"/>
    <mergeCell ref="DD62:DF65"/>
    <mergeCell ref="CC58:CD62"/>
    <mergeCell ref="DG61:DI61"/>
    <mergeCell ref="DA52:DC52"/>
    <mergeCell ref="CK51:CL53"/>
    <mergeCell ref="DJ62:DL65"/>
    <mergeCell ref="DA47:DC51"/>
    <mergeCell ref="DD60:DF60"/>
    <mergeCell ref="DG60:DI60"/>
    <mergeCell ref="DJ60:DL60"/>
    <mergeCell ref="DJ61:DL61"/>
    <mergeCell ref="DA53:DC53"/>
    <mergeCell ref="BZ51:CC53"/>
    <mergeCell ref="CD51:CD53"/>
    <mergeCell ref="CE51:CE53"/>
    <mergeCell ref="CK54:CL56"/>
    <mergeCell ref="CM51:CN53"/>
    <mergeCell ref="CM54:CN56"/>
    <mergeCell ref="CV55:CY56"/>
    <mergeCell ref="DE55:DH56"/>
    <mergeCell ref="DD61:DF61"/>
    <mergeCell ref="BM63:BN66"/>
    <mergeCell ref="BO63:BP66"/>
    <mergeCell ref="BQ60:BT62"/>
    <mergeCell ref="BU60:BV62"/>
    <mergeCell ref="DA60:DC60"/>
    <mergeCell ref="CF51:CJ53"/>
    <mergeCell ref="DA61:DC61"/>
    <mergeCell ref="BQ56:BT58"/>
    <mergeCell ref="BU56:BV58"/>
    <mergeCell ref="CA63:CB66"/>
    <mergeCell ref="CC63:CD66"/>
    <mergeCell ref="BM53:BN62"/>
    <mergeCell ref="BO53:BP62"/>
    <mergeCell ref="CR55:CU56"/>
    <mergeCell ref="BS63:BT65"/>
    <mergeCell ref="BZ58:BZ66"/>
    <mergeCell ref="CA58:CB62"/>
    <mergeCell ref="DA62:DC65"/>
    <mergeCell ref="BL1:DS2"/>
    <mergeCell ref="BL3:DS4"/>
    <mergeCell ref="CE5:CK6"/>
    <mergeCell ref="F64:I65"/>
    <mergeCell ref="DG62:DI65"/>
    <mergeCell ref="CJ7:CK8"/>
    <mergeCell ref="CL7:CP8"/>
    <mergeCell ref="BM40:BP42"/>
    <mergeCell ref="BQ40:BQ42"/>
    <mergeCell ref="BR40:BR42"/>
    <mergeCell ref="BZ41:BZ49"/>
    <mergeCell ref="CA41:CB45"/>
    <mergeCell ref="BM43:BP45"/>
    <mergeCell ref="BQ43:BQ45"/>
    <mergeCell ref="BR43:BR45"/>
    <mergeCell ref="BQ49:BQ51"/>
    <mergeCell ref="BR49:BR51"/>
    <mergeCell ref="BM46:BP48"/>
    <mergeCell ref="BQ46:BQ48"/>
    <mergeCell ref="BR46:BR48"/>
    <mergeCell ref="CA35:CC36"/>
    <mergeCell ref="BR21:BT21"/>
    <mergeCell ref="BU21:BW21"/>
    <mergeCell ref="BX21:BZ21"/>
    <mergeCell ref="CE7:CI8"/>
    <mergeCell ref="BR25:BU26"/>
    <mergeCell ref="CQ7:CR8"/>
    <mergeCell ref="CL5:CW6"/>
    <mergeCell ref="DA45:DC46"/>
    <mergeCell ref="CA46:CB49"/>
    <mergeCell ref="BM49:BP51"/>
    <mergeCell ref="BS53:BT55"/>
    <mergeCell ref="J64:M65"/>
    <mergeCell ref="N64:Q65"/>
    <mergeCell ref="CE11:CI12"/>
    <mergeCell ref="CJ11:CK12"/>
    <mergeCell ref="CL11:CP12"/>
    <mergeCell ref="CQ11:CR12"/>
    <mergeCell ref="CS11:CW12"/>
    <mergeCell ref="CS7:CW8"/>
    <mergeCell ref="CE9:CI10"/>
    <mergeCell ref="CJ9:CK10"/>
    <mergeCell ref="CL9:CP10"/>
    <mergeCell ref="CQ9:CR10"/>
    <mergeCell ref="CS9:CW10"/>
    <mergeCell ref="CA21:CC21"/>
    <mergeCell ref="CE27:CH28"/>
    <mergeCell ref="CI27:CL28"/>
  </mergeCells>
  <conditionalFormatting sqref="J23 AX23 AX25 CR25 CR28 CA35 DA45 CK51 CK54 J62 AX62 J64">
    <cfRule type="cellIs" dxfId="100" priority="25" operator="greaterThan">
      <formula>1</formula>
    </cfRule>
    <cfRule type="cellIs" dxfId="99" priority="26" operator="between">
      <formula>0.875</formula>
      <formula>1</formula>
    </cfRule>
    <cfRule type="cellIs" dxfId="98" priority="27" operator="between">
      <formula>0.75</formula>
      <formula>0.875</formula>
    </cfRule>
  </conditionalFormatting>
  <conditionalFormatting sqref="AW10 BE10 AW12 BE12">
    <cfRule type="cellIs" dxfId="97" priority="1" operator="between">
      <formula>0.875</formula>
      <formula>0.99</formula>
    </cfRule>
    <cfRule type="cellIs" dxfId="96" priority="2" operator="between">
      <formula>0.75</formula>
      <formula>0.875</formula>
    </cfRule>
    <cfRule type="cellIs" dxfId="95" priority="3"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8" tint="0.39997558519241921"/>
  </sheetPr>
  <dimension ref="A1:HL157"/>
  <sheetViews>
    <sheetView showGridLines="0" showRowColHeaders="0" zoomScale="90" zoomScaleNormal="90" zoomScalePageLayoutView="85" workbookViewId="0">
      <selection activeCell="DE7" sqref="DE7:DI8"/>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5703125" customWidth="1"/>
    <col min="125" max="220" width="1.7109375" hidden="1" customWidth="1"/>
    <col min="221" max="16384" width="9.140625" hidden="1"/>
  </cols>
  <sheetData>
    <row r="1" spans="2:123" ht="9.9499999999999993" customHeight="1">
      <c r="B1" s="571" t="s">
        <v>154</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154</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thickBot="1">
      <c r="B2" s="1668"/>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c r="BF2" s="1669"/>
      <c r="BG2" s="1669"/>
      <c r="BH2" s="1669"/>
      <c r="BI2" s="1670"/>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15" t="s">
        <v>102</v>
      </c>
      <c r="C3" s="816"/>
      <c r="D3" s="816"/>
      <c r="E3" s="816"/>
      <c r="F3" s="816"/>
      <c r="G3" s="816"/>
      <c r="H3" s="816"/>
      <c r="I3" s="816"/>
      <c r="J3" s="816"/>
      <c r="K3" s="816"/>
      <c r="L3" s="816"/>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c r="AW3" s="816"/>
      <c r="AX3" s="816"/>
      <c r="AY3" s="816"/>
      <c r="AZ3" s="816"/>
      <c r="BA3" s="816"/>
      <c r="BB3" s="816"/>
      <c r="BC3" s="816"/>
      <c r="BD3" s="816"/>
      <c r="BE3" s="816"/>
      <c r="BF3" s="816"/>
      <c r="BG3" s="816"/>
      <c r="BH3" s="816"/>
      <c r="BI3" s="822"/>
      <c r="BJ3" s="165"/>
      <c r="BK3" s="174"/>
      <c r="BL3" s="1084" t="s">
        <v>97</v>
      </c>
      <c r="BM3" s="1075"/>
      <c r="BN3" s="1075"/>
      <c r="BO3" s="1075"/>
      <c r="BP3" s="1075"/>
      <c r="BQ3" s="1075"/>
      <c r="BR3" s="1075"/>
      <c r="BS3" s="1075"/>
      <c r="BT3" s="1075"/>
      <c r="BU3" s="1075"/>
      <c r="BV3" s="1075"/>
      <c r="BW3" s="1075"/>
      <c r="BX3" s="1075"/>
      <c r="BY3" s="1075"/>
      <c r="BZ3" s="1075"/>
      <c r="CA3" s="1075"/>
      <c r="CB3" s="1075"/>
      <c r="CC3" s="1075"/>
      <c r="CD3" s="1075"/>
      <c r="CE3" s="1075"/>
      <c r="CF3" s="1075"/>
      <c r="CG3" s="1075"/>
      <c r="CH3" s="1075"/>
      <c r="CI3" s="1075"/>
      <c r="CJ3" s="1075"/>
      <c r="CK3" s="1075"/>
      <c r="CL3" s="1075"/>
      <c r="CM3" s="1075"/>
      <c r="CN3" s="1075"/>
      <c r="CO3" s="1075"/>
      <c r="CP3" s="1075"/>
      <c r="CQ3" s="1075"/>
      <c r="CR3" s="1075"/>
      <c r="CS3" s="1075"/>
      <c r="CT3" s="1075"/>
      <c r="CU3" s="1075"/>
      <c r="CV3" s="1075"/>
      <c r="CW3" s="1075"/>
      <c r="CX3" s="1075"/>
      <c r="CY3" s="1075"/>
      <c r="CZ3" s="1075"/>
      <c r="DA3" s="1075"/>
      <c r="DB3" s="1075"/>
      <c r="DC3" s="1075"/>
      <c r="DD3" s="1075"/>
      <c r="DE3" s="1075"/>
      <c r="DF3" s="1075"/>
      <c r="DG3" s="1075"/>
      <c r="DH3" s="1075"/>
      <c r="DI3" s="1075"/>
      <c r="DJ3" s="1075"/>
      <c r="DK3" s="1075"/>
      <c r="DL3" s="1075"/>
      <c r="DM3" s="1075"/>
      <c r="DN3" s="1075"/>
      <c r="DO3" s="1075"/>
      <c r="DP3" s="1075"/>
      <c r="DQ3" s="1075"/>
      <c r="DR3" s="1075"/>
      <c r="DS3" s="1076"/>
    </row>
    <row r="4" spans="2:123" ht="9.9499999999999993" customHeight="1" thickBot="1">
      <c r="B4" s="792"/>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c r="BA4" s="793"/>
      <c r="BB4" s="793"/>
      <c r="BC4" s="793"/>
      <c r="BD4" s="793"/>
      <c r="BE4" s="793"/>
      <c r="BF4" s="793"/>
      <c r="BG4" s="793"/>
      <c r="BH4" s="793"/>
      <c r="BI4" s="814"/>
      <c r="BJ4" s="165"/>
      <c r="BK4" s="174"/>
      <c r="BL4" s="1106"/>
      <c r="BM4" s="1094"/>
      <c r="BN4" s="1094"/>
      <c r="BO4" s="1094"/>
      <c r="BP4" s="1094"/>
      <c r="BQ4" s="1094"/>
      <c r="BR4" s="1094"/>
      <c r="BS4" s="1094"/>
      <c r="BT4" s="1094"/>
      <c r="BU4" s="1094"/>
      <c r="BV4" s="1094"/>
      <c r="BW4" s="1094"/>
      <c r="BX4" s="1094"/>
      <c r="BY4" s="1094"/>
      <c r="BZ4" s="1094"/>
      <c r="CA4" s="1094"/>
      <c r="CB4" s="1094"/>
      <c r="CC4" s="1094"/>
      <c r="CD4" s="1094"/>
      <c r="CE4" s="1094"/>
      <c r="CF4" s="1094"/>
      <c r="CG4" s="1094"/>
      <c r="CH4" s="1094"/>
      <c r="CI4" s="1094"/>
      <c r="CJ4" s="1094"/>
      <c r="CK4" s="1094"/>
      <c r="CL4" s="1094"/>
      <c r="CM4" s="1094"/>
      <c r="CN4" s="1094"/>
      <c r="CO4" s="1094"/>
      <c r="CP4" s="1094"/>
      <c r="CQ4" s="1094"/>
      <c r="CR4" s="1094"/>
      <c r="CS4" s="1094"/>
      <c r="CT4" s="1094"/>
      <c r="CU4" s="1094"/>
      <c r="CV4" s="1094"/>
      <c r="CW4" s="1094"/>
      <c r="CX4" s="1094"/>
      <c r="CY4" s="1094"/>
      <c r="CZ4" s="1094"/>
      <c r="DA4" s="1094"/>
      <c r="DB4" s="1094"/>
      <c r="DC4" s="1094"/>
      <c r="DD4" s="1094"/>
      <c r="DE4" s="1094"/>
      <c r="DF4" s="1094"/>
      <c r="DG4" s="1094"/>
      <c r="DH4" s="1094"/>
      <c r="DI4" s="1094"/>
      <c r="DJ4" s="1094"/>
      <c r="DK4" s="1094"/>
      <c r="DL4" s="1094"/>
      <c r="DM4" s="1094"/>
      <c r="DN4" s="1094"/>
      <c r="DO4" s="1094"/>
      <c r="DP4" s="1094"/>
      <c r="DQ4" s="1094"/>
      <c r="DR4" s="1094"/>
      <c r="DS4" s="1095"/>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469" t="s">
        <v>141</v>
      </c>
      <c r="CY5" s="470"/>
      <c r="CZ5" s="470"/>
      <c r="DA5" s="470"/>
      <c r="DB5" s="470"/>
      <c r="DC5" s="470"/>
      <c r="DD5" s="470"/>
      <c r="DE5" s="1497" t="s">
        <v>142</v>
      </c>
      <c r="DF5" s="1497"/>
      <c r="DG5" s="1497"/>
      <c r="DH5" s="1497"/>
      <c r="DI5" s="1497"/>
      <c r="DJ5" s="1497"/>
      <c r="DK5" s="1497"/>
      <c r="DL5" s="1497"/>
      <c r="DM5" s="1497"/>
      <c r="DN5" s="1497"/>
      <c r="DO5" s="1497"/>
      <c r="DP5" s="1497"/>
      <c r="DQ5" s="174"/>
      <c r="DR5" s="174"/>
      <c r="DS5" s="177"/>
    </row>
    <row r="6" spans="2:123" ht="9.9499999999999993" customHeight="1" thickBot="1">
      <c r="B6" s="1"/>
      <c r="C6" s="1671" t="s">
        <v>3</v>
      </c>
      <c r="D6" s="1672"/>
      <c r="E6" s="1672"/>
      <c r="F6" s="1672"/>
      <c r="G6" s="1672"/>
      <c r="H6" s="1672"/>
      <c r="I6" s="1672"/>
      <c r="J6" s="1673"/>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479"/>
      <c r="CY6" s="1480"/>
      <c r="CZ6" s="1480"/>
      <c r="DA6" s="1480"/>
      <c r="DB6" s="1480"/>
      <c r="DC6" s="1480"/>
      <c r="DD6" s="1480"/>
      <c r="DE6" s="1494"/>
      <c r="DF6" s="1494"/>
      <c r="DG6" s="1494"/>
      <c r="DH6" s="1494"/>
      <c r="DI6" s="1494"/>
      <c r="DJ6" s="1494"/>
      <c r="DK6" s="1494"/>
      <c r="DL6" s="1494"/>
      <c r="DM6" s="1494"/>
      <c r="DN6" s="1494"/>
      <c r="DO6" s="1494"/>
      <c r="DP6" s="1494"/>
      <c r="DQ6" s="174"/>
      <c r="DR6" s="174"/>
      <c r="DS6" s="177"/>
    </row>
    <row r="7" spans="2:123" ht="9.9499999999999993" customHeight="1" thickBot="1">
      <c r="B7" s="1"/>
      <c r="C7" s="1674"/>
      <c r="D7" s="1675"/>
      <c r="E7" s="1675"/>
      <c r="F7" s="1675"/>
      <c r="G7" s="1675"/>
      <c r="H7" s="1675"/>
      <c r="I7" s="1675"/>
      <c r="J7" s="1676"/>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481" t="s">
        <v>147</v>
      </c>
      <c r="CY7" s="1482"/>
      <c r="CZ7" s="1482"/>
      <c r="DA7" s="1482"/>
      <c r="DB7" s="1483"/>
      <c r="DC7" s="1487" t="s">
        <v>144</v>
      </c>
      <c r="DD7" s="1488"/>
      <c r="DE7" s="1490">
        <v>1130</v>
      </c>
      <c r="DF7" s="1490"/>
      <c r="DG7" s="1490"/>
      <c r="DH7" s="1490"/>
      <c r="DI7" s="1491"/>
      <c r="DJ7" s="1487" t="s">
        <v>145</v>
      </c>
      <c r="DK7" s="1488"/>
      <c r="DL7" s="1490">
        <v>1E-3</v>
      </c>
      <c r="DM7" s="1490"/>
      <c r="DN7" s="1490"/>
      <c r="DO7" s="1490"/>
      <c r="DP7" s="1491"/>
      <c r="DQ7" s="174"/>
      <c r="DR7" s="174"/>
      <c r="DS7" s="177"/>
    </row>
    <row r="8" spans="2:123" ht="9.9499999999999993" customHeight="1" thickBot="1">
      <c r="B8" s="1"/>
      <c r="C8" s="1686" t="s">
        <v>5</v>
      </c>
      <c r="D8" s="1687"/>
      <c r="E8" s="1687"/>
      <c r="F8" s="1687"/>
      <c r="G8" s="1687"/>
      <c r="H8" s="1687"/>
      <c r="I8" s="1687"/>
      <c r="J8" s="168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206"/>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484"/>
      <c r="CY8" s="1485"/>
      <c r="CZ8" s="1485"/>
      <c r="DA8" s="1485"/>
      <c r="DB8" s="1486"/>
      <c r="DC8" s="1489"/>
      <c r="DD8" s="1489"/>
      <c r="DE8" s="1492"/>
      <c r="DF8" s="1492"/>
      <c r="DG8" s="1492"/>
      <c r="DH8" s="1492"/>
      <c r="DI8" s="1493"/>
      <c r="DJ8" s="1489"/>
      <c r="DK8" s="1489"/>
      <c r="DL8" s="1492"/>
      <c r="DM8" s="1492"/>
      <c r="DN8" s="1492"/>
      <c r="DO8" s="1492"/>
      <c r="DP8" s="1493"/>
      <c r="DQ8" s="174"/>
      <c r="DR8" s="174"/>
      <c r="DS8" s="177"/>
    </row>
    <row r="9" spans="2:123" ht="9.9499999999999993" customHeight="1" thickBot="1">
      <c r="B9" s="1"/>
      <c r="C9" s="1674"/>
      <c r="D9" s="1675"/>
      <c r="E9" s="1675"/>
      <c r="F9" s="1675"/>
      <c r="G9" s="1675"/>
      <c r="H9" s="1675"/>
      <c r="I9" s="1675"/>
      <c r="J9" s="1676"/>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207"/>
      <c r="AK9" s="1677"/>
      <c r="AL9" s="1678"/>
      <c r="AM9" s="1678"/>
      <c r="AN9" s="1678"/>
      <c r="AO9" s="1678"/>
      <c r="AP9" s="1678"/>
      <c r="AQ9" s="1679"/>
      <c r="AR9" s="1679"/>
      <c r="AS9" s="1679"/>
      <c r="AT9" s="1679"/>
      <c r="AU9" s="1679"/>
      <c r="AV9" s="1679"/>
      <c r="AW9" s="1680"/>
      <c r="AX9" s="1680"/>
      <c r="AY9" s="1680"/>
      <c r="AZ9" s="1680"/>
      <c r="BA9" s="1680"/>
      <c r="BB9" s="1680"/>
      <c r="BC9" s="1681"/>
      <c r="BD9" s="1681"/>
      <c r="BE9" s="1681"/>
      <c r="BF9" s="1681"/>
      <c r="BG9" s="1681"/>
      <c r="BH9" s="1682"/>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481" t="s">
        <v>148</v>
      </c>
      <c r="CY9" s="1482"/>
      <c r="CZ9" s="1482"/>
      <c r="DA9" s="1482"/>
      <c r="DB9" s="1483"/>
      <c r="DC9" s="1487" t="s">
        <v>144</v>
      </c>
      <c r="DD9" s="1488"/>
      <c r="DE9" s="1490">
        <v>1130</v>
      </c>
      <c r="DF9" s="1490"/>
      <c r="DG9" s="1490"/>
      <c r="DH9" s="1490"/>
      <c r="DI9" s="1491"/>
      <c r="DJ9" s="1487" t="s">
        <v>145</v>
      </c>
      <c r="DK9" s="1488"/>
      <c r="DL9" s="1490">
        <v>1E-3</v>
      </c>
      <c r="DM9" s="1490"/>
      <c r="DN9" s="1490"/>
      <c r="DO9" s="1490"/>
      <c r="DP9" s="1491"/>
      <c r="DQ9" s="174"/>
      <c r="DR9" s="174"/>
      <c r="DS9" s="177"/>
    </row>
    <row r="10" spans="2:123" ht="9.9499999999999993" customHeight="1" thickBot="1">
      <c r="B10" s="1"/>
      <c r="C10" s="1686" t="s">
        <v>7</v>
      </c>
      <c r="D10" s="1687"/>
      <c r="E10" s="1687"/>
      <c r="F10" s="1687"/>
      <c r="G10" s="1687"/>
      <c r="H10" s="1687"/>
      <c r="I10" s="1687"/>
      <c r="J10" s="168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206"/>
      <c r="AK10" s="712" t="s">
        <v>98</v>
      </c>
      <c r="AL10" s="1474"/>
      <c r="AM10" s="1474"/>
      <c r="AN10" s="1474"/>
      <c r="AO10" s="1474"/>
      <c r="AP10" s="1474"/>
      <c r="AQ10" s="1474"/>
      <c r="AR10" s="1475"/>
      <c r="AS10" s="1683" t="s">
        <v>127</v>
      </c>
      <c r="AT10" s="1684"/>
      <c r="AU10" s="1684"/>
      <c r="AV10" s="1685"/>
      <c r="AW10" s="1465">
        <f>MAX(J23:M26)</f>
        <v>2.1198327174583826</v>
      </c>
      <c r="AX10" s="1466"/>
      <c r="AY10" s="1466"/>
      <c r="AZ10" s="1467"/>
      <c r="BA10" s="1683" t="s">
        <v>149</v>
      </c>
      <c r="BB10" s="1684"/>
      <c r="BC10" s="1684"/>
      <c r="BD10" s="1685"/>
      <c r="BE10" s="1465">
        <f>MAX(AX23)</f>
        <v>4.8655462806505776</v>
      </c>
      <c r="BF10" s="1466"/>
      <c r="BG10" s="1466"/>
      <c r="BH10" s="146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484"/>
      <c r="CY10" s="1485"/>
      <c r="CZ10" s="1485"/>
      <c r="DA10" s="1485"/>
      <c r="DB10" s="1486"/>
      <c r="DC10" s="1489"/>
      <c r="DD10" s="1489"/>
      <c r="DE10" s="1492"/>
      <c r="DF10" s="1492"/>
      <c r="DG10" s="1492"/>
      <c r="DH10" s="1492"/>
      <c r="DI10" s="1493"/>
      <c r="DJ10" s="1489"/>
      <c r="DK10" s="1489"/>
      <c r="DL10" s="1492"/>
      <c r="DM10" s="1492"/>
      <c r="DN10" s="1492"/>
      <c r="DO10" s="1492"/>
      <c r="DP10" s="1493"/>
      <c r="DQ10" s="174"/>
      <c r="DR10" s="174"/>
      <c r="DS10" s="177"/>
    </row>
    <row r="11" spans="2:123" ht="9.9499999999999993" customHeight="1" thickBot="1">
      <c r="B11" s="1"/>
      <c r="C11" s="1674"/>
      <c r="D11" s="1675"/>
      <c r="E11" s="1675"/>
      <c r="F11" s="1675"/>
      <c r="G11" s="1675"/>
      <c r="H11" s="1675"/>
      <c r="I11" s="1675"/>
      <c r="J11" s="1676"/>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20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39"/>
      <c r="BN11" s="174"/>
      <c r="BO11" s="174"/>
      <c r="BP11" s="174"/>
      <c r="BQ11" s="174"/>
      <c r="BR11" s="1378" t="s">
        <v>152</v>
      </c>
      <c r="BS11" s="1379"/>
      <c r="BT11" s="1379"/>
      <c r="BU11" s="1379"/>
      <c r="BV11" s="1379"/>
      <c r="BW11" s="1379"/>
      <c r="BX11" s="1379"/>
      <c r="BY11" s="1379"/>
      <c r="BZ11" s="1379"/>
      <c r="CA11" s="1728"/>
      <c r="CB11" s="1753">
        <f>CG16/(CG16+CJ16+CM16+CP16)</f>
        <v>0</v>
      </c>
      <c r="CC11" s="1753"/>
      <c r="CD11" s="1753"/>
      <c r="CE11" s="1754"/>
      <c r="CF11" s="137"/>
      <c r="CG11" s="1051"/>
      <c r="CH11" s="1052"/>
      <c r="CI11" s="1052"/>
      <c r="CJ11" s="1052"/>
      <c r="CK11" s="1052"/>
      <c r="CL11" s="1052"/>
      <c r="CM11" s="1052"/>
      <c r="CN11" s="1052"/>
      <c r="CO11" s="1052"/>
      <c r="CP11" s="1052"/>
      <c r="CQ11" s="1052"/>
      <c r="CR11" s="1057"/>
      <c r="CS11" s="174"/>
      <c r="CT11" s="174"/>
      <c r="CU11" s="174"/>
      <c r="CV11" s="174"/>
      <c r="CW11" s="174"/>
      <c r="CX11" s="1481" t="s">
        <v>143</v>
      </c>
      <c r="CY11" s="1482"/>
      <c r="CZ11" s="1482"/>
      <c r="DA11" s="1482"/>
      <c r="DB11" s="1483"/>
      <c r="DC11" s="1487" t="s">
        <v>144</v>
      </c>
      <c r="DD11" s="1488"/>
      <c r="DE11" s="1490">
        <v>1130</v>
      </c>
      <c r="DF11" s="1490"/>
      <c r="DG11" s="1490"/>
      <c r="DH11" s="1490"/>
      <c r="DI11" s="1491"/>
      <c r="DJ11" s="1487" t="s">
        <v>145</v>
      </c>
      <c r="DK11" s="1488"/>
      <c r="DL11" s="1490">
        <v>6.9999999999999999E-4</v>
      </c>
      <c r="DM11" s="1490"/>
      <c r="DN11" s="1490"/>
      <c r="DO11" s="1490"/>
      <c r="DP11" s="1491"/>
      <c r="DQ11" s="127"/>
      <c r="DR11" s="127"/>
      <c r="DS11" s="177"/>
    </row>
    <row r="12" spans="2:123" ht="9.9499999999999993" customHeight="1" thickBot="1">
      <c r="B12" s="1"/>
      <c r="C12" s="1686" t="s">
        <v>9</v>
      </c>
      <c r="D12" s="1687"/>
      <c r="E12" s="1687"/>
      <c r="F12" s="1687"/>
      <c r="G12" s="1687"/>
      <c r="H12" s="1687"/>
      <c r="I12" s="1687"/>
      <c r="J12" s="168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208"/>
      <c r="AK12" s="1476"/>
      <c r="AL12" s="1477"/>
      <c r="AM12" s="1477"/>
      <c r="AN12" s="1477"/>
      <c r="AO12" s="1477"/>
      <c r="AP12" s="1477"/>
      <c r="AQ12" s="1477"/>
      <c r="AR12" s="1478"/>
      <c r="AS12" s="1459" t="s">
        <v>128</v>
      </c>
      <c r="AT12" s="1460"/>
      <c r="AU12" s="1460"/>
      <c r="AV12" s="1461"/>
      <c r="AW12" s="1465">
        <f>MAX(J62)</f>
        <v>6.2266347667234863</v>
      </c>
      <c r="AX12" s="1466"/>
      <c r="AY12" s="1466"/>
      <c r="AZ12" s="1467"/>
      <c r="BA12" s="1459" t="s">
        <v>130</v>
      </c>
      <c r="BB12" s="1460"/>
      <c r="BC12" s="1460"/>
      <c r="BD12" s="1461"/>
      <c r="BE12" s="1471">
        <f>MAX(AX62:BA65)</f>
        <v>6.7430402319482576</v>
      </c>
      <c r="BF12" s="1472"/>
      <c r="BG12" s="1472"/>
      <c r="BH12" s="1473"/>
      <c r="BI12" s="177"/>
      <c r="BK12" s="174"/>
      <c r="BL12" s="1"/>
      <c r="BM12" s="38"/>
      <c r="BN12" s="38"/>
      <c r="BO12" s="174"/>
      <c r="BP12" s="174"/>
      <c r="BQ12" s="174"/>
      <c r="BR12" s="1384"/>
      <c r="BS12" s="1385"/>
      <c r="BT12" s="1385"/>
      <c r="BU12" s="1385"/>
      <c r="BV12" s="1385"/>
      <c r="BW12" s="1385"/>
      <c r="BX12" s="1385"/>
      <c r="BY12" s="1385"/>
      <c r="BZ12" s="1385"/>
      <c r="CA12" s="1752"/>
      <c r="CB12" s="1755"/>
      <c r="CC12" s="1755"/>
      <c r="CD12" s="1755"/>
      <c r="CE12" s="1756"/>
      <c r="CF12" s="138"/>
      <c r="CG12" s="1053"/>
      <c r="CH12" s="1054"/>
      <c r="CI12" s="1054"/>
      <c r="CJ12" s="1054"/>
      <c r="CK12" s="1054"/>
      <c r="CL12" s="1054"/>
      <c r="CM12" s="1054"/>
      <c r="CN12" s="1054"/>
      <c r="CO12" s="1054"/>
      <c r="CP12" s="1054"/>
      <c r="CQ12" s="1054"/>
      <c r="CR12" s="1058"/>
      <c r="CS12" s="174"/>
      <c r="CT12" s="174"/>
      <c r="CU12" s="174"/>
      <c r="CV12" s="174"/>
      <c r="CW12" s="174"/>
      <c r="CX12" s="1484"/>
      <c r="CY12" s="1485"/>
      <c r="CZ12" s="1485"/>
      <c r="DA12" s="1485"/>
      <c r="DB12" s="1486"/>
      <c r="DC12" s="1489"/>
      <c r="DD12" s="1489"/>
      <c r="DE12" s="1492"/>
      <c r="DF12" s="1492"/>
      <c r="DG12" s="1492"/>
      <c r="DH12" s="1492"/>
      <c r="DI12" s="1493"/>
      <c r="DJ12" s="1489"/>
      <c r="DK12" s="1489"/>
      <c r="DL12" s="1492"/>
      <c r="DM12" s="1492"/>
      <c r="DN12" s="1492"/>
      <c r="DO12" s="1492"/>
      <c r="DP12" s="1493"/>
      <c r="DQ12" s="127"/>
      <c r="DR12" s="127"/>
      <c r="DS12" s="177"/>
    </row>
    <row r="13" spans="2:123" ht="9.9499999999999993" customHeight="1" thickBot="1">
      <c r="B13" s="1"/>
      <c r="C13" s="1689"/>
      <c r="D13" s="1690"/>
      <c r="E13" s="1690"/>
      <c r="F13" s="1690"/>
      <c r="G13" s="1690"/>
      <c r="H13" s="1690"/>
      <c r="I13" s="1690"/>
      <c r="J13" s="1691"/>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209"/>
      <c r="AK13" s="1692"/>
      <c r="AL13" s="1693"/>
      <c r="AM13" s="1693"/>
      <c r="AN13" s="1693"/>
      <c r="AO13" s="1693"/>
      <c r="AP13" s="1693"/>
      <c r="AQ13" s="1693"/>
      <c r="AR13" s="1694"/>
      <c r="AS13" s="1462"/>
      <c r="AT13" s="1463"/>
      <c r="AU13" s="1463"/>
      <c r="AV13" s="1464"/>
      <c r="AW13" s="1468"/>
      <c r="AX13" s="1469"/>
      <c r="AY13" s="1469"/>
      <c r="AZ13" s="1470"/>
      <c r="BA13" s="1462"/>
      <c r="BB13" s="1463"/>
      <c r="BC13" s="1463"/>
      <c r="BD13" s="1464"/>
      <c r="BE13" s="1468"/>
      <c r="BF13" s="1469"/>
      <c r="BG13" s="1469"/>
      <c r="BH13" s="1470"/>
      <c r="BI13" s="177"/>
      <c r="BK13" s="174"/>
      <c r="BL13" s="17"/>
      <c r="BM13" s="38"/>
      <c r="BN13" s="174"/>
      <c r="BO13" s="174"/>
      <c r="BP13" s="174"/>
      <c r="BQ13" s="174"/>
      <c r="BR13" s="1702" t="s">
        <v>151</v>
      </c>
      <c r="BS13" s="1703"/>
      <c r="BT13" s="1703"/>
      <c r="BU13" s="1703"/>
      <c r="BV13" s="1703"/>
      <c r="BW13" s="1703"/>
      <c r="BX13" s="1703"/>
      <c r="BY13" s="1703"/>
      <c r="BZ13" s="1703"/>
      <c r="CA13" s="1703"/>
      <c r="CB13" s="1748">
        <v>0.5</v>
      </c>
      <c r="CC13" s="1748"/>
      <c r="CD13" s="1748"/>
      <c r="CE13" s="1749"/>
      <c r="CF13" s="138"/>
      <c r="CG13" s="1053"/>
      <c r="CH13" s="1054"/>
      <c r="CI13" s="1054"/>
      <c r="CJ13" s="1054"/>
      <c r="CK13" s="1054"/>
      <c r="CL13" s="1054"/>
      <c r="CM13" s="1054"/>
      <c r="CN13" s="1054"/>
      <c r="CO13" s="1054"/>
      <c r="CP13" s="1054"/>
      <c r="CQ13" s="1054"/>
      <c r="CR13" s="1058"/>
      <c r="CS13" s="174"/>
      <c r="CT13" s="174"/>
      <c r="CU13" s="174"/>
      <c r="CV13" s="174"/>
      <c r="CW13" s="174"/>
      <c r="CX13" s="174"/>
      <c r="CY13" s="174"/>
      <c r="CZ13" s="174"/>
      <c r="DA13" s="174"/>
      <c r="DB13" s="174"/>
      <c r="DC13" s="174"/>
      <c r="DD13" s="174"/>
      <c r="DE13" s="174"/>
      <c r="DF13" s="174"/>
      <c r="DG13" s="174"/>
      <c r="DH13" s="174"/>
      <c r="DI13" s="114"/>
      <c r="DJ13" s="114"/>
      <c r="DK13" s="6"/>
      <c r="DL13" s="124"/>
      <c r="DM13" s="6"/>
      <c r="DN13" s="6"/>
      <c r="DO13" s="126"/>
      <c r="DP13" s="126"/>
      <c r="DQ13" s="127"/>
      <c r="DR13" s="127"/>
      <c r="DS13" s="177"/>
    </row>
    <row r="14" spans="2:123" ht="9.9499999999999993" customHeight="1" thickBo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
      <c r="BN14" s="174"/>
      <c r="BO14" s="174"/>
      <c r="BP14" s="174"/>
      <c r="BQ14" s="174"/>
      <c r="BR14" s="1705"/>
      <c r="BS14" s="1706"/>
      <c r="BT14" s="1706"/>
      <c r="BU14" s="1706"/>
      <c r="BV14" s="1706"/>
      <c r="BW14" s="1706"/>
      <c r="BX14" s="1706"/>
      <c r="BY14" s="1706"/>
      <c r="BZ14" s="1706"/>
      <c r="CA14" s="1706"/>
      <c r="CB14" s="1750"/>
      <c r="CC14" s="1750"/>
      <c r="CD14" s="1750"/>
      <c r="CE14" s="1751"/>
      <c r="CF14" s="138"/>
      <c r="CG14" s="1053"/>
      <c r="CH14" s="1054"/>
      <c r="CI14" s="1054"/>
      <c r="CJ14" s="1054"/>
      <c r="CK14" s="1054"/>
      <c r="CL14" s="1054"/>
      <c r="CM14" s="1054"/>
      <c r="CN14" s="1054"/>
      <c r="CO14" s="1054"/>
      <c r="CP14" s="1054"/>
      <c r="CQ14" s="1054"/>
      <c r="CR14" s="1058"/>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26"/>
      <c r="DQ14" s="127"/>
      <c r="DR14" s="127"/>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174"/>
      <c r="BN15" s="174"/>
      <c r="BO15" s="174"/>
      <c r="BP15" s="174"/>
      <c r="BQ15" s="174"/>
      <c r="BR15" s="174"/>
      <c r="BS15" s="174"/>
      <c r="BT15" s="174"/>
      <c r="BU15" s="1115"/>
      <c r="BV15" s="1115"/>
      <c r="BW15" s="1115"/>
      <c r="BX15" s="174"/>
      <c r="BY15" s="1115"/>
      <c r="BZ15" s="1115"/>
      <c r="CA15" s="1115"/>
      <c r="CB15" s="174"/>
      <c r="CC15" s="174"/>
      <c r="CD15" s="174"/>
      <c r="CE15" s="174"/>
      <c r="CF15" s="174"/>
      <c r="CG15" s="1366" t="s">
        <v>99</v>
      </c>
      <c r="CH15" s="1367"/>
      <c r="CI15" s="1367"/>
      <c r="CJ15" s="1367" t="s">
        <v>99</v>
      </c>
      <c r="CK15" s="1367"/>
      <c r="CL15" s="1367"/>
      <c r="CM15" s="1367" t="s">
        <v>99</v>
      </c>
      <c r="CN15" s="1367"/>
      <c r="CO15" s="1367"/>
      <c r="CP15" s="1367" t="s">
        <v>99</v>
      </c>
      <c r="CQ15" s="1367"/>
      <c r="CR15" s="1368"/>
      <c r="CS15" s="174"/>
      <c r="CT15" s="174"/>
      <c r="CU15" s="174"/>
      <c r="CV15" s="174"/>
      <c r="CW15" s="174"/>
      <c r="CX15" s="174"/>
      <c r="CY15" s="174"/>
      <c r="CZ15" s="125"/>
      <c r="DA15" s="125"/>
      <c r="DB15" s="174"/>
      <c r="DC15" s="1650">
        <f>$DE$11*EXP(-$DL$11*(DC33+DA33))</f>
        <v>249.30396918099163</v>
      </c>
      <c r="DD15" s="1651"/>
      <c r="DE15" s="1593" t="s">
        <v>150</v>
      </c>
      <c r="DF15" s="174"/>
      <c r="DG15" s="174"/>
      <c r="DH15" s="174"/>
      <c r="DI15" s="118"/>
      <c r="DJ15" s="174"/>
      <c r="DK15" s="174"/>
      <c r="DL15" s="174"/>
      <c r="DM15" s="174"/>
      <c r="DN15" s="174"/>
      <c r="DO15" s="174"/>
      <c r="DP15" s="118"/>
      <c r="DQ15" s="118"/>
      <c r="DR15" s="118"/>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174"/>
      <c r="BN16" s="174"/>
      <c r="BO16" s="174"/>
      <c r="BP16" s="174"/>
      <c r="BQ16" s="174"/>
      <c r="BR16" s="1743">
        <f>CG16</f>
        <v>0</v>
      </c>
      <c r="BS16" s="1743"/>
      <c r="BT16" s="1747"/>
      <c r="BU16" s="1054"/>
      <c r="BV16" s="1054"/>
      <c r="BW16" s="1054"/>
      <c r="BX16" s="174"/>
      <c r="BY16" s="1054"/>
      <c r="BZ16" s="1054"/>
      <c r="CA16" s="1054"/>
      <c r="CB16" s="1743">
        <f>CM16+CP16</f>
        <v>607</v>
      </c>
      <c r="CC16" s="1743"/>
      <c r="CD16" s="1743"/>
      <c r="CE16" s="174"/>
      <c r="CF16" s="174"/>
      <c r="CG16" s="1444">
        <f>SBR_Master</f>
        <v>0</v>
      </c>
      <c r="CH16" s="1445"/>
      <c r="CI16" s="1445"/>
      <c r="CJ16" s="1445">
        <f>SBT_Master</f>
        <v>1447</v>
      </c>
      <c r="CK16" s="1445"/>
      <c r="CL16" s="1445"/>
      <c r="CM16" s="1445">
        <f>SBL_Master</f>
        <v>607</v>
      </c>
      <c r="CN16" s="1445"/>
      <c r="CO16" s="1445"/>
      <c r="CP16" s="1445">
        <f>SBU_Master</f>
        <v>0</v>
      </c>
      <c r="CQ16" s="1445"/>
      <c r="CR16" s="1446"/>
      <c r="CS16" s="174"/>
      <c r="CT16" s="174"/>
      <c r="CU16" s="174"/>
      <c r="CV16" s="174"/>
      <c r="CW16" s="174"/>
      <c r="CX16" s="174"/>
      <c r="CY16" s="174"/>
      <c r="CZ16" s="125"/>
      <c r="DA16" s="125"/>
      <c r="DB16" s="174"/>
      <c r="DC16" s="1652"/>
      <c r="DD16" s="1653"/>
      <c r="DE16" s="1594"/>
      <c r="DF16" s="174"/>
      <c r="DG16" s="174"/>
      <c r="DH16" s="174"/>
      <c r="DI16" s="118"/>
      <c r="DJ16" s="174"/>
      <c r="DK16" s="174"/>
      <c r="DL16" s="174"/>
      <c r="DM16" s="174"/>
      <c r="DN16" s="174"/>
      <c r="DO16" s="174"/>
      <c r="DP16" s="174"/>
      <c r="DQ16" s="174"/>
      <c r="DR16" s="118"/>
      <c r="DS16" s="177"/>
    </row>
    <row r="17" spans="2:123" ht="9.9499999999999993" customHeigh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174"/>
      <c r="BQ17" s="174"/>
      <c r="BR17" s="1743"/>
      <c r="BS17" s="1743"/>
      <c r="BT17" s="1747"/>
      <c r="BU17" s="1054"/>
      <c r="BV17" s="1054"/>
      <c r="BW17" s="1054"/>
      <c r="BX17" s="174"/>
      <c r="BY17" s="1054"/>
      <c r="BZ17" s="1054"/>
      <c r="CA17" s="1054"/>
      <c r="CB17" s="1743"/>
      <c r="CC17" s="1743"/>
      <c r="CD17" s="1743"/>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25"/>
      <c r="DA17" s="125"/>
      <c r="DB17" s="174"/>
      <c r="DC17" s="1652"/>
      <c r="DD17" s="1653"/>
      <c r="DE17" s="1594"/>
      <c r="DF17" s="174"/>
      <c r="DG17" s="174"/>
      <c r="DH17" s="174"/>
      <c r="DI17" s="118"/>
      <c r="DJ17" s="174"/>
      <c r="DK17" s="174"/>
      <c r="DL17" s="174"/>
      <c r="DM17" s="174"/>
      <c r="DN17" s="174"/>
      <c r="DO17" s="174"/>
      <c r="DP17" s="174"/>
      <c r="DQ17" s="174"/>
      <c r="DR17" s="118"/>
      <c r="DS17" s="177"/>
    </row>
    <row r="18" spans="2:123" ht="9.9499999999999993" customHeight="1">
      <c r="B18" s="1"/>
      <c r="C18" s="174"/>
      <c r="D18" s="174"/>
      <c r="E18" s="174"/>
      <c r="F18" s="174"/>
      <c r="G18" s="174"/>
      <c r="H18" s="174"/>
      <c r="I18" s="174"/>
      <c r="J18" s="174"/>
      <c r="K18" s="174"/>
      <c r="L18" s="174"/>
      <c r="M18" s="174"/>
      <c r="N18" s="174"/>
      <c r="O18" s="174"/>
      <c r="P18" s="174"/>
      <c r="Q18" s="119"/>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K18" s="174"/>
      <c r="BL18" s="17"/>
      <c r="BM18" s="174"/>
      <c r="BN18" s="174"/>
      <c r="BO18" s="174"/>
      <c r="BP18" s="174"/>
      <c r="BQ18" s="174"/>
      <c r="BR18" s="174"/>
      <c r="BS18" s="174"/>
      <c r="BT18" s="174"/>
      <c r="BU18" s="1054"/>
      <c r="BV18" s="1054"/>
      <c r="BW18" s="1054"/>
      <c r="BX18" s="174"/>
      <c r="BY18" s="1054"/>
      <c r="BZ18" s="1054"/>
      <c r="CA18" s="105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25"/>
      <c r="DA18" s="125"/>
      <c r="DB18" s="174"/>
      <c r="DC18" s="1652"/>
      <c r="DD18" s="1653"/>
      <c r="DE18" s="1594"/>
      <c r="DF18" s="174"/>
      <c r="DG18" s="174"/>
      <c r="DH18" s="174"/>
      <c r="DI18" s="118"/>
      <c r="DJ18" s="174"/>
      <c r="DK18" s="174"/>
      <c r="DL18" s="174"/>
      <c r="DM18" s="174"/>
      <c r="DN18" s="174"/>
      <c r="DO18" s="174"/>
      <c r="DP18" s="174"/>
      <c r="DQ18" s="174"/>
      <c r="DR18" s="118"/>
      <c r="DS18" s="177"/>
    </row>
    <row r="19" spans="2:123" ht="9.9499999999999993" customHeight="1" thickBot="1">
      <c r="B19" s="1"/>
      <c r="C19" s="174"/>
      <c r="D19" s="174"/>
      <c r="E19" s="174"/>
      <c r="F19" s="174"/>
      <c r="G19" s="174"/>
      <c r="H19" s="174"/>
      <c r="I19" s="174"/>
      <c r="J19" s="174"/>
      <c r="K19" s="174"/>
      <c r="L19" s="174"/>
      <c r="M19" s="174"/>
      <c r="N19" s="174"/>
      <c r="O19" s="174"/>
      <c r="P19" s="174"/>
      <c r="Q19" s="119"/>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K19" s="174"/>
      <c r="BL19" s="17"/>
      <c r="BM19" s="174"/>
      <c r="BN19" s="174"/>
      <c r="BO19" s="174"/>
      <c r="BP19" s="174"/>
      <c r="BQ19" s="174"/>
      <c r="BR19" s="174"/>
      <c r="BS19" s="174"/>
      <c r="BT19" s="174"/>
      <c r="BU19" s="1743">
        <f>CJ16*(1-CB13)</f>
        <v>723.5</v>
      </c>
      <c r="BV19" s="1743"/>
      <c r="BW19" s="1743"/>
      <c r="BX19" s="174"/>
      <c r="BY19" s="1743">
        <f>CJ16*CB13</f>
        <v>723.5</v>
      </c>
      <c r="BZ19" s="1743"/>
      <c r="CA19" s="1743"/>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23"/>
      <c r="DA19" s="123"/>
      <c r="DB19" s="174"/>
      <c r="DC19" s="1638">
        <v>1</v>
      </c>
      <c r="DD19" s="1639"/>
      <c r="DE19" s="1594"/>
      <c r="DF19" s="174"/>
      <c r="DG19" s="174"/>
      <c r="DH19" s="174"/>
      <c r="DI19" s="118"/>
      <c r="DJ19" s="174"/>
      <c r="DK19" s="174"/>
      <c r="DL19" s="174"/>
      <c r="DM19" s="174"/>
      <c r="DN19" s="174"/>
      <c r="DO19" s="174"/>
      <c r="DP19" s="174"/>
      <c r="DQ19" s="174"/>
      <c r="DR19" s="118"/>
      <c r="DS19" s="177"/>
    </row>
    <row r="20" spans="2:123" ht="9.9499999999999993" customHeight="1">
      <c r="B20" s="1"/>
      <c r="C20" s="174"/>
      <c r="D20" s="174"/>
      <c r="E20" s="174"/>
      <c r="F20" s="1654" t="s">
        <v>153</v>
      </c>
      <c r="G20" s="1655"/>
      <c r="H20" s="1655"/>
      <c r="I20" s="1655"/>
      <c r="J20" s="1655"/>
      <c r="K20" s="1655"/>
      <c r="L20" s="1655"/>
      <c r="M20" s="1655"/>
      <c r="N20" s="1655"/>
      <c r="O20" s="1655"/>
      <c r="P20" s="1655"/>
      <c r="Q20" s="165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654" t="s">
        <v>153</v>
      </c>
      <c r="AU20" s="1655"/>
      <c r="AV20" s="1655"/>
      <c r="AW20" s="1655"/>
      <c r="AX20" s="1655"/>
      <c r="AY20" s="1655"/>
      <c r="AZ20" s="1655"/>
      <c r="BA20" s="1655"/>
      <c r="BB20" s="1655"/>
      <c r="BC20" s="1655"/>
      <c r="BD20" s="1655"/>
      <c r="BE20" s="1656"/>
      <c r="BF20" s="174"/>
      <c r="BG20" s="174"/>
      <c r="BH20" s="174"/>
      <c r="BI20" s="177"/>
      <c r="BK20" s="174"/>
      <c r="BL20" s="17"/>
      <c r="BM20" s="174"/>
      <c r="BN20" s="174"/>
      <c r="BO20" s="174"/>
      <c r="BP20" s="174"/>
      <c r="BQ20" s="174"/>
      <c r="BR20" s="174"/>
      <c r="BS20" s="174"/>
      <c r="BT20" s="174"/>
      <c r="BU20" s="1743"/>
      <c r="BV20" s="1743"/>
      <c r="BW20" s="1743"/>
      <c r="BX20" s="174"/>
      <c r="BY20" s="1743"/>
      <c r="BZ20" s="1743"/>
      <c r="CA20" s="1743"/>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23"/>
      <c r="DA20" s="123"/>
      <c r="DB20" s="174"/>
      <c r="DC20" s="1640"/>
      <c r="DD20" s="1641"/>
      <c r="DE20" s="1594"/>
      <c r="DF20" s="174"/>
      <c r="DG20" s="174"/>
      <c r="DH20" s="174"/>
      <c r="DI20" s="118"/>
      <c r="DJ20" s="174"/>
      <c r="DK20" s="174"/>
      <c r="DL20" s="174"/>
      <c r="DM20" s="174"/>
      <c r="DN20" s="174"/>
      <c r="DO20" s="174"/>
      <c r="DP20" s="174"/>
      <c r="DQ20" s="174"/>
      <c r="DR20" s="118"/>
      <c r="DS20" s="177"/>
    </row>
    <row r="21" spans="2:123" ht="9.9499999999999993" customHeight="1">
      <c r="B21" s="1"/>
      <c r="C21" s="174"/>
      <c r="D21" s="174"/>
      <c r="E21" s="174"/>
      <c r="F21" s="1657"/>
      <c r="G21" s="1658"/>
      <c r="H21" s="1658"/>
      <c r="I21" s="1658"/>
      <c r="J21" s="1658"/>
      <c r="K21" s="1658"/>
      <c r="L21" s="1658"/>
      <c r="M21" s="1658"/>
      <c r="N21" s="1658"/>
      <c r="O21" s="1658"/>
      <c r="P21" s="1658"/>
      <c r="Q21" s="1659"/>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657"/>
      <c r="AU21" s="1658"/>
      <c r="AV21" s="1658"/>
      <c r="AW21" s="1658"/>
      <c r="AX21" s="1658"/>
      <c r="AY21" s="1658"/>
      <c r="AZ21" s="1658"/>
      <c r="BA21" s="1658"/>
      <c r="BB21" s="1658"/>
      <c r="BC21" s="1658"/>
      <c r="BD21" s="1658"/>
      <c r="BE21" s="1659"/>
      <c r="BF21" s="174"/>
      <c r="BG21" s="174"/>
      <c r="BH21" s="174"/>
      <c r="BI21" s="177"/>
      <c r="BK21" s="174"/>
      <c r="BL21" s="17"/>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640"/>
      <c r="DD21" s="1641"/>
      <c r="DE21" s="1594"/>
      <c r="DF21" s="174"/>
      <c r="DG21" s="174"/>
      <c r="DH21" s="174"/>
      <c r="DI21" s="118"/>
      <c r="DJ21" s="174"/>
      <c r="DK21" s="174"/>
      <c r="DL21" s="174"/>
      <c r="DM21" s="174"/>
      <c r="DN21" s="174"/>
      <c r="DO21" s="174"/>
      <c r="DP21" s="174"/>
      <c r="DQ21" s="174"/>
      <c r="DR21" s="118"/>
      <c r="DS21" s="177"/>
    </row>
    <row r="22" spans="2:123" ht="9.9499999999999993" customHeight="1" thickBot="1">
      <c r="B22" s="1"/>
      <c r="C22" s="174"/>
      <c r="D22" s="174"/>
      <c r="E22" s="174"/>
      <c r="F22" s="1657"/>
      <c r="G22" s="1658"/>
      <c r="H22" s="1658"/>
      <c r="I22" s="1658"/>
      <c r="J22" s="1658"/>
      <c r="K22" s="1658"/>
      <c r="L22" s="1658"/>
      <c r="M22" s="1658"/>
      <c r="N22" s="1658"/>
      <c r="O22" s="1658"/>
      <c r="P22" s="1658"/>
      <c r="Q22" s="1659"/>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657"/>
      <c r="AU22" s="1658"/>
      <c r="AV22" s="1658"/>
      <c r="AW22" s="1658"/>
      <c r="AX22" s="1658"/>
      <c r="AY22" s="1658"/>
      <c r="AZ22" s="1658"/>
      <c r="BA22" s="1658"/>
      <c r="BB22" s="1658"/>
      <c r="BC22" s="1658"/>
      <c r="BD22" s="1658"/>
      <c r="BE22" s="1659"/>
      <c r="BF22" s="174"/>
      <c r="BG22" s="174"/>
      <c r="BH22" s="174"/>
      <c r="BI22" s="177"/>
      <c r="BK22" s="174"/>
      <c r="BL22" s="17"/>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14"/>
      <c r="CT22" s="114"/>
      <c r="CU22" s="174"/>
      <c r="CV22" s="174"/>
      <c r="CW22" s="174"/>
      <c r="CX22" s="174"/>
      <c r="CY22" s="174"/>
      <c r="CZ22" s="174"/>
      <c r="DA22" s="174"/>
      <c r="DB22" s="174"/>
      <c r="DC22" s="1640"/>
      <c r="DD22" s="1641"/>
      <c r="DE22" s="1594"/>
      <c r="DF22" s="174"/>
      <c r="DG22" s="174"/>
      <c r="DH22" s="174"/>
      <c r="DI22" s="118"/>
      <c r="DJ22" s="174"/>
      <c r="DK22" s="174"/>
      <c r="DL22" s="174"/>
      <c r="DM22" s="174"/>
      <c r="DN22" s="174"/>
      <c r="DO22" s="174"/>
      <c r="DP22" s="174"/>
      <c r="DQ22" s="174"/>
      <c r="DR22" s="118"/>
      <c r="DS22" s="177"/>
    </row>
    <row r="23" spans="2:123" ht="9.9499999999999993" customHeight="1" thickBot="1">
      <c r="B23" s="1"/>
      <c r="C23" s="174"/>
      <c r="D23" s="174"/>
      <c r="E23" s="174"/>
      <c r="F23" s="869" t="s">
        <v>74</v>
      </c>
      <c r="G23" s="870"/>
      <c r="H23" s="870"/>
      <c r="I23" s="870"/>
      <c r="J23" s="1447">
        <f>CD35</f>
        <v>2.1198327174583826</v>
      </c>
      <c r="K23" s="1448"/>
      <c r="L23" s="1448"/>
      <c r="M23" s="1448"/>
      <c r="N23" s="1451" t="s">
        <v>55</v>
      </c>
      <c r="O23" s="1451"/>
      <c r="P23" s="1451"/>
      <c r="Q23" s="1452"/>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869" t="s">
        <v>74</v>
      </c>
      <c r="AU23" s="870"/>
      <c r="AV23" s="870"/>
      <c r="AW23" s="870"/>
      <c r="AX23" s="1663">
        <f>CS25</f>
        <v>4.8655462806505776</v>
      </c>
      <c r="AY23" s="1664"/>
      <c r="AZ23" s="1664"/>
      <c r="BA23" s="1664"/>
      <c r="BB23" s="1665" t="s">
        <v>55</v>
      </c>
      <c r="BC23" s="1665"/>
      <c r="BD23" s="1665"/>
      <c r="BE23" s="1666"/>
      <c r="BF23" s="174"/>
      <c r="BG23" s="174"/>
      <c r="BH23" s="174"/>
      <c r="BI23" s="177"/>
      <c r="BK23" s="174"/>
      <c r="BL23" s="17"/>
      <c r="BM23" s="6"/>
      <c r="BN23" s="6"/>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642"/>
      <c r="DD23" s="1643"/>
      <c r="DE23" s="1595"/>
      <c r="DF23" s="174"/>
      <c r="DG23" s="174"/>
      <c r="DH23" s="174"/>
      <c r="DI23" s="118"/>
      <c r="DJ23" s="174"/>
      <c r="DK23" s="174"/>
      <c r="DL23" s="174"/>
      <c r="DM23" s="174"/>
      <c r="DN23" s="174"/>
      <c r="DO23" s="174"/>
      <c r="DP23" s="174"/>
      <c r="DQ23" s="174"/>
      <c r="DR23" s="118"/>
      <c r="DS23" s="177"/>
    </row>
    <row r="24" spans="2:123" ht="9.9499999999999993" customHeight="1" thickBot="1">
      <c r="B24" s="1"/>
      <c r="C24" s="174"/>
      <c r="D24" s="174"/>
      <c r="E24" s="174"/>
      <c r="F24" s="869"/>
      <c r="G24" s="870"/>
      <c r="H24" s="870"/>
      <c r="I24" s="870"/>
      <c r="J24" s="1667"/>
      <c r="K24" s="1448"/>
      <c r="L24" s="1448"/>
      <c r="M24" s="1448"/>
      <c r="N24" s="1451"/>
      <c r="O24" s="1451"/>
      <c r="P24" s="1451"/>
      <c r="Q24" s="1452"/>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1106"/>
      <c r="AU24" s="1094"/>
      <c r="AV24" s="1094"/>
      <c r="AW24" s="1094"/>
      <c r="AX24" s="1449"/>
      <c r="AY24" s="1450"/>
      <c r="AZ24" s="1450"/>
      <c r="BA24" s="1450"/>
      <c r="BB24" s="1453"/>
      <c r="BC24" s="1453"/>
      <c r="BD24" s="1453"/>
      <c r="BE24" s="1454"/>
      <c r="BF24" s="55">
        <f>+IF(AX23&gt;1,1,0)</f>
        <v>1</v>
      </c>
      <c r="BG24" s="174"/>
      <c r="BH24" s="174"/>
      <c r="BI24" s="177"/>
      <c r="BK24" s="174"/>
      <c r="BL24" s="1"/>
      <c r="BM24" s="174"/>
      <c r="BN24" s="174"/>
      <c r="BO24" s="174"/>
      <c r="BP24" s="174"/>
      <c r="BQ24" s="174"/>
      <c r="BR24" s="1647" t="s">
        <v>150</v>
      </c>
      <c r="BS24" s="1648"/>
      <c r="BT24" s="1648"/>
      <c r="BU24" s="1648"/>
      <c r="BV24" s="1648"/>
      <c r="BW24" s="1648"/>
      <c r="BX24" s="1648"/>
      <c r="BY24" s="1649"/>
      <c r="BZ24" s="112"/>
      <c r="CA24" s="1051"/>
      <c r="CB24" s="1052"/>
      <c r="CC24" s="1057"/>
      <c r="CD24" s="1051"/>
      <c r="CE24" s="1052"/>
      <c r="CF24" s="1057"/>
      <c r="CG24" s="169"/>
      <c r="CH24" s="1647" t="s">
        <v>136</v>
      </c>
      <c r="CI24" s="1648"/>
      <c r="CJ24" s="1648"/>
      <c r="CK24" s="1648"/>
      <c r="CL24" s="1648"/>
      <c r="CM24" s="1648"/>
      <c r="CN24" s="1648"/>
      <c r="CO24" s="1649"/>
      <c r="CP24" s="174"/>
      <c r="CQ24" s="174"/>
      <c r="CR24" s="174"/>
      <c r="CS24" s="174"/>
      <c r="CT24" s="174"/>
      <c r="CU24" s="174"/>
      <c r="CV24" s="174"/>
      <c r="CW24" s="174"/>
      <c r="CX24" s="174"/>
      <c r="CY24" s="174"/>
      <c r="CZ24" s="174"/>
      <c r="DA24" s="174"/>
      <c r="DB24" s="174"/>
      <c r="DC24" s="174"/>
      <c r="DD24" s="174"/>
      <c r="DE24" s="170"/>
      <c r="DF24" s="174"/>
      <c r="DG24" s="174"/>
      <c r="DH24" s="174"/>
      <c r="DI24" s="174"/>
      <c r="DJ24" s="174"/>
      <c r="DK24" s="174"/>
      <c r="DL24" s="174"/>
      <c r="DM24" s="174"/>
      <c r="DN24" s="174"/>
      <c r="DO24" s="174"/>
      <c r="DP24" s="174"/>
      <c r="DQ24" s="174"/>
      <c r="DR24" s="118"/>
      <c r="DS24" s="177"/>
    </row>
    <row r="25" spans="2:123" ht="9.9499999999999993" customHeight="1" thickBot="1">
      <c r="B25" s="1"/>
      <c r="C25" s="174"/>
      <c r="D25" s="174"/>
      <c r="E25" s="6"/>
      <c r="F25" s="869" t="s">
        <v>75</v>
      </c>
      <c r="G25" s="870"/>
      <c r="H25" s="870"/>
      <c r="I25" s="870"/>
      <c r="J25" s="1447">
        <f>CA35</f>
        <v>1.1527237663142726</v>
      </c>
      <c r="K25" s="1448"/>
      <c r="L25" s="1448"/>
      <c r="M25" s="1448"/>
      <c r="N25" s="1451" t="s">
        <v>55</v>
      </c>
      <c r="O25" s="1451"/>
      <c r="P25" s="1451"/>
      <c r="Q25" s="1452"/>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74"/>
      <c r="AU25" s="39"/>
      <c r="AV25" s="174"/>
      <c r="AW25" s="174"/>
      <c r="AX25" s="174"/>
      <c r="AY25" s="174"/>
      <c r="AZ25" s="174"/>
      <c r="BA25" s="174"/>
      <c r="BB25" s="174"/>
      <c r="BC25" s="174"/>
      <c r="BD25" s="174"/>
      <c r="BE25" s="174"/>
      <c r="BF25" s="174"/>
      <c r="BG25" s="174"/>
      <c r="BH25" s="174"/>
      <c r="BI25" s="177"/>
      <c r="BK25" s="174"/>
      <c r="BL25" s="1"/>
      <c r="BM25" s="174"/>
      <c r="BN25" s="174"/>
      <c r="BO25" s="6"/>
      <c r="BP25" s="174"/>
      <c r="BQ25" s="174"/>
      <c r="BR25" s="815">
        <v>1</v>
      </c>
      <c r="BS25" s="816"/>
      <c r="BT25" s="816"/>
      <c r="BU25" s="1495"/>
      <c r="BV25" s="1350">
        <f>$DE$7*EXP(-$DL$7*CH25)</f>
        <v>627.64386502876062</v>
      </c>
      <c r="BW25" s="1350"/>
      <c r="BX25" s="1350"/>
      <c r="BY25" s="1584"/>
      <c r="BZ25" s="39"/>
      <c r="CA25" s="1053"/>
      <c r="CB25" s="1054"/>
      <c r="CC25" s="1058"/>
      <c r="CD25" s="1053"/>
      <c r="CE25" s="1054"/>
      <c r="CF25" s="1058"/>
      <c r="CG25" s="174"/>
      <c r="CH25" s="1617">
        <f>CZ59+DI35+DI32+DI29+BV40</f>
        <v>588</v>
      </c>
      <c r="CI25" s="1618"/>
      <c r="CJ25" s="1618"/>
      <c r="CK25" s="1619"/>
      <c r="CL25" s="237"/>
      <c r="CM25" s="237"/>
      <c r="CN25" s="237"/>
      <c r="CO25" s="314"/>
      <c r="CP25" s="174"/>
      <c r="CQ25" s="1608">
        <v>1</v>
      </c>
      <c r="CR25" s="1609"/>
      <c r="CS25" s="1419">
        <f>CZ25/DC15</f>
        <v>4.8655462806505776</v>
      </c>
      <c r="CT25" s="1420"/>
      <c r="CU25" s="1357" t="s">
        <v>135</v>
      </c>
      <c r="CV25" s="1357"/>
      <c r="CW25" s="1357"/>
      <c r="CX25" s="1357"/>
      <c r="CY25" s="1425"/>
      <c r="CZ25" s="1744">
        <f>DI32+DI29+DI26+DI35</f>
        <v>1213</v>
      </c>
      <c r="DA25" s="1432" t="s">
        <v>99</v>
      </c>
      <c r="DB25" s="1075"/>
      <c r="DC25" s="1075"/>
      <c r="DD25" s="1075"/>
      <c r="DE25" s="1076"/>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6"/>
      <c r="F26" s="1106"/>
      <c r="G26" s="1094"/>
      <c r="H26" s="1094"/>
      <c r="I26" s="1094"/>
      <c r="J26" s="1449"/>
      <c r="K26" s="1450"/>
      <c r="L26" s="1450"/>
      <c r="M26" s="1450"/>
      <c r="N26" s="1453"/>
      <c r="O26" s="1453"/>
      <c r="P26" s="1453"/>
      <c r="Q26" s="1454"/>
      <c r="R26" s="55">
        <f>+IF(OR(J23&gt;1,J25&gt;1),1,0)</f>
        <v>1</v>
      </c>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74"/>
      <c r="AU26" s="39"/>
      <c r="AV26" s="6"/>
      <c r="AW26" s="6"/>
      <c r="AX26" s="6"/>
      <c r="AY26" s="6"/>
      <c r="AZ26" s="39"/>
      <c r="BA26" s="39"/>
      <c r="BB26" s="39"/>
      <c r="BC26" s="39"/>
      <c r="BD26" s="39"/>
      <c r="BE26" s="39"/>
      <c r="BF26" s="39"/>
      <c r="BG26" s="39"/>
      <c r="BH26" s="174"/>
      <c r="BI26" s="177"/>
      <c r="BK26" s="174"/>
      <c r="BL26" s="1"/>
      <c r="BM26" s="174"/>
      <c r="BN26" s="174"/>
      <c r="BO26" s="174"/>
      <c r="BP26" s="174"/>
      <c r="BQ26" s="174"/>
      <c r="BR26" s="792"/>
      <c r="BS26" s="793"/>
      <c r="BT26" s="793"/>
      <c r="BU26" s="1575"/>
      <c r="BV26" s="1350"/>
      <c r="BW26" s="1350"/>
      <c r="BX26" s="1350"/>
      <c r="BY26" s="1584"/>
      <c r="BZ26" s="174"/>
      <c r="CA26" s="1053"/>
      <c r="CB26" s="1054"/>
      <c r="CC26" s="1058"/>
      <c r="CD26" s="1053"/>
      <c r="CE26" s="1054"/>
      <c r="CF26" s="1058"/>
      <c r="CG26" s="174"/>
      <c r="CH26" s="1515"/>
      <c r="CI26" s="1516"/>
      <c r="CJ26" s="1516"/>
      <c r="CK26" s="1517"/>
      <c r="CL26" s="1518"/>
      <c r="CM26" s="1518"/>
      <c r="CN26" s="1518"/>
      <c r="CO26" s="1519"/>
      <c r="CP26" s="174"/>
      <c r="CQ26" s="1610"/>
      <c r="CR26" s="1611"/>
      <c r="CS26" s="1421"/>
      <c r="CT26" s="1422"/>
      <c r="CU26" s="1357"/>
      <c r="CV26" s="1357"/>
      <c r="CW26" s="1357"/>
      <c r="CX26" s="1357"/>
      <c r="CY26" s="1425"/>
      <c r="CZ26" s="1745"/>
      <c r="DA26" s="1433"/>
      <c r="DB26" s="870"/>
      <c r="DC26" s="870"/>
      <c r="DD26" s="870"/>
      <c r="DE26" s="871"/>
      <c r="DF26" s="174"/>
      <c r="DG26" s="174"/>
      <c r="DH26" s="174"/>
      <c r="DI26" s="1417">
        <f>WBR_Master</f>
        <v>625</v>
      </c>
      <c r="DJ26" s="1418" t="s">
        <v>99</v>
      </c>
      <c r="DK26" s="1075"/>
      <c r="DL26" s="1075"/>
      <c r="DM26" s="1075"/>
      <c r="DN26" s="1076"/>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6"/>
      <c r="AW27" s="6"/>
      <c r="AX27" s="6"/>
      <c r="AY27" s="6"/>
      <c r="AZ27" s="39"/>
      <c r="BA27" s="39"/>
      <c r="BB27" s="39"/>
      <c r="BC27" s="39"/>
      <c r="BD27" s="39"/>
      <c r="BE27" s="39"/>
      <c r="BF27" s="39"/>
      <c r="BG27" s="39"/>
      <c r="BH27" s="174"/>
      <c r="BI27" s="177"/>
      <c r="BK27" s="174"/>
      <c r="BL27" s="1"/>
      <c r="BM27" s="174"/>
      <c r="BN27" s="174"/>
      <c r="BO27" s="174"/>
      <c r="BP27" s="174"/>
      <c r="BQ27" s="174"/>
      <c r="BR27" s="815">
        <v>2</v>
      </c>
      <c r="BS27" s="816"/>
      <c r="BT27" s="816"/>
      <c r="BU27" s="1495"/>
      <c r="BV27" s="1350">
        <f>$DE$9*EXP(-$DL$9*CH25)</f>
        <v>627.64386502876062</v>
      </c>
      <c r="BW27" s="1350"/>
      <c r="BX27" s="1350"/>
      <c r="BY27" s="1584"/>
      <c r="BZ27" s="174"/>
      <c r="CA27" s="1053"/>
      <c r="CB27" s="1054"/>
      <c r="CC27" s="1058"/>
      <c r="CD27" s="1053"/>
      <c r="CE27" s="1054"/>
      <c r="CF27" s="1058"/>
      <c r="CG27" s="174"/>
      <c r="CH27" s="174"/>
      <c r="CI27" s="174"/>
      <c r="CJ27" s="174"/>
      <c r="CK27" s="174"/>
      <c r="CL27" s="174"/>
      <c r="CM27" s="174"/>
      <c r="CN27" s="174"/>
      <c r="CO27" s="174"/>
      <c r="CP27" s="174"/>
      <c r="CQ27" s="1612"/>
      <c r="CR27" s="1613"/>
      <c r="CS27" s="1423"/>
      <c r="CT27" s="1424"/>
      <c r="CU27" s="1357"/>
      <c r="CV27" s="1357"/>
      <c r="CW27" s="1357"/>
      <c r="CX27" s="1357"/>
      <c r="CY27" s="1425"/>
      <c r="CZ27" s="1746"/>
      <c r="DA27" s="1434"/>
      <c r="DB27" s="1094"/>
      <c r="DC27" s="1094"/>
      <c r="DD27" s="1094"/>
      <c r="DE27" s="1095"/>
      <c r="DF27" s="174"/>
      <c r="DG27" s="174"/>
      <c r="DH27" s="174"/>
      <c r="DI27" s="1316"/>
      <c r="DJ27" s="1396"/>
      <c r="DK27" s="870"/>
      <c r="DL27" s="870"/>
      <c r="DM27" s="870"/>
      <c r="DN27" s="871"/>
      <c r="DO27" s="174"/>
      <c r="DP27" s="174"/>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824"/>
      <c r="BS28" s="825"/>
      <c r="BT28" s="825"/>
      <c r="BU28" s="1496"/>
      <c r="BV28" s="1352"/>
      <c r="BW28" s="1352"/>
      <c r="BX28" s="1352"/>
      <c r="BY28" s="1616"/>
      <c r="BZ28" s="174"/>
      <c r="CA28" s="1375" t="s">
        <v>99</v>
      </c>
      <c r="CB28" s="1376"/>
      <c r="CC28" s="1377"/>
      <c r="CD28" s="1375" t="s">
        <v>99</v>
      </c>
      <c r="CE28" s="1376"/>
      <c r="CF28" s="1377"/>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42"/>
      <c r="DF28" s="174"/>
      <c r="DG28" s="174"/>
      <c r="DH28" s="174"/>
      <c r="DI28" s="1316"/>
      <c r="DJ28" s="1396"/>
      <c r="DK28" s="870"/>
      <c r="DL28" s="870"/>
      <c r="DM28" s="870"/>
      <c r="DN28" s="871"/>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624">
        <f>BU19+BR16</f>
        <v>723.5</v>
      </c>
      <c r="CB29" s="1625"/>
      <c r="CC29" s="1626"/>
      <c r="CD29" s="1624">
        <f>BY19+CB16</f>
        <v>1330.5</v>
      </c>
      <c r="CE29" s="1625"/>
      <c r="CF29" s="1626"/>
      <c r="CG29" s="174"/>
      <c r="CH29" s="174"/>
      <c r="CI29" s="174"/>
      <c r="CJ29" s="174"/>
      <c r="CK29" s="174"/>
      <c r="CL29" s="174"/>
      <c r="CM29" s="174"/>
      <c r="CN29" s="174"/>
      <c r="CO29" s="174"/>
      <c r="CP29" s="174"/>
      <c r="CQ29" s="174"/>
      <c r="CR29" s="174"/>
      <c r="CS29" s="174"/>
      <c r="CT29" s="174"/>
      <c r="CU29" s="174"/>
      <c r="CV29" s="174"/>
      <c r="CW29" s="174"/>
      <c r="CX29" s="174"/>
      <c r="CY29" s="174"/>
      <c r="CZ29" s="174"/>
      <c r="DA29" s="1620"/>
      <c r="DB29" s="1621"/>
      <c r="DC29" s="1621"/>
      <c r="DD29" s="1621"/>
      <c r="DE29" s="1593" t="s">
        <v>136</v>
      </c>
      <c r="DF29" s="174"/>
      <c r="DG29" s="174"/>
      <c r="DH29" s="174"/>
      <c r="DI29" s="1316">
        <f>WBT_Master</f>
        <v>0</v>
      </c>
      <c r="DJ29" s="1396" t="s">
        <v>99</v>
      </c>
      <c r="DK29" s="870"/>
      <c r="DL29" s="870"/>
      <c r="DM29" s="870"/>
      <c r="DN29" s="871"/>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438" t="s">
        <v>135</v>
      </c>
      <c r="CB30" s="1438"/>
      <c r="CC30" s="1438"/>
      <c r="CD30" s="1438" t="s">
        <v>135</v>
      </c>
      <c r="CE30" s="1438"/>
      <c r="CF30" s="1438"/>
      <c r="CG30" s="174"/>
      <c r="CH30" s="174"/>
      <c r="CI30" s="174"/>
      <c r="CJ30" s="174"/>
      <c r="CK30" s="174"/>
      <c r="CL30" s="174"/>
      <c r="CM30" s="174"/>
      <c r="CN30" s="174"/>
      <c r="CO30" s="174"/>
      <c r="CP30" s="174"/>
      <c r="CQ30" s="174"/>
      <c r="CR30" s="174"/>
      <c r="CS30" s="174"/>
      <c r="CT30" s="174"/>
      <c r="CU30" s="174"/>
      <c r="CV30" s="174"/>
      <c r="CW30" s="174"/>
      <c r="CX30" s="174"/>
      <c r="CY30" s="174"/>
      <c r="CZ30" s="174"/>
      <c r="DA30" s="1622"/>
      <c r="DB30" s="222"/>
      <c r="DC30" s="222"/>
      <c r="DD30" s="222"/>
      <c r="DE30" s="1594"/>
      <c r="DF30" s="174"/>
      <c r="DG30" s="174"/>
      <c r="DH30" s="174"/>
      <c r="DI30" s="1316"/>
      <c r="DJ30" s="1396"/>
      <c r="DK30" s="870"/>
      <c r="DL30" s="870"/>
      <c r="DM30" s="870"/>
      <c r="DN30" s="871"/>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74"/>
      <c r="AW31" s="174"/>
      <c r="AX31" s="174"/>
      <c r="AY31" s="174"/>
      <c r="AZ31" s="174"/>
      <c r="BA31" s="174"/>
      <c r="BB31" s="174"/>
      <c r="BC31" s="174"/>
      <c r="BD31" s="174"/>
      <c r="BE31" s="174"/>
      <c r="BF31" s="174"/>
      <c r="BG31" s="174"/>
      <c r="BH31" s="174"/>
      <c r="BI31" s="177"/>
      <c r="BK31" s="174"/>
      <c r="BL31" s="1"/>
      <c r="BM31" s="174"/>
      <c r="BN31" s="174"/>
      <c r="BO31" s="174"/>
      <c r="BP31" s="174"/>
      <c r="BQ31" s="174"/>
      <c r="BR31" s="174"/>
      <c r="BS31" s="174"/>
      <c r="BT31" s="174"/>
      <c r="BU31" s="174"/>
      <c r="BV31" s="174"/>
      <c r="BW31" s="174"/>
      <c r="BX31" s="174"/>
      <c r="BY31" s="174"/>
      <c r="BZ31" s="174"/>
      <c r="CA31" s="1439"/>
      <c r="CB31" s="1439"/>
      <c r="CC31" s="1439"/>
      <c r="CD31" s="1439"/>
      <c r="CE31" s="1439"/>
      <c r="CF31" s="1439"/>
      <c r="CG31" s="174"/>
      <c r="CH31" s="174"/>
      <c r="CI31" s="174"/>
      <c r="CJ31" s="174"/>
      <c r="CK31" s="174"/>
      <c r="CL31" s="174"/>
      <c r="CM31" s="174"/>
      <c r="CN31" s="174"/>
      <c r="CO31" s="174"/>
      <c r="CP31" s="174"/>
      <c r="CQ31" s="174"/>
      <c r="CR31" s="174"/>
      <c r="CS31" s="174"/>
      <c r="CT31" s="174"/>
      <c r="CU31" s="174"/>
      <c r="CV31" s="174"/>
      <c r="CW31" s="174"/>
      <c r="CX31" s="174"/>
      <c r="CY31" s="174"/>
      <c r="CZ31" s="174"/>
      <c r="DA31" s="1622"/>
      <c r="DB31" s="222"/>
      <c r="DC31" s="222"/>
      <c r="DD31" s="222"/>
      <c r="DE31" s="1594"/>
      <c r="DF31" s="174"/>
      <c r="DG31" s="174"/>
      <c r="DH31" s="174"/>
      <c r="DI31" s="1316"/>
      <c r="DJ31" s="1396"/>
      <c r="DK31" s="870"/>
      <c r="DL31" s="870"/>
      <c r="DM31" s="870"/>
      <c r="DN31" s="871"/>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74"/>
      <c r="AW32" s="174"/>
      <c r="AX32" s="174"/>
      <c r="AY32" s="174"/>
      <c r="AZ32" s="174"/>
      <c r="BA32" s="174"/>
      <c r="BB32" s="174"/>
      <c r="BC32" s="174"/>
      <c r="BD32" s="174"/>
      <c r="BE32" s="174"/>
      <c r="BF32" s="174"/>
      <c r="BG32" s="174"/>
      <c r="BH32" s="174"/>
      <c r="BI32" s="177"/>
      <c r="BK32" s="174"/>
      <c r="BL32" s="1"/>
      <c r="BM32" s="174"/>
      <c r="BN32" s="174"/>
      <c r="BO32" s="174"/>
      <c r="BP32" s="174"/>
      <c r="BQ32" s="174"/>
      <c r="BR32" s="174"/>
      <c r="BS32" s="174"/>
      <c r="BT32" s="174"/>
      <c r="BU32" s="174"/>
      <c r="BV32" s="174"/>
      <c r="BW32" s="174"/>
      <c r="BX32" s="174"/>
      <c r="BY32" s="174"/>
      <c r="BZ32" s="174"/>
      <c r="CA32" s="1439"/>
      <c r="CB32" s="1439"/>
      <c r="CC32" s="1439"/>
      <c r="CD32" s="1439"/>
      <c r="CE32" s="1439"/>
      <c r="CF32" s="1439"/>
      <c r="CG32" s="174"/>
      <c r="CH32" s="174"/>
      <c r="CI32" s="174"/>
      <c r="CJ32" s="174"/>
      <c r="CK32" s="174"/>
      <c r="CL32" s="174"/>
      <c r="CM32" s="174"/>
      <c r="CN32" s="174"/>
      <c r="CO32" s="174"/>
      <c r="CP32" s="174"/>
      <c r="CQ32" s="174"/>
      <c r="CR32" s="174"/>
      <c r="CS32" s="174"/>
      <c r="CT32" s="174"/>
      <c r="CU32" s="174"/>
      <c r="CV32" s="174"/>
      <c r="CW32" s="141"/>
      <c r="CX32" s="174"/>
      <c r="CY32" s="174"/>
      <c r="CZ32" s="174"/>
      <c r="DA32" s="1622"/>
      <c r="DB32" s="222"/>
      <c r="DC32" s="222"/>
      <c r="DD32" s="222"/>
      <c r="DE32" s="1594"/>
      <c r="DF32" s="174"/>
      <c r="DG32" s="174"/>
      <c r="DH32" s="174"/>
      <c r="DI32" s="1316">
        <f>WBL_Master</f>
        <v>588</v>
      </c>
      <c r="DJ32" s="1396" t="s">
        <v>99</v>
      </c>
      <c r="DK32" s="870"/>
      <c r="DL32" s="870"/>
      <c r="DM32" s="870"/>
      <c r="DN32" s="871"/>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439"/>
      <c r="CB33" s="1439"/>
      <c r="CC33" s="1439"/>
      <c r="CD33" s="1439"/>
      <c r="CE33" s="1439"/>
      <c r="CF33" s="1439"/>
      <c r="CG33" s="174"/>
      <c r="CH33" s="174"/>
      <c r="CI33" s="174"/>
      <c r="CJ33" s="174"/>
      <c r="CK33" s="174"/>
      <c r="CL33" s="174"/>
      <c r="CM33" s="174"/>
      <c r="CN33" s="174"/>
      <c r="CO33" s="174"/>
      <c r="CP33" s="174"/>
      <c r="CQ33" s="174"/>
      <c r="CR33" s="174"/>
      <c r="CS33" s="174"/>
      <c r="CT33" s="174"/>
      <c r="CU33" s="174"/>
      <c r="CV33" s="174"/>
      <c r="CW33" s="174"/>
      <c r="CX33" s="174"/>
      <c r="CY33" s="174"/>
      <c r="CZ33" s="174"/>
      <c r="DA33" s="1576">
        <f>DC57+CZ59+BV40</f>
        <v>630</v>
      </c>
      <c r="DB33" s="1577"/>
      <c r="DC33" s="1740">
        <f>DG57+BV43+CP16</f>
        <v>1529</v>
      </c>
      <c r="DD33" s="1577"/>
      <c r="DE33" s="1594"/>
      <c r="DF33" s="174"/>
      <c r="DG33" s="174"/>
      <c r="DH33" s="174"/>
      <c r="DI33" s="1316"/>
      <c r="DJ33" s="1396"/>
      <c r="DK33" s="870"/>
      <c r="DL33" s="870"/>
      <c r="DM33" s="870"/>
      <c r="DN33" s="871"/>
      <c r="DO33" s="174"/>
      <c r="DP33" s="174"/>
      <c r="DQ33" s="174"/>
      <c r="DR33" s="174"/>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440"/>
      <c r="CB34" s="1440"/>
      <c r="CC34" s="1440"/>
      <c r="CD34" s="1440"/>
      <c r="CE34" s="1440"/>
      <c r="CF34" s="1440"/>
      <c r="CG34" s="174"/>
      <c r="CH34" s="174"/>
      <c r="CI34" s="174"/>
      <c r="CJ34" s="174"/>
      <c r="CK34" s="174"/>
      <c r="CL34" s="174"/>
      <c r="CM34" s="174"/>
      <c r="CN34" s="174"/>
      <c r="CO34" s="174"/>
      <c r="CP34" s="174"/>
      <c r="CQ34" s="174"/>
      <c r="CR34" s="174"/>
      <c r="CS34" s="174"/>
      <c r="CT34" s="174"/>
      <c r="CU34" s="174"/>
      <c r="CV34" s="174"/>
      <c r="CW34" s="174"/>
      <c r="CX34" s="174"/>
      <c r="CY34" s="174"/>
      <c r="CZ34" s="174"/>
      <c r="DA34" s="1578"/>
      <c r="DB34" s="1579"/>
      <c r="DC34" s="1741"/>
      <c r="DD34" s="1579"/>
      <c r="DE34" s="1594"/>
      <c r="DF34" s="174"/>
      <c r="DG34" s="174"/>
      <c r="DH34" s="174"/>
      <c r="DI34" s="1316"/>
      <c r="DJ34" s="1396"/>
      <c r="DK34" s="870"/>
      <c r="DL34" s="870"/>
      <c r="DM34" s="870"/>
      <c r="DN34" s="871"/>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498">
        <f>CA29/BV27</f>
        <v>1.1527237663142726</v>
      </c>
      <c r="CB35" s="1499"/>
      <c r="CC35" s="1720"/>
      <c r="CD35" s="1498">
        <f>CD29/BV25</f>
        <v>2.1198327174583826</v>
      </c>
      <c r="CE35" s="1499"/>
      <c r="CF35" s="1500"/>
      <c r="CG35" s="174"/>
      <c r="CH35" s="174"/>
      <c r="CI35" s="174"/>
      <c r="CJ35" s="174"/>
      <c r="CK35" s="174"/>
      <c r="CL35" s="174"/>
      <c r="CM35" s="174"/>
      <c r="CN35" s="174"/>
      <c r="CO35" s="174"/>
      <c r="CP35" s="174"/>
      <c r="CQ35" s="174"/>
      <c r="CR35" s="174"/>
      <c r="CS35" s="174"/>
      <c r="CT35" s="174"/>
      <c r="CU35" s="174"/>
      <c r="CV35" s="174"/>
      <c r="CW35" s="174"/>
      <c r="CX35" s="174"/>
      <c r="CY35" s="174"/>
      <c r="CZ35" s="174"/>
      <c r="DA35" s="1578"/>
      <c r="DB35" s="1579"/>
      <c r="DC35" s="1741"/>
      <c r="DD35" s="1579"/>
      <c r="DE35" s="1594"/>
      <c r="DF35" s="174"/>
      <c r="DG35" s="174"/>
      <c r="DH35" s="174"/>
      <c r="DI35" s="1316">
        <f>WBU_Master</f>
        <v>0</v>
      </c>
      <c r="DJ35" s="1396" t="s">
        <v>99</v>
      </c>
      <c r="DK35" s="870"/>
      <c r="DL35" s="870"/>
      <c r="DM35" s="870"/>
      <c r="DN35" s="871"/>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501"/>
      <c r="CB36" s="1502"/>
      <c r="CC36" s="1721"/>
      <c r="CD36" s="1501"/>
      <c r="CE36" s="1502"/>
      <c r="CF36" s="1503"/>
      <c r="CG36" s="174"/>
      <c r="CH36" s="174"/>
      <c r="CI36" s="174"/>
      <c r="CJ36" s="174"/>
      <c r="CK36" s="174"/>
      <c r="CL36" s="174"/>
      <c r="CM36" s="174"/>
      <c r="CN36" s="174"/>
      <c r="CO36" s="174"/>
      <c r="CP36" s="174"/>
      <c r="CQ36" s="174"/>
      <c r="CR36" s="174"/>
      <c r="CS36" s="174"/>
      <c r="CT36" s="174"/>
      <c r="CU36" s="174"/>
      <c r="CV36" s="174"/>
      <c r="CW36" s="174"/>
      <c r="CX36" s="174"/>
      <c r="CY36" s="174"/>
      <c r="CZ36" s="174"/>
      <c r="DA36" s="1578"/>
      <c r="DB36" s="1579"/>
      <c r="DC36" s="1741"/>
      <c r="DD36" s="1579"/>
      <c r="DE36" s="1594"/>
      <c r="DF36" s="174"/>
      <c r="DG36" s="174"/>
      <c r="DH36" s="174"/>
      <c r="DI36" s="1316"/>
      <c r="DJ36" s="1396"/>
      <c r="DK36" s="870"/>
      <c r="DL36" s="870"/>
      <c r="DM36" s="870"/>
      <c r="DN36" s="871"/>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591">
        <v>2</v>
      </c>
      <c r="CB37" s="1541"/>
      <c r="CC37" s="1542"/>
      <c r="CD37" s="1591">
        <v>1</v>
      </c>
      <c r="CE37" s="1541"/>
      <c r="CF37" s="1592"/>
      <c r="CG37" s="174"/>
      <c r="CH37" s="174"/>
      <c r="CI37" s="174"/>
      <c r="CJ37" s="174"/>
      <c r="CK37" s="174"/>
      <c r="CL37" s="174"/>
      <c r="CM37" s="174"/>
      <c r="CN37" s="174"/>
      <c r="CO37" s="174"/>
      <c r="CP37" s="174"/>
      <c r="CQ37" s="174"/>
      <c r="CR37" s="174"/>
      <c r="CS37" s="174"/>
      <c r="CT37" s="174"/>
      <c r="CU37" s="174"/>
      <c r="CV37" s="174"/>
      <c r="CW37" s="174"/>
      <c r="CX37" s="174"/>
      <c r="CY37" s="174"/>
      <c r="CZ37" s="174"/>
      <c r="DA37" s="1580"/>
      <c r="DB37" s="1581"/>
      <c r="DC37" s="1742"/>
      <c r="DD37" s="1581"/>
      <c r="DE37" s="1595"/>
      <c r="DF37" s="12"/>
      <c r="DG37" s="168"/>
      <c r="DH37" s="171"/>
      <c r="DI37" s="1317"/>
      <c r="DJ37" s="1397"/>
      <c r="DK37" s="1094"/>
      <c r="DL37" s="1094"/>
      <c r="DM37" s="1094"/>
      <c r="DN37" s="1095"/>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106"/>
      <c r="CB38" s="1094"/>
      <c r="CC38" s="1107"/>
      <c r="CD38" s="1106"/>
      <c r="CE38" s="1094"/>
      <c r="CF38" s="1095"/>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084">
        <v>1</v>
      </c>
      <c r="CZ39" s="1075"/>
      <c r="DA39" s="1085"/>
      <c r="DB39" s="1084">
        <v>2</v>
      </c>
      <c r="DC39" s="1075"/>
      <c r="DD39" s="1076"/>
      <c r="DE39" s="174"/>
      <c r="DF39" s="174"/>
      <c r="DG39" s="174"/>
      <c r="DH39" s="174"/>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74"/>
      <c r="BQ40" s="1084"/>
      <c r="BR40" s="1075"/>
      <c r="BS40" s="1075"/>
      <c r="BT40" s="1075"/>
      <c r="BU40" s="1406" t="s">
        <v>99</v>
      </c>
      <c r="BV40" s="1341">
        <f>EBU_Master</f>
        <v>0</v>
      </c>
      <c r="BW40" s="13"/>
      <c r="BX40" s="169"/>
      <c r="BY40" s="170"/>
      <c r="BZ40" s="1520" t="s">
        <v>136</v>
      </c>
      <c r="CA40" s="1523">
        <f>BU19+DI32+CM61</f>
        <v>1311.5</v>
      </c>
      <c r="CB40" s="1737"/>
      <c r="CC40" s="1523">
        <f>BY19+CB16+DI35</f>
        <v>1330.5</v>
      </c>
      <c r="CD40" s="1524"/>
      <c r="CE40" s="174"/>
      <c r="CF40" s="174"/>
      <c r="CG40" s="174"/>
      <c r="CH40" s="174"/>
      <c r="CI40" s="174"/>
      <c r="CJ40" s="174"/>
      <c r="CK40" s="174"/>
      <c r="CL40" s="174"/>
      <c r="CM40" s="174"/>
      <c r="CN40" s="174"/>
      <c r="CO40" s="174"/>
      <c r="CP40" s="174"/>
      <c r="CQ40" s="174"/>
      <c r="CR40" s="174"/>
      <c r="CS40" s="174"/>
      <c r="CT40" s="174"/>
      <c r="CU40" s="174"/>
      <c r="CV40" s="174"/>
      <c r="CW40" s="174"/>
      <c r="CX40" s="174"/>
      <c r="CY40" s="1596"/>
      <c r="CZ40" s="1597"/>
      <c r="DA40" s="1695"/>
      <c r="DB40" s="1596"/>
      <c r="DC40" s="1597"/>
      <c r="DD40" s="1598"/>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174"/>
      <c r="BN41" s="174"/>
      <c r="BO41" s="174"/>
      <c r="BP41" s="174"/>
      <c r="BQ41" s="869"/>
      <c r="BR41" s="870"/>
      <c r="BS41" s="870"/>
      <c r="BT41" s="870"/>
      <c r="BU41" s="1387"/>
      <c r="BV41" s="1342"/>
      <c r="BW41" s="174"/>
      <c r="BX41" s="174"/>
      <c r="BY41" s="174"/>
      <c r="BZ41" s="1521"/>
      <c r="CA41" s="1525"/>
      <c r="CB41" s="1738"/>
      <c r="CC41" s="1525"/>
      <c r="CD41" s="1526"/>
      <c r="CE41" s="174"/>
      <c r="CF41" s="174"/>
      <c r="CG41" s="174"/>
      <c r="CH41" s="174"/>
      <c r="CI41" s="174"/>
      <c r="CJ41" s="174"/>
      <c r="CK41" s="174"/>
      <c r="CL41" s="174"/>
      <c r="CM41" s="174"/>
      <c r="CN41" s="174"/>
      <c r="CO41" s="174"/>
      <c r="CP41" s="174"/>
      <c r="CQ41" s="174"/>
      <c r="CR41" s="174"/>
      <c r="CS41" s="174"/>
      <c r="CT41" s="174"/>
      <c r="CU41" s="174"/>
      <c r="CV41" s="174"/>
      <c r="CW41" s="174"/>
      <c r="CX41" s="174"/>
      <c r="CY41" s="1498">
        <f>CY48/DJ49</f>
        <v>2.513677719602013</v>
      </c>
      <c r="CZ41" s="1499"/>
      <c r="DA41" s="1720"/>
      <c r="DB41" s="1498">
        <f>DB48/DJ51</f>
        <v>6.7430402319482576</v>
      </c>
      <c r="DC41" s="1499"/>
      <c r="DD41" s="1500"/>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174"/>
      <c r="BQ42" s="869"/>
      <c r="BR42" s="870"/>
      <c r="BS42" s="870"/>
      <c r="BT42" s="870"/>
      <c r="BU42" s="1387"/>
      <c r="BV42" s="1342"/>
      <c r="BW42" s="174"/>
      <c r="BX42" s="174"/>
      <c r="BY42" s="174"/>
      <c r="BZ42" s="1521"/>
      <c r="CA42" s="1525"/>
      <c r="CB42" s="1738"/>
      <c r="CC42" s="1525"/>
      <c r="CD42" s="1526"/>
      <c r="CE42" s="174"/>
      <c r="CF42" s="174"/>
      <c r="CG42" s="174"/>
      <c r="CH42" s="174"/>
      <c r="CI42" s="174"/>
      <c r="CJ42" s="174"/>
      <c r="CK42" s="174"/>
      <c r="CL42" s="174"/>
      <c r="CM42" s="174"/>
      <c r="CN42" s="174"/>
      <c r="CO42" s="174"/>
      <c r="CP42" s="174"/>
      <c r="CQ42" s="174"/>
      <c r="CR42" s="174"/>
      <c r="CS42" s="174"/>
      <c r="CT42" s="174"/>
      <c r="CU42" s="174"/>
      <c r="CV42" s="174"/>
      <c r="CW42" s="174"/>
      <c r="CX42" s="174"/>
      <c r="CY42" s="1501"/>
      <c r="CZ42" s="1502"/>
      <c r="DA42" s="1721"/>
      <c r="DB42" s="1501"/>
      <c r="DC42" s="1502"/>
      <c r="DD42" s="1503"/>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174"/>
      <c r="BQ43" s="869"/>
      <c r="BR43" s="870"/>
      <c r="BS43" s="870"/>
      <c r="BT43" s="870"/>
      <c r="BU43" s="1387" t="s">
        <v>99</v>
      </c>
      <c r="BV43" s="1342">
        <f>EBL_Master</f>
        <v>899</v>
      </c>
      <c r="BW43" s="174"/>
      <c r="BX43" s="174"/>
      <c r="BY43" s="174"/>
      <c r="BZ43" s="1521"/>
      <c r="CA43" s="1525"/>
      <c r="CB43" s="1738"/>
      <c r="CC43" s="1525"/>
      <c r="CD43" s="1526"/>
      <c r="CE43" s="174"/>
      <c r="CF43" s="174"/>
      <c r="CG43" s="174"/>
      <c r="CH43" s="174"/>
      <c r="CI43" s="174"/>
      <c r="CJ43" s="174"/>
      <c r="CK43" s="174"/>
      <c r="CL43" s="174"/>
      <c r="CM43" s="174"/>
      <c r="CN43" s="174"/>
      <c r="CO43" s="174"/>
      <c r="CP43" s="174"/>
      <c r="CQ43" s="174"/>
      <c r="CR43" s="174"/>
      <c r="CS43" s="174"/>
      <c r="CT43" s="174"/>
      <c r="CU43" s="174"/>
      <c r="CV43" s="174"/>
      <c r="CW43" s="174"/>
      <c r="CX43" s="174"/>
      <c r="CY43" s="1331" t="s">
        <v>135</v>
      </c>
      <c r="CZ43" s="1331"/>
      <c r="DA43" s="1331"/>
      <c r="DB43" s="1331" t="s">
        <v>135</v>
      </c>
      <c r="DC43" s="1331"/>
      <c r="DD43" s="1331"/>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869"/>
      <c r="BR44" s="870"/>
      <c r="BS44" s="870"/>
      <c r="BT44" s="870"/>
      <c r="BU44" s="1387"/>
      <c r="BV44" s="1342"/>
      <c r="BW44" s="174"/>
      <c r="BX44" s="174"/>
      <c r="BY44" s="174"/>
      <c r="BZ44" s="1521"/>
      <c r="CA44" s="1527"/>
      <c r="CB44" s="1739"/>
      <c r="CC44" s="1527"/>
      <c r="CD44" s="1528"/>
      <c r="CE44" s="174"/>
      <c r="CF44" s="174"/>
      <c r="CG44" s="174"/>
      <c r="CH44" s="174"/>
      <c r="CI44" s="174"/>
      <c r="CJ44" s="174"/>
      <c r="CK44" s="174"/>
      <c r="CL44" s="174"/>
      <c r="CM44" s="174"/>
      <c r="CN44" s="174"/>
      <c r="CO44" s="174"/>
      <c r="CP44" s="174"/>
      <c r="CQ44" s="174"/>
      <c r="CR44" s="174"/>
      <c r="CS44" s="174"/>
      <c r="CT44" s="174"/>
      <c r="CU44" s="174"/>
      <c r="CV44" s="174"/>
      <c r="CW44" s="174"/>
      <c r="CX44" s="174"/>
      <c r="CY44" s="1332"/>
      <c r="CZ44" s="1332"/>
      <c r="DA44" s="1332"/>
      <c r="DB44" s="1332"/>
      <c r="DC44" s="1332"/>
      <c r="DD44" s="1332"/>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869"/>
      <c r="BR45" s="870"/>
      <c r="BS45" s="870"/>
      <c r="BT45" s="870"/>
      <c r="BU45" s="1387"/>
      <c r="BV45" s="1342"/>
      <c r="BW45" s="174"/>
      <c r="BX45" s="174"/>
      <c r="BY45" s="174"/>
      <c r="BZ45" s="1521"/>
      <c r="CA45" s="222"/>
      <c r="CB45" s="222"/>
      <c r="CC45" s="222"/>
      <c r="CD45" s="1504"/>
      <c r="CE45" s="174"/>
      <c r="CF45" s="174"/>
      <c r="CG45" s="174"/>
      <c r="CH45" s="174"/>
      <c r="CI45" s="174"/>
      <c r="CJ45" s="174"/>
      <c r="CK45" s="174"/>
      <c r="CL45" s="174"/>
      <c r="CM45" s="174"/>
      <c r="CN45" s="174"/>
      <c r="CO45" s="174"/>
      <c r="CP45" s="174"/>
      <c r="CQ45" s="174"/>
      <c r="CR45" s="174"/>
      <c r="CS45" s="174"/>
      <c r="CT45" s="174"/>
      <c r="CU45" s="174"/>
      <c r="CV45" s="174"/>
      <c r="CW45" s="174"/>
      <c r="CX45" s="174"/>
      <c r="CY45" s="1332"/>
      <c r="CZ45" s="1332"/>
      <c r="DA45" s="1332"/>
      <c r="DB45" s="1332"/>
      <c r="DC45" s="1332"/>
      <c r="DD45" s="1332"/>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869"/>
      <c r="BR46" s="870"/>
      <c r="BS46" s="870"/>
      <c r="BT46" s="870"/>
      <c r="BU46" s="1387" t="s">
        <v>99</v>
      </c>
      <c r="BV46" s="1342">
        <f>EBT_Master</f>
        <v>0</v>
      </c>
      <c r="BW46" s="174"/>
      <c r="BX46" s="174"/>
      <c r="BY46" s="174"/>
      <c r="BZ46" s="1521"/>
      <c r="CA46" s="222"/>
      <c r="CB46" s="222"/>
      <c r="CC46" s="222"/>
      <c r="CD46" s="1504"/>
      <c r="CE46" s="174"/>
      <c r="CF46" s="174"/>
      <c r="CG46" s="174"/>
      <c r="CH46" s="174"/>
      <c r="CI46" s="174"/>
      <c r="CJ46" s="174"/>
      <c r="CK46" s="174"/>
      <c r="CL46" s="174"/>
      <c r="CM46" s="174"/>
      <c r="CN46" s="174"/>
      <c r="CO46" s="174"/>
      <c r="CP46" s="174"/>
      <c r="CQ46" s="174"/>
      <c r="CR46" s="174"/>
      <c r="CS46" s="174"/>
      <c r="CT46" s="174"/>
      <c r="CU46" s="174"/>
      <c r="CV46" s="174"/>
      <c r="CW46" s="174"/>
      <c r="CX46" s="174"/>
      <c r="CY46" s="1332"/>
      <c r="CZ46" s="1332"/>
      <c r="DA46" s="1332"/>
      <c r="DB46" s="1332"/>
      <c r="DC46" s="1332"/>
      <c r="DD46" s="1332"/>
      <c r="DE46" s="174"/>
      <c r="DF46" s="174"/>
      <c r="DG46" s="174"/>
      <c r="DH46" s="174"/>
      <c r="DI46" s="174"/>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869"/>
      <c r="BR47" s="870"/>
      <c r="BS47" s="870"/>
      <c r="BT47" s="870"/>
      <c r="BU47" s="1387"/>
      <c r="BV47" s="1342"/>
      <c r="BW47" s="174"/>
      <c r="BX47" s="174"/>
      <c r="BY47" s="174"/>
      <c r="BZ47" s="1521"/>
      <c r="CA47" s="222"/>
      <c r="CB47" s="222"/>
      <c r="CC47" s="222"/>
      <c r="CD47" s="1504"/>
      <c r="CE47" s="174"/>
      <c r="CF47" s="174"/>
      <c r="CG47" s="174"/>
      <c r="CH47" s="174"/>
      <c r="CI47" s="174"/>
      <c r="CJ47" s="174"/>
      <c r="CK47" s="174"/>
      <c r="CL47" s="174"/>
      <c r="CM47" s="174"/>
      <c r="CN47" s="174"/>
      <c r="CO47" s="174"/>
      <c r="CP47" s="174"/>
      <c r="CQ47" s="174"/>
      <c r="CR47" s="174"/>
      <c r="CS47" s="174"/>
      <c r="CT47" s="174"/>
      <c r="CU47" s="174"/>
      <c r="CV47" s="174"/>
      <c r="CW47" s="174"/>
      <c r="CX47" s="174"/>
      <c r="CY47" s="1333"/>
      <c r="CZ47" s="1333"/>
      <c r="DA47" s="1333"/>
      <c r="DB47" s="1333"/>
      <c r="DC47" s="1333"/>
      <c r="DD47" s="1333"/>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869"/>
      <c r="BR48" s="870"/>
      <c r="BS48" s="870"/>
      <c r="BT48" s="870"/>
      <c r="BU48" s="1387"/>
      <c r="BV48" s="1342"/>
      <c r="BW48" s="174"/>
      <c r="BX48" s="174"/>
      <c r="BY48" s="174"/>
      <c r="BZ48" s="1522"/>
      <c r="CA48" s="1505"/>
      <c r="CB48" s="1505"/>
      <c r="CC48" s="1505"/>
      <c r="CD48" s="1506"/>
      <c r="CE48" s="174"/>
      <c r="CF48" s="174"/>
      <c r="CG48" s="174"/>
      <c r="CH48" s="174"/>
      <c r="CI48" s="174"/>
      <c r="CJ48" s="174"/>
      <c r="CK48" s="174"/>
      <c r="CL48" s="174"/>
      <c r="CM48" s="174"/>
      <c r="CN48" s="174"/>
      <c r="CO48" s="174"/>
      <c r="CP48" s="174"/>
      <c r="CQ48" s="174"/>
      <c r="CR48" s="174"/>
      <c r="CS48" s="174"/>
      <c r="CT48" s="174"/>
      <c r="CU48" s="174"/>
      <c r="CV48" s="174"/>
      <c r="CW48" s="174"/>
      <c r="CX48" s="174"/>
      <c r="CY48" s="1722">
        <f>CZ59+DC57</f>
        <v>630</v>
      </c>
      <c r="CZ48" s="1723"/>
      <c r="DA48" s="1724"/>
      <c r="DB48" s="1722">
        <f>DG57+DJ59</f>
        <v>1690</v>
      </c>
      <c r="DC48" s="1723"/>
      <c r="DD48" s="172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869"/>
      <c r="BR49" s="870"/>
      <c r="BS49" s="870"/>
      <c r="BT49" s="870"/>
      <c r="BU49" s="1387" t="s">
        <v>99</v>
      </c>
      <c r="BV49" s="1342">
        <f>EBR_Master</f>
        <v>208</v>
      </c>
      <c r="BW49" s="174"/>
      <c r="BX49" s="174"/>
      <c r="BY49" s="174"/>
      <c r="BZ49" s="135"/>
      <c r="CA49" s="139"/>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375" t="s">
        <v>99</v>
      </c>
      <c r="CZ49" s="1376"/>
      <c r="DA49" s="1377"/>
      <c r="DB49" s="1375" t="s">
        <v>99</v>
      </c>
      <c r="DC49" s="1376"/>
      <c r="DD49" s="1377"/>
      <c r="DE49" s="174"/>
      <c r="DF49" s="788">
        <v>1</v>
      </c>
      <c r="DG49" s="789"/>
      <c r="DH49" s="789"/>
      <c r="DI49" s="1574"/>
      <c r="DJ49" s="1582">
        <f>$DE$7*EXP(-$DL$7*CP51)</f>
        <v>250.62878788604093</v>
      </c>
      <c r="DK49" s="1582"/>
      <c r="DL49" s="1582"/>
      <c r="DM49" s="1583"/>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869"/>
      <c r="BR50" s="870"/>
      <c r="BS50" s="870"/>
      <c r="BT50" s="870"/>
      <c r="BU50" s="1387"/>
      <c r="BV50" s="1342"/>
      <c r="BW50" s="174"/>
      <c r="BX50" s="174"/>
      <c r="BY50" s="174"/>
      <c r="BZ50" s="1084"/>
      <c r="CA50" s="1075"/>
      <c r="CB50" s="1075"/>
      <c r="CC50" s="1075"/>
      <c r="CD50" s="1390" t="s">
        <v>99</v>
      </c>
      <c r="CE50" s="1566">
        <f>BV43+BV46+BV49+BV40</f>
        <v>1107</v>
      </c>
      <c r="CF50" s="1730" t="s">
        <v>135</v>
      </c>
      <c r="CG50" s="1731"/>
      <c r="CH50" s="1731"/>
      <c r="CI50" s="1731"/>
      <c r="CJ50" s="1732"/>
      <c r="CK50" s="1359">
        <f>CE50/CA59</f>
        <v>6.2266347667234863</v>
      </c>
      <c r="CL50" s="1360"/>
      <c r="CM50" s="1568">
        <v>2</v>
      </c>
      <c r="CN50" s="1569"/>
      <c r="CO50" s="174"/>
      <c r="CP50" s="174"/>
      <c r="CQ50" s="174"/>
      <c r="CR50" s="174"/>
      <c r="CS50" s="174"/>
      <c r="CT50" s="174"/>
      <c r="CU50" s="174"/>
      <c r="CV50" s="174"/>
      <c r="CW50" s="174"/>
      <c r="CX50" s="174"/>
      <c r="CY50" s="1053"/>
      <c r="CZ50" s="1054"/>
      <c r="DA50" s="1058"/>
      <c r="DB50" s="1053"/>
      <c r="DC50" s="1054"/>
      <c r="DD50" s="1058"/>
      <c r="DE50" s="174"/>
      <c r="DF50" s="792"/>
      <c r="DG50" s="793"/>
      <c r="DH50" s="793"/>
      <c r="DI50" s="1575"/>
      <c r="DJ50" s="1350"/>
      <c r="DK50" s="1350"/>
      <c r="DL50" s="1350"/>
      <c r="DM50" s="158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106"/>
      <c r="BR51" s="1094"/>
      <c r="BS51" s="1094"/>
      <c r="BT51" s="1094"/>
      <c r="BU51" s="1388"/>
      <c r="BV51" s="1389"/>
      <c r="BW51" s="174"/>
      <c r="BX51" s="174"/>
      <c r="BY51" s="174"/>
      <c r="BZ51" s="869"/>
      <c r="CA51" s="870"/>
      <c r="CB51" s="870"/>
      <c r="CC51" s="870"/>
      <c r="CD51" s="1391"/>
      <c r="CE51" s="1567"/>
      <c r="CF51" s="1730"/>
      <c r="CG51" s="1731"/>
      <c r="CH51" s="1731"/>
      <c r="CI51" s="1731"/>
      <c r="CJ51" s="1732"/>
      <c r="CK51" s="1361"/>
      <c r="CL51" s="1362"/>
      <c r="CM51" s="1570"/>
      <c r="CN51" s="1571"/>
      <c r="CO51" s="174"/>
      <c r="CP51" s="1586">
        <f>CB16+BV43+DI35+BV40+BV46</f>
        <v>1506</v>
      </c>
      <c r="CQ51" s="1587"/>
      <c r="CR51" s="1587"/>
      <c r="CS51" s="1588"/>
      <c r="CT51" s="1589"/>
      <c r="CU51" s="1589"/>
      <c r="CV51" s="1589"/>
      <c r="CW51" s="1590"/>
      <c r="CX51" s="174"/>
      <c r="CY51" s="1053"/>
      <c r="CZ51" s="1054"/>
      <c r="DA51" s="1058"/>
      <c r="DB51" s="1053"/>
      <c r="DC51" s="1054"/>
      <c r="DD51" s="1058"/>
      <c r="DE51" s="174"/>
      <c r="DF51" s="815">
        <v>2</v>
      </c>
      <c r="DG51" s="816"/>
      <c r="DH51" s="816"/>
      <c r="DI51" s="1495"/>
      <c r="DJ51" s="1350">
        <f>$DE$9*EXP(-$DL$9*CP51)</f>
        <v>250.62878788604093</v>
      </c>
      <c r="DK51" s="1350"/>
      <c r="DL51" s="1350"/>
      <c r="DM51" s="158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106"/>
      <c r="CA52" s="1094"/>
      <c r="CB52" s="1094"/>
      <c r="CC52" s="1094"/>
      <c r="CD52" s="1392"/>
      <c r="CE52" s="1585"/>
      <c r="CF52" s="1730"/>
      <c r="CG52" s="1731"/>
      <c r="CH52" s="1731"/>
      <c r="CI52" s="1731"/>
      <c r="CJ52" s="1732"/>
      <c r="CK52" s="1363"/>
      <c r="CL52" s="1364"/>
      <c r="CM52" s="1572"/>
      <c r="CN52" s="1573"/>
      <c r="CO52" s="174"/>
      <c r="CP52" s="1556"/>
      <c r="CQ52" s="1557"/>
      <c r="CR52" s="1557"/>
      <c r="CS52" s="1558"/>
      <c r="CT52" s="238"/>
      <c r="CU52" s="238"/>
      <c r="CV52" s="238"/>
      <c r="CW52" s="315"/>
      <c r="CX52" s="174"/>
      <c r="CY52" s="1053"/>
      <c r="CZ52" s="1054"/>
      <c r="DA52" s="1058"/>
      <c r="DB52" s="1053"/>
      <c r="DC52" s="1054"/>
      <c r="DD52" s="1058"/>
      <c r="DE52" s="174"/>
      <c r="DF52" s="792"/>
      <c r="DG52" s="793"/>
      <c r="DH52" s="793"/>
      <c r="DI52" s="1575"/>
      <c r="DJ52" s="1350"/>
      <c r="DK52" s="1350"/>
      <c r="DL52" s="1350"/>
      <c r="DM52" s="158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35"/>
      <c r="CA53" s="174"/>
      <c r="CB53" s="174"/>
      <c r="CC53" s="174"/>
      <c r="CD53" s="174"/>
      <c r="CE53" s="174"/>
      <c r="CF53" s="174"/>
      <c r="CG53" s="174"/>
      <c r="CH53" s="174"/>
      <c r="CI53" s="174"/>
      <c r="CJ53" s="174"/>
      <c r="CK53" s="174"/>
      <c r="CL53" s="174"/>
      <c r="CM53" s="174"/>
      <c r="CN53" s="174"/>
      <c r="CO53" s="174"/>
      <c r="CP53" s="1599" t="s">
        <v>136</v>
      </c>
      <c r="CQ53" s="1600"/>
      <c r="CR53" s="1600"/>
      <c r="CS53" s="1600"/>
      <c r="CT53" s="1600"/>
      <c r="CU53" s="1600"/>
      <c r="CV53" s="1600"/>
      <c r="CW53" s="1601"/>
      <c r="CX53" s="168"/>
      <c r="CY53" s="1116"/>
      <c r="CZ53" s="1117"/>
      <c r="DA53" s="1119"/>
      <c r="DB53" s="1116"/>
      <c r="DC53" s="1117"/>
      <c r="DD53" s="1119"/>
      <c r="DE53" s="171"/>
      <c r="DF53" s="1599" t="s">
        <v>150</v>
      </c>
      <c r="DG53" s="1600"/>
      <c r="DH53" s="1600"/>
      <c r="DI53" s="1600"/>
      <c r="DJ53" s="1600"/>
      <c r="DK53" s="1600"/>
      <c r="DL53" s="1600"/>
      <c r="DM53" s="1601"/>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520" t="s">
        <v>150</v>
      </c>
      <c r="CA54" s="1733">
        <v>1</v>
      </c>
      <c r="CB54" s="173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20"/>
      <c r="BN55" s="174"/>
      <c r="BO55" s="174"/>
      <c r="BP55" s="174"/>
      <c r="BQ55" s="174"/>
      <c r="BR55" s="174"/>
      <c r="BS55" s="174"/>
      <c r="BT55" s="174"/>
      <c r="BU55" s="174"/>
      <c r="BV55" s="174"/>
      <c r="BW55" s="174"/>
      <c r="BX55" s="174"/>
      <c r="BY55" s="174"/>
      <c r="BZ55" s="1521"/>
      <c r="CA55" s="1735"/>
      <c r="CB55" s="1736"/>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20"/>
      <c r="BN56" s="174"/>
      <c r="BO56" s="174"/>
      <c r="BP56" s="174"/>
      <c r="BQ56" s="174"/>
      <c r="BR56" s="174"/>
      <c r="BS56" s="174"/>
      <c r="BT56" s="174"/>
      <c r="BU56" s="174"/>
      <c r="BV56" s="174"/>
      <c r="BW56" s="174"/>
      <c r="BX56" s="174"/>
      <c r="BY56" s="174"/>
      <c r="BZ56" s="1521"/>
      <c r="CA56" s="1735"/>
      <c r="CB56" s="1736"/>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20"/>
      <c r="BN57" s="174"/>
      <c r="BO57" s="174"/>
      <c r="BP57" s="174"/>
      <c r="BQ57" s="174"/>
      <c r="BR57" s="174"/>
      <c r="BS57" s="174"/>
      <c r="BT57" s="174"/>
      <c r="BU57" s="174"/>
      <c r="BV57" s="174"/>
      <c r="BW57" s="174"/>
      <c r="BX57" s="174"/>
      <c r="BY57" s="174"/>
      <c r="BZ57" s="1521"/>
      <c r="CA57" s="1735"/>
      <c r="CB57" s="1736"/>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14">
        <f>CS61*DJ63</f>
        <v>630</v>
      </c>
      <c r="DD57" s="1715"/>
      <c r="DE57" s="1716"/>
      <c r="DF57" s="174"/>
      <c r="DG57" s="1714">
        <f>CS61*(1-DJ63)</f>
        <v>630</v>
      </c>
      <c r="DH57" s="1715"/>
      <c r="DI57" s="1716"/>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20"/>
      <c r="BN58" s="174"/>
      <c r="BO58" s="174"/>
      <c r="BP58" s="174"/>
      <c r="BQ58" s="174"/>
      <c r="BR58" s="174"/>
      <c r="BS58" s="174"/>
      <c r="BT58" s="174"/>
      <c r="BU58" s="174"/>
      <c r="BV58" s="174"/>
      <c r="BW58" s="174"/>
      <c r="BX58" s="174"/>
      <c r="BY58" s="174"/>
      <c r="BZ58" s="1521"/>
      <c r="CA58" s="1735"/>
      <c r="CB58" s="1736"/>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17"/>
      <c r="DD58" s="1718"/>
      <c r="DE58" s="1719"/>
      <c r="DF58" s="174"/>
      <c r="DG58" s="1717"/>
      <c r="DH58" s="1718"/>
      <c r="DI58" s="1719"/>
      <c r="DJ58" s="174"/>
      <c r="DK58" s="174"/>
      <c r="DL58" s="174"/>
      <c r="DM58" s="174"/>
      <c r="DN58" s="174"/>
      <c r="DO58" s="174"/>
      <c r="DP58" s="174"/>
      <c r="DQ58" s="174"/>
      <c r="DR58" s="174"/>
      <c r="DS58" s="177"/>
    </row>
    <row r="59" spans="2:123" ht="9.9499999999999993" customHeight="1">
      <c r="B59" s="1"/>
      <c r="C59" s="174"/>
      <c r="D59" s="174"/>
      <c r="E59" s="174"/>
      <c r="F59" s="1654" t="s">
        <v>153</v>
      </c>
      <c r="G59" s="1655"/>
      <c r="H59" s="1655"/>
      <c r="I59" s="1655"/>
      <c r="J59" s="1655"/>
      <c r="K59" s="1655"/>
      <c r="L59" s="1655"/>
      <c r="M59" s="1655"/>
      <c r="N59" s="1655"/>
      <c r="O59" s="1655"/>
      <c r="P59" s="1655"/>
      <c r="Q59" s="1656"/>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654" t="s">
        <v>153</v>
      </c>
      <c r="AU59" s="1655"/>
      <c r="AV59" s="1655"/>
      <c r="AW59" s="1655"/>
      <c r="AX59" s="1655"/>
      <c r="AY59" s="1655"/>
      <c r="AZ59" s="1655"/>
      <c r="BA59" s="1655"/>
      <c r="BB59" s="1655"/>
      <c r="BC59" s="1655"/>
      <c r="BD59" s="1655"/>
      <c r="BE59" s="1656"/>
      <c r="BF59" s="174"/>
      <c r="BG59" s="174"/>
      <c r="BH59" s="174"/>
      <c r="BI59" s="177"/>
      <c r="BK59" s="174"/>
      <c r="BL59" s="1"/>
      <c r="BM59" s="120"/>
      <c r="BN59" s="174"/>
      <c r="BO59" s="174"/>
      <c r="BP59" s="174"/>
      <c r="BQ59" s="174"/>
      <c r="BR59" s="174"/>
      <c r="BS59" s="174"/>
      <c r="BT59" s="174"/>
      <c r="BU59" s="174"/>
      <c r="BV59" s="174"/>
      <c r="BW59" s="174"/>
      <c r="BX59" s="174"/>
      <c r="BY59" s="174"/>
      <c r="BZ59" s="1521"/>
      <c r="CA59" s="1543">
        <f>$DE$11*EXP(-$DL$11*(CA40+CC40))</f>
        <v>177.78463672159685</v>
      </c>
      <c r="CB59" s="1545"/>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14">
        <f>CM61+CP61</f>
        <v>0</v>
      </c>
      <c r="DA59" s="1715"/>
      <c r="DB59" s="1716"/>
      <c r="DC59" s="1725"/>
      <c r="DD59" s="1726"/>
      <c r="DE59" s="1727"/>
      <c r="DF59" s="174"/>
      <c r="DG59" s="1725"/>
      <c r="DH59" s="1726"/>
      <c r="DI59" s="1727"/>
      <c r="DJ59" s="1714">
        <f>CV61</f>
        <v>1060</v>
      </c>
      <c r="DK59" s="1715"/>
      <c r="DL59" s="1716"/>
      <c r="DM59" s="174"/>
      <c r="DN59" s="174"/>
      <c r="DO59" s="174"/>
      <c r="DP59" s="174"/>
      <c r="DQ59" s="174"/>
      <c r="DR59" s="174"/>
      <c r="DS59" s="177"/>
    </row>
    <row r="60" spans="2:123" ht="9.9499999999999993" customHeight="1" thickBot="1">
      <c r="B60" s="1"/>
      <c r="C60" s="174"/>
      <c r="D60" s="174"/>
      <c r="E60" s="174"/>
      <c r="F60" s="1657"/>
      <c r="G60" s="1658"/>
      <c r="H60" s="1658"/>
      <c r="I60" s="1658"/>
      <c r="J60" s="1658"/>
      <c r="K60" s="1658"/>
      <c r="L60" s="1658"/>
      <c r="M60" s="1658"/>
      <c r="N60" s="1658"/>
      <c r="O60" s="1658"/>
      <c r="P60" s="1658"/>
      <c r="Q60" s="1659"/>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657"/>
      <c r="AU60" s="1658"/>
      <c r="AV60" s="1658"/>
      <c r="AW60" s="1658"/>
      <c r="AX60" s="1658"/>
      <c r="AY60" s="1658"/>
      <c r="AZ60" s="1658"/>
      <c r="BA60" s="1658"/>
      <c r="BB60" s="1658"/>
      <c r="BC60" s="1658"/>
      <c r="BD60" s="1658"/>
      <c r="BE60" s="1659"/>
      <c r="BF60" s="174"/>
      <c r="BG60" s="174"/>
      <c r="BH60" s="174"/>
      <c r="BI60" s="177"/>
      <c r="BK60" s="174"/>
      <c r="BL60" s="1"/>
      <c r="BM60" s="120"/>
      <c r="BN60" s="174"/>
      <c r="BO60" s="174"/>
      <c r="BP60" s="174"/>
      <c r="BQ60" s="174"/>
      <c r="BR60" s="174"/>
      <c r="BS60" s="174"/>
      <c r="BT60" s="174"/>
      <c r="BU60" s="174"/>
      <c r="BV60" s="174"/>
      <c r="BW60" s="174"/>
      <c r="BX60" s="174"/>
      <c r="BY60" s="174"/>
      <c r="BZ60" s="1521"/>
      <c r="CA60" s="1543"/>
      <c r="CB60" s="1545"/>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17"/>
      <c r="DA60" s="1718"/>
      <c r="DB60" s="1719"/>
      <c r="DC60" s="770"/>
      <c r="DD60" s="767"/>
      <c r="DE60" s="768"/>
      <c r="DF60" s="174"/>
      <c r="DG60" s="770"/>
      <c r="DH60" s="767"/>
      <c r="DI60" s="768"/>
      <c r="DJ60" s="1717"/>
      <c r="DK60" s="1718"/>
      <c r="DL60" s="1719"/>
      <c r="DM60" s="174"/>
      <c r="DN60" s="174"/>
      <c r="DO60" s="174"/>
      <c r="DP60" s="174"/>
      <c r="DQ60" s="174"/>
      <c r="DR60" s="174"/>
      <c r="DS60" s="177"/>
    </row>
    <row r="61" spans="2:123" ht="9.9499999999999993" customHeight="1" thickBot="1">
      <c r="B61" s="1"/>
      <c r="C61" s="174"/>
      <c r="D61" s="174"/>
      <c r="E61" s="174"/>
      <c r="F61" s="1657"/>
      <c r="G61" s="1658"/>
      <c r="H61" s="1658"/>
      <c r="I61" s="1658"/>
      <c r="J61" s="1658"/>
      <c r="K61" s="1658"/>
      <c r="L61" s="1658"/>
      <c r="M61" s="1658"/>
      <c r="N61" s="1658"/>
      <c r="O61" s="1658"/>
      <c r="P61" s="1658"/>
      <c r="Q61" s="1659"/>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657"/>
      <c r="AU61" s="1658"/>
      <c r="AV61" s="1658"/>
      <c r="AW61" s="1658"/>
      <c r="AX61" s="1658"/>
      <c r="AY61" s="1658"/>
      <c r="AZ61" s="1658"/>
      <c r="BA61" s="1658"/>
      <c r="BB61" s="1658"/>
      <c r="BC61" s="1658"/>
      <c r="BD61" s="1658"/>
      <c r="BE61" s="1659"/>
      <c r="BF61" s="174"/>
      <c r="BG61" s="174"/>
      <c r="BH61" s="174"/>
      <c r="BI61" s="177"/>
      <c r="BK61" s="174"/>
      <c r="BL61" s="1"/>
      <c r="BM61" s="120"/>
      <c r="BN61" s="174"/>
      <c r="BO61" s="174"/>
      <c r="BP61" s="174"/>
      <c r="BQ61" s="174"/>
      <c r="BR61" s="174"/>
      <c r="BS61" s="174"/>
      <c r="BT61" s="174"/>
      <c r="BU61" s="174"/>
      <c r="BV61" s="174"/>
      <c r="BW61" s="174"/>
      <c r="BX61" s="174"/>
      <c r="BY61" s="174"/>
      <c r="BZ61" s="1521"/>
      <c r="CA61" s="1543"/>
      <c r="CB61" s="1545"/>
      <c r="CC61" s="174"/>
      <c r="CD61" s="174"/>
      <c r="CE61" s="174"/>
      <c r="CF61" s="174"/>
      <c r="CG61" s="174"/>
      <c r="CH61" s="174"/>
      <c r="CI61" s="174"/>
      <c r="CJ61" s="174"/>
      <c r="CK61" s="174"/>
      <c r="CL61" s="174"/>
      <c r="CM61" s="1301">
        <f>NBU_Master</f>
        <v>0</v>
      </c>
      <c r="CN61" s="1302"/>
      <c r="CO61" s="1302"/>
      <c r="CP61" s="1302">
        <f>NBL_Master</f>
        <v>0</v>
      </c>
      <c r="CQ61" s="1302"/>
      <c r="CR61" s="1302"/>
      <c r="CS61" s="1302">
        <f>NBT_Master</f>
        <v>1260</v>
      </c>
      <c r="CT61" s="1302"/>
      <c r="CU61" s="1302"/>
      <c r="CV61" s="1302">
        <f>NBR_Master</f>
        <v>1060</v>
      </c>
      <c r="CW61" s="1302"/>
      <c r="CX61" s="1365"/>
      <c r="CY61" s="174"/>
      <c r="CZ61" s="174"/>
      <c r="DA61" s="174"/>
      <c r="DB61" s="174"/>
      <c r="DC61" s="770"/>
      <c r="DD61" s="767"/>
      <c r="DE61" s="768"/>
      <c r="DF61" s="174"/>
      <c r="DG61" s="770"/>
      <c r="DH61" s="767"/>
      <c r="DI61" s="768"/>
      <c r="DJ61" s="174"/>
      <c r="DK61" s="174"/>
      <c r="DL61" s="174"/>
      <c r="DM61" s="174"/>
      <c r="DN61" s="174"/>
      <c r="DO61" s="174"/>
      <c r="DP61" s="174"/>
      <c r="DQ61" s="174"/>
      <c r="DR61" s="174"/>
      <c r="DS61" s="177"/>
    </row>
    <row r="62" spans="2:123" ht="9.9499999999999993" customHeight="1" thickBot="1">
      <c r="B62" s="1"/>
      <c r="C62" s="174"/>
      <c r="D62" s="174"/>
      <c r="E62" s="174"/>
      <c r="F62" s="869" t="s">
        <v>74</v>
      </c>
      <c r="G62" s="870"/>
      <c r="H62" s="870"/>
      <c r="I62" s="870"/>
      <c r="J62" s="1663">
        <f>CK50</f>
        <v>6.2266347667234863</v>
      </c>
      <c r="K62" s="1664"/>
      <c r="L62" s="1664"/>
      <c r="M62" s="1664"/>
      <c r="N62" s="1665" t="s">
        <v>55</v>
      </c>
      <c r="O62" s="1665"/>
      <c r="P62" s="1665"/>
      <c r="Q62" s="1666"/>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869" t="s">
        <v>74</v>
      </c>
      <c r="AU62" s="870"/>
      <c r="AV62" s="870"/>
      <c r="AW62" s="870"/>
      <c r="AX62" s="1447">
        <f>CY41</f>
        <v>2.513677719602013</v>
      </c>
      <c r="AY62" s="1448"/>
      <c r="AZ62" s="1448"/>
      <c r="BA62" s="1448"/>
      <c r="BB62" s="1451" t="s">
        <v>55</v>
      </c>
      <c r="BC62" s="1451"/>
      <c r="BD62" s="1451"/>
      <c r="BE62" s="1452"/>
      <c r="BF62" s="174"/>
      <c r="BG62" s="174"/>
      <c r="BH62" s="174"/>
      <c r="BI62" s="177"/>
      <c r="BK62" s="174"/>
      <c r="BL62" s="1"/>
      <c r="BM62" s="120"/>
      <c r="BN62" s="174"/>
      <c r="BO62" s="174"/>
      <c r="BP62" s="174"/>
      <c r="BQ62" s="174"/>
      <c r="BR62" s="174"/>
      <c r="BS62" s="174"/>
      <c r="BT62" s="174"/>
      <c r="BU62" s="174"/>
      <c r="BV62" s="174"/>
      <c r="BW62" s="174"/>
      <c r="BX62" s="174"/>
      <c r="BY62" s="174"/>
      <c r="BZ62" s="1522"/>
      <c r="CA62" s="1544"/>
      <c r="CB62" s="1546"/>
      <c r="CC62" s="174"/>
      <c r="CD62" s="174"/>
      <c r="CE62" s="174"/>
      <c r="CF62" s="174"/>
      <c r="CG62" s="174"/>
      <c r="CH62" s="174"/>
      <c r="CI62" s="174"/>
      <c r="CJ62" s="174"/>
      <c r="CK62" s="174"/>
      <c r="CL62" s="174"/>
      <c r="CM62" s="1366" t="s">
        <v>99</v>
      </c>
      <c r="CN62" s="1367"/>
      <c r="CO62" s="1367"/>
      <c r="CP62" s="1367" t="s">
        <v>99</v>
      </c>
      <c r="CQ62" s="1367"/>
      <c r="CR62" s="1367"/>
      <c r="CS62" s="1367" t="s">
        <v>99</v>
      </c>
      <c r="CT62" s="1367"/>
      <c r="CU62" s="1367"/>
      <c r="CV62" s="1367" t="s">
        <v>99</v>
      </c>
      <c r="CW62" s="1367"/>
      <c r="CX62" s="1368"/>
      <c r="CY62" s="174"/>
      <c r="CZ62" s="174"/>
      <c r="DA62" s="174"/>
      <c r="DB62" s="174"/>
      <c r="DC62" s="770"/>
      <c r="DD62" s="767"/>
      <c r="DE62" s="768"/>
      <c r="DF62" s="174"/>
      <c r="DG62" s="770"/>
      <c r="DH62" s="767"/>
      <c r="DI62" s="768"/>
      <c r="DJ62" s="174"/>
      <c r="DK62" s="174"/>
      <c r="DL62" s="174"/>
      <c r="DM62" s="174"/>
      <c r="DN62" s="174"/>
      <c r="DO62" s="174"/>
      <c r="DP62" s="174"/>
      <c r="DQ62" s="174"/>
      <c r="DR62" s="174"/>
      <c r="DS62" s="177"/>
    </row>
    <row r="63" spans="2:123" ht="9.9499999999999993" customHeight="1" thickBot="1">
      <c r="B63" s="1"/>
      <c r="C63" s="174"/>
      <c r="D63" s="174"/>
      <c r="E63" s="174"/>
      <c r="F63" s="1106"/>
      <c r="G63" s="1094"/>
      <c r="H63" s="1094"/>
      <c r="I63" s="1094"/>
      <c r="J63" s="1449"/>
      <c r="K63" s="1450"/>
      <c r="L63" s="1450"/>
      <c r="M63" s="1450"/>
      <c r="N63" s="1453"/>
      <c r="O63" s="1453"/>
      <c r="P63" s="1453"/>
      <c r="Q63" s="1454"/>
      <c r="R63" s="55">
        <f>+IF(J62&gt;1,1,0)</f>
        <v>1</v>
      </c>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869"/>
      <c r="AU63" s="870"/>
      <c r="AV63" s="870"/>
      <c r="AW63" s="870"/>
      <c r="AX63" s="1667"/>
      <c r="AY63" s="1448"/>
      <c r="AZ63" s="1448"/>
      <c r="BA63" s="1448"/>
      <c r="BB63" s="1451"/>
      <c r="BC63" s="1451"/>
      <c r="BD63" s="1451"/>
      <c r="BE63" s="1452"/>
      <c r="BF63" s="174"/>
      <c r="BG63" s="174"/>
      <c r="BH63" s="174"/>
      <c r="BI63" s="177"/>
      <c r="BK63" s="174"/>
      <c r="BL63" s="1"/>
      <c r="BM63" s="120"/>
      <c r="BN63" s="120"/>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053"/>
      <c r="CN63" s="1054"/>
      <c r="CO63" s="1054"/>
      <c r="CP63" s="1054"/>
      <c r="CQ63" s="1054"/>
      <c r="CR63" s="1054"/>
      <c r="CS63" s="1054"/>
      <c r="CT63" s="1054"/>
      <c r="CU63" s="1054"/>
      <c r="CV63" s="1054"/>
      <c r="CW63" s="1054"/>
      <c r="CX63" s="1058"/>
      <c r="CY63" s="174"/>
      <c r="CZ63" s="1378" t="s">
        <v>151</v>
      </c>
      <c r="DA63" s="1379"/>
      <c r="DB63" s="1379"/>
      <c r="DC63" s="1379"/>
      <c r="DD63" s="1379"/>
      <c r="DE63" s="1379"/>
      <c r="DF63" s="1379"/>
      <c r="DG63" s="1379"/>
      <c r="DH63" s="1379"/>
      <c r="DI63" s="1728"/>
      <c r="DJ63" s="1696">
        <v>0.5</v>
      </c>
      <c r="DK63" s="1697"/>
      <c r="DL63" s="1697"/>
      <c r="DM63" s="1698"/>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6"/>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869" t="s">
        <v>75</v>
      </c>
      <c r="AU64" s="870"/>
      <c r="AV64" s="870"/>
      <c r="AW64" s="870"/>
      <c r="AX64" s="1447">
        <f>DB41</f>
        <v>6.7430402319482576</v>
      </c>
      <c r="AY64" s="1448"/>
      <c r="AZ64" s="1448"/>
      <c r="BA64" s="1448"/>
      <c r="BB64" s="1451" t="s">
        <v>55</v>
      </c>
      <c r="BC64" s="1451"/>
      <c r="BD64" s="1451"/>
      <c r="BE64" s="1452"/>
      <c r="BF64" s="174"/>
      <c r="BG64" s="174"/>
      <c r="BH64" s="174"/>
      <c r="BI64" s="177"/>
      <c r="BK64" s="174"/>
      <c r="BL64" s="1"/>
      <c r="BM64" s="120"/>
      <c r="BN64" s="120"/>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053"/>
      <c r="CN64" s="1054"/>
      <c r="CO64" s="1054"/>
      <c r="CP64" s="1054"/>
      <c r="CQ64" s="1054"/>
      <c r="CR64" s="1054"/>
      <c r="CS64" s="1054"/>
      <c r="CT64" s="1054"/>
      <c r="CU64" s="1054"/>
      <c r="CV64" s="1054"/>
      <c r="CW64" s="1054"/>
      <c r="CX64" s="1058"/>
      <c r="CY64" s="174"/>
      <c r="CZ64" s="1381"/>
      <c r="DA64" s="1382"/>
      <c r="DB64" s="1382"/>
      <c r="DC64" s="1382"/>
      <c r="DD64" s="1382"/>
      <c r="DE64" s="1382"/>
      <c r="DF64" s="1382"/>
      <c r="DG64" s="1382"/>
      <c r="DH64" s="1382"/>
      <c r="DI64" s="1729"/>
      <c r="DJ64" s="1699"/>
      <c r="DK64" s="1700"/>
      <c r="DL64" s="1700"/>
      <c r="DM64" s="1701"/>
      <c r="DN64" s="174"/>
      <c r="DO64" s="174"/>
      <c r="DP64" s="174"/>
      <c r="DQ64" s="174"/>
      <c r="DR64" s="174"/>
      <c r="DS64" s="177"/>
    </row>
    <row r="65" spans="2:123" ht="9.9499999999999993" customHeight="1" thickBot="1">
      <c r="B65" s="1"/>
      <c r="C65" s="174"/>
      <c r="D65" s="174"/>
      <c r="E65" s="174"/>
      <c r="F65" s="174"/>
      <c r="G65" s="174"/>
      <c r="H65" s="174"/>
      <c r="I65" s="174"/>
      <c r="J65" s="39"/>
      <c r="K65" s="39"/>
      <c r="L65" s="39"/>
      <c r="M65" s="39"/>
      <c r="N65" s="39"/>
      <c r="O65" s="39"/>
      <c r="P65" s="39"/>
      <c r="Q65" s="39"/>
      <c r="R65" s="174"/>
      <c r="S65" s="174"/>
      <c r="T65" s="174"/>
      <c r="U65" s="174"/>
      <c r="V65" s="174"/>
      <c r="W65" s="107"/>
      <c r="X65" s="107"/>
      <c r="Y65" s="107"/>
      <c r="Z65" s="107"/>
      <c r="AA65" s="107"/>
      <c r="AB65" s="107"/>
      <c r="AC65" s="107"/>
      <c r="AD65" s="107"/>
      <c r="AE65" s="36"/>
      <c r="AF65" s="9"/>
      <c r="AG65" s="121"/>
      <c r="AH65" s="174"/>
      <c r="AI65" s="174"/>
      <c r="AJ65" s="174"/>
      <c r="AK65" s="174"/>
      <c r="AL65" s="174"/>
      <c r="AM65" s="174"/>
      <c r="AN65" s="174"/>
      <c r="AO65" s="174"/>
      <c r="AP65" s="174"/>
      <c r="AQ65" s="174"/>
      <c r="AR65" s="174"/>
      <c r="AS65" s="174"/>
      <c r="AT65" s="1106"/>
      <c r="AU65" s="1094"/>
      <c r="AV65" s="1094"/>
      <c r="AW65" s="1094"/>
      <c r="AX65" s="1449"/>
      <c r="AY65" s="1450"/>
      <c r="AZ65" s="1450"/>
      <c r="BA65" s="1450"/>
      <c r="BB65" s="1453"/>
      <c r="BC65" s="1453"/>
      <c r="BD65" s="1453"/>
      <c r="BE65" s="1454"/>
      <c r="BF65" s="55">
        <f>+IF(OR(AX62&gt;1,AX64&gt;1),1,0)</f>
        <v>1</v>
      </c>
      <c r="BG65" s="174"/>
      <c r="BH65" s="174"/>
      <c r="BI65" s="177"/>
      <c r="BK65" s="174"/>
      <c r="BL65" s="1"/>
      <c r="BM65" s="128"/>
      <c r="BN65" s="128"/>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053"/>
      <c r="CN65" s="1054"/>
      <c r="CO65" s="1054"/>
      <c r="CP65" s="1054"/>
      <c r="CQ65" s="1054"/>
      <c r="CR65" s="1054"/>
      <c r="CS65" s="1054"/>
      <c r="CT65" s="1054"/>
      <c r="CU65" s="1054"/>
      <c r="CV65" s="1054"/>
      <c r="CW65" s="1054"/>
      <c r="CX65" s="1058"/>
      <c r="CY65" s="174"/>
      <c r="CZ65" s="1702" t="s">
        <v>152</v>
      </c>
      <c r="DA65" s="1703"/>
      <c r="DB65" s="1703"/>
      <c r="DC65" s="1703"/>
      <c r="DD65" s="1703"/>
      <c r="DE65" s="1703"/>
      <c r="DF65" s="1703"/>
      <c r="DG65" s="1703"/>
      <c r="DH65" s="1703"/>
      <c r="DI65" s="1704"/>
      <c r="DJ65" s="1708">
        <f>CV61/(CV61+CS61+CP61+CM61)</f>
        <v>0.45689655172413796</v>
      </c>
      <c r="DK65" s="1709"/>
      <c r="DL65" s="1709"/>
      <c r="DM65" s="1710"/>
      <c r="DN65" s="174"/>
      <c r="DO65" s="174"/>
      <c r="DP65" s="174"/>
      <c r="DQ65" s="174"/>
      <c r="DR65" s="174"/>
      <c r="DS65" s="177"/>
    </row>
    <row r="66" spans="2:123" ht="9.9499999999999993" customHeight="1" thickBot="1">
      <c r="B66" s="1"/>
      <c r="C66" s="174"/>
      <c r="D66" s="174"/>
      <c r="E66" s="174"/>
      <c r="F66" s="174"/>
      <c r="G66" s="174"/>
      <c r="H66" s="174"/>
      <c r="I66" s="174"/>
      <c r="J66" s="174"/>
      <c r="K66" s="174"/>
      <c r="L66" s="174"/>
      <c r="M66" s="174"/>
      <c r="N66" s="174"/>
      <c r="O66" s="174"/>
      <c r="P66" s="174"/>
      <c r="Q66" s="39"/>
      <c r="R66" s="174"/>
      <c r="S66" s="174"/>
      <c r="T66" s="174"/>
      <c r="U66" s="174"/>
      <c r="V66" s="174"/>
      <c r="W66" s="107"/>
      <c r="X66" s="107"/>
      <c r="Y66" s="107"/>
      <c r="Z66" s="107"/>
      <c r="AA66" s="107"/>
      <c r="AB66" s="107"/>
      <c r="AC66" s="107"/>
      <c r="AD66" s="107"/>
      <c r="AE66" s="9"/>
      <c r="AF66" s="9"/>
      <c r="AG66" s="121"/>
      <c r="AH66" s="174"/>
      <c r="AI66" s="174"/>
      <c r="AJ66" s="174"/>
      <c r="AK66" s="174"/>
      <c r="AL66" s="174"/>
      <c r="AM66" s="174"/>
      <c r="AN66" s="174"/>
      <c r="AO66" s="174"/>
      <c r="AP66" s="174"/>
      <c r="AQ66" s="174"/>
      <c r="AR66" s="174"/>
      <c r="AS66" s="174"/>
      <c r="AT66" s="39"/>
      <c r="AU66" s="39"/>
      <c r="AV66" s="174"/>
      <c r="AW66" s="174"/>
      <c r="AX66" s="174"/>
      <c r="AY66" s="174"/>
      <c r="AZ66" s="174"/>
      <c r="BA66" s="174"/>
      <c r="BB66" s="174"/>
      <c r="BC66" s="174"/>
      <c r="BD66" s="174"/>
      <c r="BE66" s="174"/>
      <c r="BF66" s="174"/>
      <c r="BG66" s="174"/>
      <c r="BH66" s="174"/>
      <c r="BI66" s="177"/>
      <c r="BK66" s="174"/>
      <c r="BL66" s="1"/>
      <c r="BM66" s="128"/>
      <c r="BN66" s="128"/>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116"/>
      <c r="CN66" s="1117"/>
      <c r="CO66" s="1117"/>
      <c r="CP66" s="1117"/>
      <c r="CQ66" s="1117"/>
      <c r="CR66" s="1117"/>
      <c r="CS66" s="1117"/>
      <c r="CT66" s="1117"/>
      <c r="CU66" s="1117"/>
      <c r="CV66" s="1117"/>
      <c r="CW66" s="1117"/>
      <c r="CX66" s="1119"/>
      <c r="CY66" s="136"/>
      <c r="CZ66" s="1705"/>
      <c r="DA66" s="1706"/>
      <c r="DB66" s="1706"/>
      <c r="DC66" s="1706"/>
      <c r="DD66" s="1706"/>
      <c r="DE66" s="1706"/>
      <c r="DF66" s="1706"/>
      <c r="DG66" s="1706"/>
      <c r="DH66" s="1706"/>
      <c r="DI66" s="1707"/>
      <c r="DJ66" s="1711"/>
      <c r="DK66" s="1712"/>
      <c r="DL66" s="1712"/>
      <c r="DM66" s="1713"/>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07"/>
      <c r="X67" s="107"/>
      <c r="Y67" s="107"/>
      <c r="Z67" s="107"/>
      <c r="AA67" s="107"/>
      <c r="AB67" s="107"/>
      <c r="AC67" s="107"/>
      <c r="AD67" s="107"/>
      <c r="AE67" s="36"/>
      <c r="AF67" s="9"/>
      <c r="AG67" s="121"/>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28"/>
      <c r="BN67" s="128"/>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07"/>
      <c r="X68" s="107"/>
      <c r="Y68" s="107"/>
      <c r="Z68" s="107"/>
      <c r="AA68" s="107"/>
      <c r="AB68" s="107"/>
      <c r="AC68" s="107"/>
      <c r="AD68" s="107"/>
      <c r="AE68" s="9"/>
      <c r="AF68" s="9"/>
      <c r="AG68" s="121"/>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28"/>
      <c r="BN68" s="128"/>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07"/>
      <c r="X69" s="107"/>
      <c r="Y69" s="107"/>
      <c r="Z69" s="107"/>
      <c r="AA69" s="107"/>
      <c r="AB69" s="107"/>
      <c r="AC69" s="107"/>
      <c r="AD69" s="107"/>
      <c r="AE69" s="36"/>
      <c r="AF69" s="9"/>
      <c r="AG69" s="121"/>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07"/>
      <c r="X70" s="107"/>
      <c r="Y70" s="107"/>
      <c r="Z70" s="107"/>
      <c r="AA70" s="107"/>
      <c r="AB70" s="107"/>
      <c r="AC70" s="107"/>
      <c r="AD70" s="107"/>
      <c r="AE70" s="9"/>
      <c r="AF70" s="9"/>
      <c r="AG70" s="121"/>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07"/>
      <c r="X71" s="107"/>
      <c r="Y71" s="107"/>
      <c r="Z71" s="107"/>
      <c r="AA71" s="107"/>
      <c r="AB71" s="107"/>
      <c r="AC71" s="107"/>
      <c r="AD71" s="107"/>
      <c r="AE71" s="36"/>
      <c r="AF71" s="9"/>
      <c r="AG71" s="121"/>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07"/>
      <c r="X72" s="107"/>
      <c r="Y72" s="107"/>
      <c r="Z72" s="107"/>
      <c r="AA72" s="107"/>
      <c r="AB72" s="107"/>
      <c r="AC72" s="107"/>
      <c r="AD72" s="107"/>
      <c r="AE72" s="36"/>
      <c r="AF72" s="9"/>
      <c r="AG72" s="121"/>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4"/>
      <c r="BT72" s="4"/>
      <c r="BU72" s="4"/>
      <c r="BV72" s="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46"/>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07"/>
      <c r="X73" s="107"/>
      <c r="Y73" s="107"/>
      <c r="Z73" s="107"/>
      <c r="AA73" s="107"/>
      <c r="AB73" s="107"/>
      <c r="AC73" s="107"/>
      <c r="AD73" s="107"/>
      <c r="AE73" s="9"/>
      <c r="AF73" s="9"/>
      <c r="AG73" s="121"/>
      <c r="AH73" s="121"/>
      <c r="AI73" s="121"/>
      <c r="AJ73" s="121"/>
      <c r="AK73" s="121"/>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4"/>
      <c r="BQ73" s="4"/>
      <c r="BR73" s="4"/>
      <c r="BS73" s="4"/>
      <c r="BT73" s="4"/>
      <c r="BU73" s="4"/>
      <c r="BV73" s="4"/>
      <c r="BW73" s="4"/>
      <c r="BX73" s="4"/>
      <c r="BY73" s="4"/>
      <c r="BZ73" s="4"/>
      <c r="CA73" s="4"/>
      <c r="CB73" s="4"/>
      <c r="CC73" s="4"/>
      <c r="CD73" s="4"/>
      <c r="CE73" s="4"/>
      <c r="CF73" s="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201">
    <mergeCell ref="AS10:AV11"/>
    <mergeCell ref="AW10:AZ11"/>
    <mergeCell ref="BA10:BD11"/>
    <mergeCell ref="BE10:BH11"/>
    <mergeCell ref="AS12:AV13"/>
    <mergeCell ref="AW12:AZ13"/>
    <mergeCell ref="BA12:BD13"/>
    <mergeCell ref="BE12:BH13"/>
    <mergeCell ref="C8:J9"/>
    <mergeCell ref="K8:AJ9"/>
    <mergeCell ref="C10:J11"/>
    <mergeCell ref="K10:AJ11"/>
    <mergeCell ref="C12:J13"/>
    <mergeCell ref="K12:AJ13"/>
    <mergeCell ref="AK10:AR13"/>
    <mergeCell ref="B1:BI2"/>
    <mergeCell ref="B3:BI4"/>
    <mergeCell ref="C6:J7"/>
    <mergeCell ref="K6:AJ7"/>
    <mergeCell ref="AK6:BH7"/>
    <mergeCell ref="AK8:AP9"/>
    <mergeCell ref="AQ8:AV9"/>
    <mergeCell ref="AW8:BB9"/>
    <mergeCell ref="BC8:BH9"/>
    <mergeCell ref="AT62:AW63"/>
    <mergeCell ref="AT64:AW65"/>
    <mergeCell ref="F20:Q22"/>
    <mergeCell ref="F23:I24"/>
    <mergeCell ref="F25:I26"/>
    <mergeCell ref="AT59:BE61"/>
    <mergeCell ref="AT20:BE22"/>
    <mergeCell ref="AT23:AW24"/>
    <mergeCell ref="F59:Q61"/>
    <mergeCell ref="F62:I63"/>
    <mergeCell ref="AX23:BA24"/>
    <mergeCell ref="BB23:BE24"/>
    <mergeCell ref="AX62:BA63"/>
    <mergeCell ref="BB62:BE63"/>
    <mergeCell ref="AX64:BA65"/>
    <mergeCell ref="BB64:BE65"/>
    <mergeCell ref="J62:M63"/>
    <mergeCell ref="N62:Q63"/>
    <mergeCell ref="J23:M24"/>
    <mergeCell ref="N23:Q24"/>
    <mergeCell ref="J25:M26"/>
    <mergeCell ref="N25:Q26"/>
    <mergeCell ref="BL1:DS2"/>
    <mergeCell ref="BL3:DS4"/>
    <mergeCell ref="CX5:DD6"/>
    <mergeCell ref="CX7:DB8"/>
    <mergeCell ref="DC7:DD8"/>
    <mergeCell ref="DE7:DI8"/>
    <mergeCell ref="DJ7:DK8"/>
    <mergeCell ref="CX11:DB12"/>
    <mergeCell ref="DC11:DD12"/>
    <mergeCell ref="DE11:DI12"/>
    <mergeCell ref="DJ11:DK12"/>
    <mergeCell ref="DL11:DP12"/>
    <mergeCell ref="DE5:DP6"/>
    <mergeCell ref="BR11:CA12"/>
    <mergeCell ref="CB11:CE12"/>
    <mergeCell ref="CG11:CI14"/>
    <mergeCell ref="CJ11:CL14"/>
    <mergeCell ref="CM11:CO14"/>
    <mergeCell ref="CP11:CR14"/>
    <mergeCell ref="DL7:DP8"/>
    <mergeCell ref="CX9:DB10"/>
    <mergeCell ref="DC9:DD10"/>
    <mergeCell ref="DE9:DI10"/>
    <mergeCell ref="DJ9:DK10"/>
    <mergeCell ref="DL9:DP10"/>
    <mergeCell ref="BR16:BT17"/>
    <mergeCell ref="CB16:CD17"/>
    <mergeCell ref="CG16:CI16"/>
    <mergeCell ref="CJ16:CL16"/>
    <mergeCell ref="CM16:CO16"/>
    <mergeCell ref="CP16:CR16"/>
    <mergeCell ref="BR13:CA14"/>
    <mergeCell ref="CB13:CE14"/>
    <mergeCell ref="BU15:BW18"/>
    <mergeCell ref="BY15:CA18"/>
    <mergeCell ref="CG15:CI15"/>
    <mergeCell ref="CJ15:CL15"/>
    <mergeCell ref="CM15:CO15"/>
    <mergeCell ref="CP15:CR15"/>
    <mergeCell ref="BU19:BW20"/>
    <mergeCell ref="BY19:CA20"/>
    <mergeCell ref="DC19:DD23"/>
    <mergeCell ref="BR24:BY24"/>
    <mergeCell ref="CA24:CC27"/>
    <mergeCell ref="CD24:CF27"/>
    <mergeCell ref="CH24:CO24"/>
    <mergeCell ref="DC15:DD18"/>
    <mergeCell ref="DE15:DE23"/>
    <mergeCell ref="DB25:DE27"/>
    <mergeCell ref="CU25:CY27"/>
    <mergeCell ref="CZ25:CZ27"/>
    <mergeCell ref="DA25:DA27"/>
    <mergeCell ref="DI26:DI28"/>
    <mergeCell ref="DJ26:DJ28"/>
    <mergeCell ref="DK26:DN28"/>
    <mergeCell ref="CA29:CC29"/>
    <mergeCell ref="CD29:CF29"/>
    <mergeCell ref="BR27:BU28"/>
    <mergeCell ref="BV27:BY28"/>
    <mergeCell ref="CA28:CC28"/>
    <mergeCell ref="CD28:CF28"/>
    <mergeCell ref="CS25:CT27"/>
    <mergeCell ref="BR25:BU26"/>
    <mergeCell ref="BV25:BY26"/>
    <mergeCell ref="CH25:CK26"/>
    <mergeCell ref="CL25:CO26"/>
    <mergeCell ref="CQ25:CR27"/>
    <mergeCell ref="CA35:CC36"/>
    <mergeCell ref="CD35:CF36"/>
    <mergeCell ref="DI32:DI34"/>
    <mergeCell ref="DJ32:DJ34"/>
    <mergeCell ref="DK32:DN34"/>
    <mergeCell ref="DA33:DB37"/>
    <mergeCell ref="DC33:DD37"/>
    <mergeCell ref="DI35:DI37"/>
    <mergeCell ref="DJ35:DJ37"/>
    <mergeCell ref="CA30:CC34"/>
    <mergeCell ref="CD30:CF34"/>
    <mergeCell ref="DA29:DB32"/>
    <mergeCell ref="DC29:DD32"/>
    <mergeCell ref="DE29:DE37"/>
    <mergeCell ref="DI29:DI31"/>
    <mergeCell ref="DJ29:DJ31"/>
    <mergeCell ref="CA37:CC38"/>
    <mergeCell ref="CD37:CF38"/>
    <mergeCell ref="DK35:DN37"/>
    <mergeCell ref="DK29:DN31"/>
    <mergeCell ref="BQ46:BT48"/>
    <mergeCell ref="BU46:BU48"/>
    <mergeCell ref="BV46:BV48"/>
    <mergeCell ref="CA45:CB48"/>
    <mergeCell ref="CC45:CD48"/>
    <mergeCell ref="BQ49:BT51"/>
    <mergeCell ref="BQ40:BT42"/>
    <mergeCell ref="BU40:BU42"/>
    <mergeCell ref="BV40:BV42"/>
    <mergeCell ref="BZ40:BZ48"/>
    <mergeCell ref="CA40:CB44"/>
    <mergeCell ref="CC40:CD44"/>
    <mergeCell ref="BQ43:BT45"/>
    <mergeCell ref="BU43:BU45"/>
    <mergeCell ref="BV43:BV45"/>
    <mergeCell ref="BU49:BU51"/>
    <mergeCell ref="BV49:BV51"/>
    <mergeCell ref="CA59:CB62"/>
    <mergeCell ref="CZ59:DB60"/>
    <mergeCell ref="DC59:DE62"/>
    <mergeCell ref="CP51:CS52"/>
    <mergeCell ref="CT51:CW52"/>
    <mergeCell ref="DF51:DI52"/>
    <mergeCell ref="DJ51:DM52"/>
    <mergeCell ref="CP53:CW53"/>
    <mergeCell ref="DF53:DM53"/>
    <mergeCell ref="CM62:CO62"/>
    <mergeCell ref="CP62:CR62"/>
    <mergeCell ref="CS62:CU62"/>
    <mergeCell ref="CV62:CX62"/>
    <mergeCell ref="BZ50:CC52"/>
    <mergeCell ref="CD50:CD52"/>
    <mergeCell ref="CE50:CE52"/>
    <mergeCell ref="CF50:CJ52"/>
    <mergeCell ref="BZ54:BZ62"/>
    <mergeCell ref="CA54:CB58"/>
    <mergeCell ref="CK50:CL52"/>
    <mergeCell ref="CM50:CN52"/>
    <mergeCell ref="CM63:CO66"/>
    <mergeCell ref="CP63:CR66"/>
    <mergeCell ref="CS63:CU66"/>
    <mergeCell ref="CV63:CX66"/>
    <mergeCell ref="DG59:DI62"/>
    <mergeCell ref="CM61:CO61"/>
    <mergeCell ref="CP61:CR61"/>
    <mergeCell ref="CS61:CU61"/>
    <mergeCell ref="CV61:CX61"/>
    <mergeCell ref="CZ63:DI64"/>
    <mergeCell ref="CY39:DA40"/>
    <mergeCell ref="DB39:DD40"/>
    <mergeCell ref="DJ63:DM64"/>
    <mergeCell ref="CZ65:DI66"/>
    <mergeCell ref="DJ65:DM66"/>
    <mergeCell ref="DJ59:DL60"/>
    <mergeCell ref="DC57:DE58"/>
    <mergeCell ref="DG57:DI58"/>
    <mergeCell ref="CY41:DA42"/>
    <mergeCell ref="DB41:DD42"/>
    <mergeCell ref="CY43:DA47"/>
    <mergeCell ref="DB43:DD47"/>
    <mergeCell ref="DF49:DI50"/>
    <mergeCell ref="DJ49:DM50"/>
    <mergeCell ref="CY50:DA53"/>
    <mergeCell ref="DB50:DD53"/>
    <mergeCell ref="CY48:DA48"/>
    <mergeCell ref="DB48:DD48"/>
    <mergeCell ref="CY49:DA49"/>
    <mergeCell ref="DB49:DD49"/>
  </mergeCells>
  <conditionalFormatting sqref="J23 AX23 J25 CS25 CA35 CD35 CY41 DB41 CK50 J62 AX62 AX64">
    <cfRule type="cellIs" dxfId="94" priority="43" operator="greaterThan">
      <formula>1</formula>
    </cfRule>
    <cfRule type="cellIs" dxfId="93" priority="44" operator="between">
      <formula>0.875</formula>
      <formula>1</formula>
    </cfRule>
    <cfRule type="cellIs" dxfId="92" priority="45" operator="between">
      <formula>0.75</formula>
      <formula>0.875</formula>
    </cfRule>
  </conditionalFormatting>
  <conditionalFormatting sqref="AT10">
    <cfRule type="cellIs" dxfId="91" priority="13" operator="between">
      <formula>0.75</formula>
      <formula>0.875</formula>
    </cfRule>
    <cfRule type="cellIs" dxfId="90" priority="14" operator="between">
      <formula>0.875</formula>
      <formula>1</formula>
    </cfRule>
    <cfRule type="cellIs" dxfId="89" priority="15" operator="greaterThan">
      <formula>1</formula>
    </cfRule>
  </conditionalFormatting>
  <conditionalFormatting sqref="AT12">
    <cfRule type="cellIs" dxfId="88" priority="10" operator="between">
      <formula>0.75</formula>
      <formula>0.875</formula>
    </cfRule>
    <cfRule type="cellIs" dxfId="87" priority="11" operator="between">
      <formula>0.875</formula>
      <formula>1</formula>
    </cfRule>
    <cfRule type="cellIs" dxfId="86" priority="12" operator="greaterThan">
      <formula>1</formula>
    </cfRule>
  </conditionalFormatting>
  <conditionalFormatting sqref="AU25 J65">
    <cfRule type="cellIs" dxfId="85" priority="53" operator="equal">
      <formula>"won't work"</formula>
    </cfRule>
  </conditionalFormatting>
  <conditionalFormatting sqref="AW10 BD10:BE10 AW12 BD12:BE12">
    <cfRule type="cellIs" dxfId="84" priority="5" operator="between">
      <formula>0.75</formula>
      <formula>0.875</formula>
    </cfRule>
  </conditionalFormatting>
  <conditionalFormatting sqref="AW10 BE10 AW12 BE12">
    <cfRule type="cellIs" dxfId="83" priority="1" operator="between">
      <formula>0.875</formula>
      <formula>0.99</formula>
    </cfRule>
    <cfRule type="cellIs" dxfId="82" priority="2" operator="between">
      <formula>0.75</formula>
      <formula>0.875</formula>
    </cfRule>
    <cfRule type="cellIs" dxfId="81" priority="3" operator="greaterThan">
      <formula>1</formula>
    </cfRule>
    <cfRule type="cellIs" dxfId="80" priority="4" operator="between">
      <formula>0.875</formula>
      <formula>0.99</formula>
    </cfRule>
    <cfRule type="cellIs" dxfId="79" priority="22" operator="between">
      <formula>0.875</formula>
      <formula>0.99</formula>
    </cfRule>
    <cfRule type="cellIs" dxfId="78" priority="23" operator="between">
      <formula>0.75</formula>
      <formula>0.875</formula>
    </cfRule>
  </conditionalFormatting>
  <conditionalFormatting sqref="AW10">
    <cfRule type="cellIs" dxfId="77" priority="8" operator="between">
      <formula>0.875</formula>
      <formula>1</formula>
    </cfRule>
    <cfRule type="cellIs" dxfId="76" priority="26" operator="between">
      <formula>0.875</formula>
      <formula>1</formula>
    </cfRule>
  </conditionalFormatting>
  <conditionalFormatting sqref="BD10">
    <cfRule type="cellIs" dxfId="75" priority="20" operator="between">
      <formula>0.875</formula>
      <formula>1</formula>
    </cfRule>
    <cfRule type="cellIs" dxfId="74" priority="21" operator="greaterThan">
      <formula>1</formula>
    </cfRule>
  </conditionalFormatting>
  <conditionalFormatting sqref="BD12">
    <cfRule type="cellIs" dxfId="73" priority="17" operator="between">
      <formula>0.875</formula>
      <formula>1</formula>
    </cfRule>
    <cfRule type="cellIs" dxfId="72" priority="18"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8" tint="0.39997558519241921"/>
  </sheetPr>
  <dimension ref="A1:HL157"/>
  <sheetViews>
    <sheetView showGridLines="0" showRowColHeaders="0" zoomScale="90" zoomScaleNormal="90" zoomScalePageLayoutView="85" workbookViewId="0">
      <selection activeCell="BJ2" sqref="BJ2"/>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42578125" customWidth="1"/>
    <col min="125" max="220" width="1.7109375" hidden="1" customWidth="1"/>
    <col min="221" max="16384" width="9.140625" hidden="1"/>
  </cols>
  <sheetData>
    <row r="1" spans="2:123" ht="9.9499999999999993" customHeight="1">
      <c r="B1" s="571" t="s">
        <v>155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155</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thickBot="1">
      <c r="B2" s="1668"/>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c r="BF2" s="1669"/>
      <c r="BG2" s="1669"/>
      <c r="BH2" s="1669"/>
      <c r="BI2" s="1670"/>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15" t="s">
        <v>102</v>
      </c>
      <c r="C3" s="816"/>
      <c r="D3" s="816"/>
      <c r="E3" s="816"/>
      <c r="F3" s="816"/>
      <c r="G3" s="816"/>
      <c r="H3" s="816"/>
      <c r="I3" s="816"/>
      <c r="J3" s="816"/>
      <c r="K3" s="816"/>
      <c r="L3" s="816"/>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c r="AW3" s="816"/>
      <c r="AX3" s="816"/>
      <c r="AY3" s="816"/>
      <c r="AZ3" s="816"/>
      <c r="BA3" s="816"/>
      <c r="BB3" s="816"/>
      <c r="BC3" s="816"/>
      <c r="BD3" s="816"/>
      <c r="BE3" s="816"/>
      <c r="BF3" s="816"/>
      <c r="BG3" s="816"/>
      <c r="BH3" s="816"/>
      <c r="BI3" s="822"/>
      <c r="BJ3" s="165"/>
      <c r="BK3" s="174"/>
      <c r="BL3" s="1084" t="s">
        <v>97</v>
      </c>
      <c r="BM3" s="1075"/>
      <c r="BN3" s="1075"/>
      <c r="BO3" s="1075"/>
      <c r="BP3" s="1075"/>
      <c r="BQ3" s="1075"/>
      <c r="BR3" s="1075"/>
      <c r="BS3" s="1075"/>
      <c r="BT3" s="1075"/>
      <c r="BU3" s="1075"/>
      <c r="BV3" s="1075"/>
      <c r="BW3" s="1075"/>
      <c r="BX3" s="1075"/>
      <c r="BY3" s="1075"/>
      <c r="BZ3" s="1075"/>
      <c r="CA3" s="1075"/>
      <c r="CB3" s="1075"/>
      <c r="CC3" s="1075"/>
      <c r="CD3" s="1075"/>
      <c r="CE3" s="1075"/>
      <c r="CF3" s="1075"/>
      <c r="CG3" s="1075"/>
      <c r="CH3" s="1075"/>
      <c r="CI3" s="1075"/>
      <c r="CJ3" s="1075"/>
      <c r="CK3" s="1075"/>
      <c r="CL3" s="1075"/>
      <c r="CM3" s="1075"/>
      <c r="CN3" s="1075"/>
      <c r="CO3" s="1075"/>
      <c r="CP3" s="1075"/>
      <c r="CQ3" s="1075"/>
      <c r="CR3" s="1075"/>
      <c r="CS3" s="1075"/>
      <c r="CT3" s="1075"/>
      <c r="CU3" s="1075"/>
      <c r="CV3" s="1075"/>
      <c r="CW3" s="1075"/>
      <c r="CX3" s="1075"/>
      <c r="CY3" s="1075"/>
      <c r="CZ3" s="1075"/>
      <c r="DA3" s="1075"/>
      <c r="DB3" s="1075"/>
      <c r="DC3" s="1075"/>
      <c r="DD3" s="1075"/>
      <c r="DE3" s="1075"/>
      <c r="DF3" s="1075"/>
      <c r="DG3" s="1075"/>
      <c r="DH3" s="1075"/>
      <c r="DI3" s="1075"/>
      <c r="DJ3" s="1075"/>
      <c r="DK3" s="1075"/>
      <c r="DL3" s="1075"/>
      <c r="DM3" s="1075"/>
      <c r="DN3" s="1075"/>
      <c r="DO3" s="1075"/>
      <c r="DP3" s="1075"/>
      <c r="DQ3" s="1075"/>
      <c r="DR3" s="1075"/>
      <c r="DS3" s="1076"/>
    </row>
    <row r="4" spans="2:123" ht="9.9499999999999993" customHeight="1" thickBot="1">
      <c r="B4" s="792"/>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c r="BA4" s="793"/>
      <c r="BB4" s="793"/>
      <c r="BC4" s="793"/>
      <c r="BD4" s="793"/>
      <c r="BE4" s="793"/>
      <c r="BF4" s="793"/>
      <c r="BG4" s="793"/>
      <c r="BH4" s="793"/>
      <c r="BI4" s="814"/>
      <c r="BJ4" s="165"/>
      <c r="BK4" s="174"/>
      <c r="BL4" s="1106"/>
      <c r="BM4" s="1094"/>
      <c r="BN4" s="1094"/>
      <c r="BO4" s="1094"/>
      <c r="BP4" s="1094"/>
      <c r="BQ4" s="1094"/>
      <c r="BR4" s="1094"/>
      <c r="BS4" s="1094"/>
      <c r="BT4" s="1094"/>
      <c r="BU4" s="1094"/>
      <c r="BV4" s="1094"/>
      <c r="BW4" s="1094"/>
      <c r="BX4" s="1094"/>
      <c r="BY4" s="1094"/>
      <c r="BZ4" s="1094"/>
      <c r="CA4" s="1094"/>
      <c r="CB4" s="1094"/>
      <c r="CC4" s="1094"/>
      <c r="CD4" s="1094"/>
      <c r="CE4" s="1094"/>
      <c r="CF4" s="1094"/>
      <c r="CG4" s="1094"/>
      <c r="CH4" s="1094"/>
      <c r="CI4" s="1094"/>
      <c r="CJ4" s="1094"/>
      <c r="CK4" s="1094"/>
      <c r="CL4" s="1094"/>
      <c r="CM4" s="1094"/>
      <c r="CN4" s="1094"/>
      <c r="CO4" s="1094"/>
      <c r="CP4" s="1094"/>
      <c r="CQ4" s="1094"/>
      <c r="CR4" s="1094"/>
      <c r="CS4" s="1094"/>
      <c r="CT4" s="1094"/>
      <c r="CU4" s="1094"/>
      <c r="CV4" s="1094"/>
      <c r="CW4" s="1094"/>
      <c r="CX4" s="1094"/>
      <c r="CY4" s="1094"/>
      <c r="CZ4" s="1094"/>
      <c r="DA4" s="1094"/>
      <c r="DB4" s="1094"/>
      <c r="DC4" s="1094"/>
      <c r="DD4" s="1094"/>
      <c r="DE4" s="1094"/>
      <c r="DF4" s="1094"/>
      <c r="DG4" s="1094"/>
      <c r="DH4" s="1094"/>
      <c r="DI4" s="1094"/>
      <c r="DJ4" s="1094"/>
      <c r="DK4" s="1094"/>
      <c r="DL4" s="1094"/>
      <c r="DM4" s="1094"/>
      <c r="DN4" s="1094"/>
      <c r="DO4" s="1094"/>
      <c r="DP4" s="1094"/>
      <c r="DQ4" s="1094"/>
      <c r="DR4" s="1094"/>
      <c r="DS4" s="1095"/>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469" t="s">
        <v>141</v>
      </c>
      <c r="CZ5" s="470"/>
      <c r="DA5" s="470"/>
      <c r="DB5" s="470"/>
      <c r="DC5" s="470"/>
      <c r="DD5" s="470"/>
      <c r="DE5" s="470"/>
      <c r="DF5" s="1497" t="s">
        <v>142</v>
      </c>
      <c r="DG5" s="1497"/>
      <c r="DH5" s="1497"/>
      <c r="DI5" s="1497"/>
      <c r="DJ5" s="1497"/>
      <c r="DK5" s="1497"/>
      <c r="DL5" s="1497"/>
      <c r="DM5" s="1497"/>
      <c r="DN5" s="1497"/>
      <c r="DO5" s="1497"/>
      <c r="DP5" s="1497"/>
      <c r="DQ5" s="1497"/>
      <c r="DR5" s="174"/>
      <c r="DS5" s="177"/>
    </row>
    <row r="6" spans="2:123" ht="9.9499999999999993" customHeight="1" thickBot="1">
      <c r="B6" s="1"/>
      <c r="C6" s="1671" t="s">
        <v>3</v>
      </c>
      <c r="D6" s="1672"/>
      <c r="E6" s="1672"/>
      <c r="F6" s="1672"/>
      <c r="G6" s="1672"/>
      <c r="H6" s="1672"/>
      <c r="I6" s="1672"/>
      <c r="J6" s="1673"/>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479"/>
      <c r="CZ6" s="1480"/>
      <c r="DA6" s="1480"/>
      <c r="DB6" s="1480"/>
      <c r="DC6" s="1480"/>
      <c r="DD6" s="1480"/>
      <c r="DE6" s="1480"/>
      <c r="DF6" s="1494"/>
      <c r="DG6" s="1494"/>
      <c r="DH6" s="1494"/>
      <c r="DI6" s="1494"/>
      <c r="DJ6" s="1494"/>
      <c r="DK6" s="1494"/>
      <c r="DL6" s="1494"/>
      <c r="DM6" s="1494"/>
      <c r="DN6" s="1494"/>
      <c r="DO6" s="1494"/>
      <c r="DP6" s="1494"/>
      <c r="DQ6" s="1494"/>
      <c r="DR6" s="174"/>
      <c r="DS6" s="177"/>
    </row>
    <row r="7" spans="2:123" ht="9.9499999999999993" customHeight="1" thickBot="1">
      <c r="B7" s="1"/>
      <c r="C7" s="1674"/>
      <c r="D7" s="1675"/>
      <c r="E7" s="1675"/>
      <c r="F7" s="1675"/>
      <c r="G7" s="1675"/>
      <c r="H7" s="1675"/>
      <c r="I7" s="1675"/>
      <c r="J7" s="1676"/>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481" t="s">
        <v>147</v>
      </c>
      <c r="CZ7" s="1482"/>
      <c r="DA7" s="1482"/>
      <c r="DB7" s="1482"/>
      <c r="DC7" s="1483"/>
      <c r="DD7" s="1487" t="s">
        <v>144</v>
      </c>
      <c r="DE7" s="1488"/>
      <c r="DF7" s="1764">
        <v>1130</v>
      </c>
      <c r="DG7" s="1922"/>
      <c r="DH7" s="1922"/>
      <c r="DI7" s="1922"/>
      <c r="DJ7" s="1947"/>
      <c r="DK7" s="1487" t="s">
        <v>145</v>
      </c>
      <c r="DL7" s="1488"/>
      <c r="DM7" s="1490">
        <v>7.5000000000000002E-4</v>
      </c>
      <c r="DN7" s="1490"/>
      <c r="DO7" s="1490"/>
      <c r="DP7" s="1490"/>
      <c r="DQ7" s="1491"/>
      <c r="DR7" s="174"/>
      <c r="DS7" s="177"/>
    </row>
    <row r="8" spans="2:123" ht="9.9499999999999993" customHeight="1" thickBot="1">
      <c r="B8" s="1"/>
      <c r="C8" s="1686" t="s">
        <v>5</v>
      </c>
      <c r="D8" s="1687"/>
      <c r="E8" s="1687"/>
      <c r="F8" s="1687"/>
      <c r="G8" s="1687"/>
      <c r="H8" s="1687"/>
      <c r="I8" s="1687"/>
      <c r="J8" s="168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206"/>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484"/>
      <c r="CZ8" s="1485"/>
      <c r="DA8" s="1485"/>
      <c r="DB8" s="1485"/>
      <c r="DC8" s="1486"/>
      <c r="DD8" s="1489"/>
      <c r="DE8" s="1489"/>
      <c r="DF8" s="1925"/>
      <c r="DG8" s="1909"/>
      <c r="DH8" s="1909"/>
      <c r="DI8" s="1909"/>
      <c r="DJ8" s="1912"/>
      <c r="DK8" s="1489"/>
      <c r="DL8" s="1489"/>
      <c r="DM8" s="1492"/>
      <c r="DN8" s="1492"/>
      <c r="DO8" s="1492"/>
      <c r="DP8" s="1492"/>
      <c r="DQ8" s="1493"/>
      <c r="DR8" s="174"/>
      <c r="DS8" s="177"/>
    </row>
    <row r="9" spans="2:123" ht="9.9499999999999993" customHeight="1" thickBot="1">
      <c r="B9" s="1"/>
      <c r="C9" s="1674"/>
      <c r="D9" s="1675"/>
      <c r="E9" s="1675"/>
      <c r="F9" s="1675"/>
      <c r="G9" s="1675"/>
      <c r="H9" s="1675"/>
      <c r="I9" s="1675"/>
      <c r="J9" s="1676"/>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20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481" t="s">
        <v>148</v>
      </c>
      <c r="CZ9" s="1482"/>
      <c r="DA9" s="1482"/>
      <c r="DB9" s="1482"/>
      <c r="DC9" s="1483"/>
      <c r="DD9" s="1487" t="s">
        <v>144</v>
      </c>
      <c r="DE9" s="1488"/>
      <c r="DF9" s="1765">
        <v>1130</v>
      </c>
      <c r="DG9" s="1902"/>
      <c r="DH9" s="1902"/>
      <c r="DI9" s="1902"/>
      <c r="DJ9" s="1903"/>
      <c r="DK9" s="1487" t="s">
        <v>145</v>
      </c>
      <c r="DL9" s="1488"/>
      <c r="DM9" s="1490">
        <v>6.9999999999999999E-4</v>
      </c>
      <c r="DN9" s="1490"/>
      <c r="DO9" s="1490"/>
      <c r="DP9" s="1490"/>
      <c r="DQ9" s="1491"/>
      <c r="DR9" s="174"/>
      <c r="DS9" s="177"/>
    </row>
    <row r="10" spans="2:123" ht="9.9499999999999993" customHeight="1" thickBot="1">
      <c r="B10" s="1"/>
      <c r="C10" s="1686" t="s">
        <v>7</v>
      </c>
      <c r="D10" s="1687"/>
      <c r="E10" s="1687"/>
      <c r="F10" s="1687"/>
      <c r="G10" s="1687"/>
      <c r="H10" s="1687"/>
      <c r="I10" s="1687"/>
      <c r="J10" s="168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206"/>
      <c r="AK10" s="712" t="s">
        <v>98</v>
      </c>
      <c r="AL10" s="1474"/>
      <c r="AM10" s="1474"/>
      <c r="AN10" s="1474"/>
      <c r="AO10" s="1474"/>
      <c r="AP10" s="1474"/>
      <c r="AQ10" s="1474"/>
      <c r="AR10" s="1475"/>
      <c r="AS10" s="1459" t="s">
        <v>127</v>
      </c>
      <c r="AT10" s="1460"/>
      <c r="AU10" s="1460"/>
      <c r="AV10" s="1461"/>
      <c r="AW10" s="1471">
        <f>MAX(J23:M26)</f>
        <v>1.8300388181118921</v>
      </c>
      <c r="AX10" s="1472"/>
      <c r="AY10" s="1472"/>
      <c r="AZ10" s="1473"/>
      <c r="BA10" s="1459" t="s">
        <v>149</v>
      </c>
      <c r="BB10" s="1460"/>
      <c r="BC10" s="1460"/>
      <c r="BD10" s="1461"/>
      <c r="BE10" s="1471">
        <f>MAX(AX23:BA26)</f>
        <v>2.6274243617308728</v>
      </c>
      <c r="BF10" s="1472"/>
      <c r="BG10" s="1472"/>
      <c r="BH10" s="1473"/>
      <c r="BI10" s="177"/>
      <c r="BK10" s="174"/>
      <c r="BL10" s="1"/>
      <c r="BM10" s="39"/>
      <c r="BN10" s="39"/>
      <c r="BO10" s="174"/>
      <c r="BP10" s="174"/>
      <c r="BQ10" s="174"/>
      <c r="BR10" s="174"/>
      <c r="BS10" s="174"/>
      <c r="BT10" s="174"/>
      <c r="BU10" s="174"/>
      <c r="BV10" s="174"/>
      <c r="BW10" s="174"/>
      <c r="BX10" s="174"/>
      <c r="BY10" s="174"/>
      <c r="BZ10" s="174"/>
      <c r="CA10" s="174"/>
      <c r="CB10" s="174"/>
      <c r="CC10" s="174"/>
      <c r="CD10" s="174"/>
      <c r="CE10" s="168"/>
      <c r="CF10" s="168"/>
      <c r="CG10" s="174"/>
      <c r="CH10" s="174"/>
      <c r="CI10" s="174"/>
      <c r="CJ10" s="174"/>
      <c r="CK10" s="174"/>
      <c r="CL10" s="174"/>
      <c r="CM10" s="174"/>
      <c r="CN10" s="174"/>
      <c r="CO10" s="174"/>
      <c r="CP10" s="174"/>
      <c r="CQ10" s="174"/>
      <c r="CR10" s="174"/>
      <c r="CS10" s="174"/>
      <c r="CT10" s="174"/>
      <c r="CU10" s="174"/>
      <c r="CV10" s="174"/>
      <c r="CW10" s="174"/>
      <c r="CX10" s="174"/>
      <c r="CY10" s="1484"/>
      <c r="CZ10" s="1485"/>
      <c r="DA10" s="1485"/>
      <c r="DB10" s="1485"/>
      <c r="DC10" s="1486"/>
      <c r="DD10" s="1489"/>
      <c r="DE10" s="1489"/>
      <c r="DF10" s="1925"/>
      <c r="DG10" s="1909"/>
      <c r="DH10" s="1909"/>
      <c r="DI10" s="1909"/>
      <c r="DJ10" s="1912"/>
      <c r="DK10" s="1489"/>
      <c r="DL10" s="1489"/>
      <c r="DM10" s="1492"/>
      <c r="DN10" s="1492"/>
      <c r="DO10" s="1492"/>
      <c r="DP10" s="1492"/>
      <c r="DQ10" s="1493"/>
      <c r="DR10" s="174"/>
      <c r="DS10" s="177"/>
    </row>
    <row r="11" spans="2:123" ht="9.9499999999999993" customHeight="1" thickBot="1">
      <c r="B11" s="1"/>
      <c r="C11" s="1674"/>
      <c r="D11" s="1675"/>
      <c r="E11" s="1675"/>
      <c r="F11" s="1675"/>
      <c r="G11" s="1675"/>
      <c r="H11" s="1675"/>
      <c r="I11" s="1675"/>
      <c r="J11" s="1676"/>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20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39"/>
      <c r="BN11" s="39"/>
      <c r="BO11" s="39"/>
      <c r="BP11" s="174"/>
      <c r="BQ11" s="174"/>
      <c r="BR11" s="1378" t="s">
        <v>152</v>
      </c>
      <c r="BS11" s="1379"/>
      <c r="BT11" s="1379"/>
      <c r="BU11" s="1379"/>
      <c r="BV11" s="1379"/>
      <c r="BW11" s="1379"/>
      <c r="BX11" s="1379"/>
      <c r="BY11" s="1379"/>
      <c r="BZ11" s="1379"/>
      <c r="CA11" s="1728"/>
      <c r="CB11" s="1753">
        <f>CG16/(CG16+CJ16+CM16+CP16)</f>
        <v>0</v>
      </c>
      <c r="CC11" s="1753"/>
      <c r="CD11" s="1753"/>
      <c r="CE11" s="1754"/>
      <c r="CF11" s="170"/>
      <c r="CG11" s="1051"/>
      <c r="CH11" s="1052"/>
      <c r="CI11" s="1052"/>
      <c r="CJ11" s="1052"/>
      <c r="CK11" s="1052"/>
      <c r="CL11" s="1052"/>
      <c r="CM11" s="1052"/>
      <c r="CN11" s="1052"/>
      <c r="CO11" s="1052"/>
      <c r="CP11" s="1052"/>
      <c r="CQ11" s="1052"/>
      <c r="CR11" s="1057"/>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1686" t="s">
        <v>9</v>
      </c>
      <c r="D12" s="1687"/>
      <c r="E12" s="1687"/>
      <c r="F12" s="1687"/>
      <c r="G12" s="1687"/>
      <c r="H12" s="1687"/>
      <c r="I12" s="1687"/>
      <c r="J12" s="168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208"/>
      <c r="AK12" s="1476"/>
      <c r="AL12" s="1477"/>
      <c r="AM12" s="1477"/>
      <c r="AN12" s="1477"/>
      <c r="AO12" s="1477"/>
      <c r="AP12" s="1477"/>
      <c r="AQ12" s="1477"/>
      <c r="AR12" s="1478"/>
      <c r="AS12" s="1459" t="s">
        <v>128</v>
      </c>
      <c r="AT12" s="1460"/>
      <c r="AU12" s="1460"/>
      <c r="AV12" s="1461"/>
      <c r="AW12" s="1465">
        <f>MAX(J63:M66)</f>
        <v>5.7707965587330667</v>
      </c>
      <c r="AX12" s="1466"/>
      <c r="AY12" s="1466"/>
      <c r="AZ12" s="1467"/>
      <c r="BA12" s="1459" t="s">
        <v>130</v>
      </c>
      <c r="BB12" s="1460"/>
      <c r="BC12" s="1460"/>
      <c r="BD12" s="1461"/>
      <c r="BE12" s="1471">
        <f>MAX(AX63:BA66)</f>
        <v>4.2918200464028935</v>
      </c>
      <c r="BF12" s="1472"/>
      <c r="BG12" s="1472"/>
      <c r="BH12" s="1473"/>
      <c r="BI12" s="177"/>
      <c r="BK12" s="174"/>
      <c r="BL12" s="1"/>
      <c r="BM12" s="38"/>
      <c r="BN12" s="38"/>
      <c r="BO12" s="38"/>
      <c r="BP12" s="174"/>
      <c r="BQ12" s="174"/>
      <c r="BR12" s="1384"/>
      <c r="BS12" s="1385"/>
      <c r="BT12" s="1385"/>
      <c r="BU12" s="1385"/>
      <c r="BV12" s="1385"/>
      <c r="BW12" s="1385"/>
      <c r="BX12" s="1385"/>
      <c r="BY12" s="1385"/>
      <c r="BZ12" s="1385"/>
      <c r="CA12" s="1752"/>
      <c r="CB12" s="1755"/>
      <c r="CC12" s="1755"/>
      <c r="CD12" s="1755"/>
      <c r="CE12" s="1756"/>
      <c r="CF12" s="174"/>
      <c r="CG12" s="1053"/>
      <c r="CH12" s="1054"/>
      <c r="CI12" s="1054"/>
      <c r="CJ12" s="1054"/>
      <c r="CK12" s="1054"/>
      <c r="CL12" s="1054"/>
      <c r="CM12" s="1054"/>
      <c r="CN12" s="1054"/>
      <c r="CO12" s="1054"/>
      <c r="CP12" s="1054"/>
      <c r="CQ12" s="1054"/>
      <c r="CR12" s="1058"/>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1689"/>
      <c r="D13" s="1690"/>
      <c r="E13" s="1690"/>
      <c r="F13" s="1690"/>
      <c r="G13" s="1690"/>
      <c r="H13" s="1690"/>
      <c r="I13" s="1690"/>
      <c r="J13" s="1691"/>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209"/>
      <c r="AK13" s="1476"/>
      <c r="AL13" s="1477"/>
      <c r="AM13" s="1477"/>
      <c r="AN13" s="1477"/>
      <c r="AO13" s="1477"/>
      <c r="AP13" s="1477"/>
      <c r="AQ13" s="1477"/>
      <c r="AR13" s="1478"/>
      <c r="AS13" s="1462"/>
      <c r="AT13" s="1463"/>
      <c r="AU13" s="1463"/>
      <c r="AV13" s="1464"/>
      <c r="AW13" s="1468"/>
      <c r="AX13" s="1469"/>
      <c r="AY13" s="1469"/>
      <c r="AZ13" s="1470"/>
      <c r="BA13" s="1462"/>
      <c r="BB13" s="1463"/>
      <c r="BC13" s="1463"/>
      <c r="BD13" s="1464"/>
      <c r="BE13" s="1468"/>
      <c r="BF13" s="1469"/>
      <c r="BG13" s="1469"/>
      <c r="BH13" s="1470"/>
      <c r="BI13" s="177"/>
      <c r="BK13" s="174"/>
      <c r="BL13" s="17"/>
      <c r="BM13" s="38"/>
      <c r="BN13" s="38"/>
      <c r="BO13" s="38"/>
      <c r="BP13" s="174"/>
      <c r="BQ13" s="174"/>
      <c r="BR13" s="1702" t="s">
        <v>151</v>
      </c>
      <c r="BS13" s="1703"/>
      <c r="BT13" s="1703"/>
      <c r="BU13" s="1703"/>
      <c r="BV13" s="1703"/>
      <c r="BW13" s="1703"/>
      <c r="BX13" s="1703"/>
      <c r="BY13" s="1703"/>
      <c r="BZ13" s="1703"/>
      <c r="CA13" s="1703"/>
      <c r="CB13" s="1748">
        <v>0.5</v>
      </c>
      <c r="CC13" s="1748"/>
      <c r="CD13" s="1748"/>
      <c r="CE13" s="1749"/>
      <c r="CF13" s="174"/>
      <c r="CG13" s="1053"/>
      <c r="CH13" s="1054"/>
      <c r="CI13" s="1054"/>
      <c r="CJ13" s="1054"/>
      <c r="CK13" s="1054"/>
      <c r="CL13" s="1054"/>
      <c r="CM13" s="1054"/>
      <c r="CN13" s="1054"/>
      <c r="CO13" s="1054"/>
      <c r="CP13" s="1054"/>
      <c r="CQ13" s="1054"/>
      <c r="CR13" s="1058"/>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thickBo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
      <c r="BN14" s="174"/>
      <c r="BO14" s="174"/>
      <c r="BP14" s="174"/>
      <c r="BQ14" s="174"/>
      <c r="BR14" s="1705"/>
      <c r="BS14" s="1706"/>
      <c r="BT14" s="1706"/>
      <c r="BU14" s="1706"/>
      <c r="BV14" s="1706"/>
      <c r="BW14" s="1706"/>
      <c r="BX14" s="1706"/>
      <c r="BY14" s="1706"/>
      <c r="BZ14" s="1706"/>
      <c r="CA14" s="1706"/>
      <c r="CB14" s="1750"/>
      <c r="CC14" s="1750"/>
      <c r="CD14" s="1750"/>
      <c r="CE14" s="1751"/>
      <c r="CF14" s="174"/>
      <c r="CG14" s="1053"/>
      <c r="CH14" s="1054"/>
      <c r="CI14" s="1054"/>
      <c r="CJ14" s="1054"/>
      <c r="CK14" s="1054"/>
      <c r="CL14" s="1054"/>
      <c r="CM14" s="1054"/>
      <c r="CN14" s="1054"/>
      <c r="CO14" s="1054"/>
      <c r="CP14" s="1054"/>
      <c r="CQ14" s="1054"/>
      <c r="CR14" s="1058"/>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174"/>
      <c r="BN15" s="174"/>
      <c r="BO15" s="174"/>
      <c r="BP15" s="174"/>
      <c r="BQ15" s="174"/>
      <c r="BR15" s="174"/>
      <c r="BS15" s="174"/>
      <c r="BT15" s="174"/>
      <c r="BU15" s="1115"/>
      <c r="BV15" s="1115"/>
      <c r="BW15" s="1115"/>
      <c r="BX15" s="174"/>
      <c r="BY15" s="1115"/>
      <c r="BZ15" s="1115"/>
      <c r="CA15" s="1115"/>
      <c r="CB15" s="174"/>
      <c r="CC15" s="174"/>
      <c r="CD15" s="174"/>
      <c r="CE15" s="174"/>
      <c r="CF15" s="174"/>
      <c r="CG15" s="1366" t="s">
        <v>99</v>
      </c>
      <c r="CH15" s="1367"/>
      <c r="CI15" s="1367"/>
      <c r="CJ15" s="1367" t="s">
        <v>99</v>
      </c>
      <c r="CK15" s="1367"/>
      <c r="CL15" s="1367"/>
      <c r="CM15" s="1367" t="s">
        <v>99</v>
      </c>
      <c r="CN15" s="1367"/>
      <c r="CO15" s="1367"/>
      <c r="CP15" s="1367" t="s">
        <v>99</v>
      </c>
      <c r="CQ15" s="1367"/>
      <c r="CR15" s="1368"/>
      <c r="CS15" s="174"/>
      <c r="CT15" s="174"/>
      <c r="CU15" s="174"/>
      <c r="CV15" s="174"/>
      <c r="CW15" s="174"/>
      <c r="CX15" s="174"/>
      <c r="CY15" s="174"/>
      <c r="CZ15" s="174"/>
      <c r="DA15" s="1650">
        <f>$DF$7*EXP(-$DM$7*(DA36+DC36))</f>
        <v>223.79331202236483</v>
      </c>
      <c r="DB15" s="1651"/>
      <c r="DC15" s="1651">
        <f>$DF$9*EXP(-$DM$9*(DA36+DC36))</f>
        <v>249.30396918099163</v>
      </c>
      <c r="DD15" s="1651"/>
      <c r="DE15" s="1593" t="s">
        <v>150</v>
      </c>
      <c r="DF15" s="174"/>
      <c r="DG15" s="174"/>
      <c r="DH15" s="174"/>
      <c r="DI15" s="163"/>
      <c r="DJ15" s="174"/>
      <c r="DK15" s="174"/>
      <c r="DL15" s="174"/>
      <c r="DM15" s="174"/>
      <c r="DN15" s="1627">
        <v>0.5</v>
      </c>
      <c r="DO15" s="1628"/>
      <c r="DP15" s="1631">
        <f>DL30/(DL30+DL33+DL36+DL39)</f>
        <v>0.51525144270403955</v>
      </c>
      <c r="DQ15" s="1632"/>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174"/>
      <c r="BN16" s="174"/>
      <c r="BO16" s="174"/>
      <c r="BP16" s="174"/>
      <c r="BQ16" s="174"/>
      <c r="BR16" s="1743">
        <f>CG16</f>
        <v>0</v>
      </c>
      <c r="BS16" s="1743"/>
      <c r="BT16" s="1747"/>
      <c r="BU16" s="1054"/>
      <c r="BV16" s="1054"/>
      <c r="BW16" s="1054"/>
      <c r="BX16" s="174"/>
      <c r="BY16" s="1054"/>
      <c r="BZ16" s="1054"/>
      <c r="CA16" s="1054"/>
      <c r="CB16" s="1743">
        <f>CM16+CP16</f>
        <v>607</v>
      </c>
      <c r="CC16" s="1743"/>
      <c r="CD16" s="1743"/>
      <c r="CE16" s="174"/>
      <c r="CF16" s="174"/>
      <c r="CG16" s="1444">
        <f>SBR_Master</f>
        <v>0</v>
      </c>
      <c r="CH16" s="1445"/>
      <c r="CI16" s="1445"/>
      <c r="CJ16" s="1445">
        <f>SBT_Master</f>
        <v>1447</v>
      </c>
      <c r="CK16" s="1445"/>
      <c r="CL16" s="1445"/>
      <c r="CM16" s="1445">
        <f>SBL_Master</f>
        <v>607</v>
      </c>
      <c r="CN16" s="1445"/>
      <c r="CO16" s="1445"/>
      <c r="CP16" s="1445">
        <f>SBU_Master</f>
        <v>0</v>
      </c>
      <c r="CQ16" s="1445"/>
      <c r="CR16" s="1446"/>
      <c r="CS16" s="174"/>
      <c r="CT16" s="174"/>
      <c r="CU16" s="174"/>
      <c r="CV16" s="174"/>
      <c r="CW16" s="174"/>
      <c r="CX16" s="174"/>
      <c r="CY16" s="174"/>
      <c r="CZ16" s="174"/>
      <c r="DA16" s="1652"/>
      <c r="DB16" s="1653"/>
      <c r="DC16" s="1653"/>
      <c r="DD16" s="1653"/>
      <c r="DE16" s="1594"/>
      <c r="DF16" s="174"/>
      <c r="DG16" s="174"/>
      <c r="DH16" s="121"/>
      <c r="DI16" s="121"/>
      <c r="DJ16" s="1635">
        <f>DL30</f>
        <v>625</v>
      </c>
      <c r="DK16" s="1635"/>
      <c r="DL16" s="174"/>
      <c r="DM16" s="174"/>
      <c r="DN16" s="1629"/>
      <c r="DO16" s="1630"/>
      <c r="DP16" s="1633"/>
      <c r="DQ16" s="1634"/>
      <c r="DR16" s="174"/>
      <c r="DS16" s="177"/>
    </row>
    <row r="17" spans="2:123" ht="9.9499999999999993" customHeight="1">
      <c r="B17" s="1"/>
      <c r="C17" s="174"/>
      <c r="D17" s="174"/>
      <c r="E17" s="34"/>
      <c r="F17" s="34"/>
      <c r="G17" s="34"/>
      <c r="H17" s="34"/>
      <c r="I17" s="3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174"/>
      <c r="BQ17" s="174"/>
      <c r="BR17" s="1743"/>
      <c r="BS17" s="1743"/>
      <c r="BT17" s="1747"/>
      <c r="BU17" s="1054"/>
      <c r="BV17" s="1054"/>
      <c r="BW17" s="1054"/>
      <c r="BX17" s="174"/>
      <c r="BY17" s="1054"/>
      <c r="BZ17" s="1054"/>
      <c r="CA17" s="1054"/>
      <c r="CB17" s="1743"/>
      <c r="CC17" s="1743"/>
      <c r="CD17" s="1743"/>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652"/>
      <c r="DB17" s="1653"/>
      <c r="DC17" s="1653"/>
      <c r="DD17" s="1653"/>
      <c r="DE17" s="1594"/>
      <c r="DF17" s="174"/>
      <c r="DG17" s="174"/>
      <c r="DH17" s="174"/>
      <c r="DI17" s="174"/>
      <c r="DJ17" s="1635"/>
      <c r="DK17" s="1635"/>
      <c r="DL17" s="174"/>
      <c r="DM17" s="174"/>
      <c r="DN17" s="1629"/>
      <c r="DO17" s="1630"/>
      <c r="DP17" s="1633"/>
      <c r="DQ17" s="1634"/>
      <c r="DR17" s="174"/>
      <c r="DS17" s="177"/>
    </row>
    <row r="18" spans="2:123" ht="9.9499999999999993" customHeight="1">
      <c r="B18" s="1"/>
      <c r="C18" s="174"/>
      <c r="D18" s="174"/>
      <c r="E18" s="174"/>
      <c r="F18" s="174"/>
      <c r="G18" s="174"/>
      <c r="H18" s="174"/>
      <c r="I18" s="174"/>
      <c r="J18" s="119"/>
      <c r="K18" s="119"/>
      <c r="L18" s="119"/>
      <c r="M18" s="119"/>
      <c r="N18" s="119"/>
      <c r="O18" s="119"/>
      <c r="P18" s="119"/>
      <c r="Q18" s="119"/>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74"/>
      <c r="AV18" s="174"/>
      <c r="AW18" s="174"/>
      <c r="AX18" s="174"/>
      <c r="AY18" s="174"/>
      <c r="AZ18" s="174"/>
      <c r="BA18" s="174"/>
      <c r="BB18" s="174"/>
      <c r="BC18" s="174"/>
      <c r="BD18" s="174"/>
      <c r="BE18" s="174"/>
      <c r="BF18" s="174"/>
      <c r="BG18" s="174"/>
      <c r="BH18" s="174"/>
      <c r="BI18" s="177"/>
      <c r="BK18" s="174"/>
      <c r="BL18" s="17"/>
      <c r="BM18" s="174"/>
      <c r="BN18" s="174"/>
      <c r="BO18" s="174"/>
      <c r="BP18" s="174"/>
      <c r="BQ18" s="174"/>
      <c r="BR18" s="174"/>
      <c r="BS18" s="174"/>
      <c r="BT18" s="174"/>
      <c r="BU18" s="1054"/>
      <c r="BV18" s="1054"/>
      <c r="BW18" s="1054"/>
      <c r="BX18" s="174"/>
      <c r="BY18" s="1054"/>
      <c r="BZ18" s="1054"/>
      <c r="CA18" s="105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652"/>
      <c r="DB18" s="1653"/>
      <c r="DC18" s="1653"/>
      <c r="DD18" s="1653"/>
      <c r="DE18" s="1594"/>
      <c r="DF18" s="174"/>
      <c r="DG18" s="174"/>
      <c r="DH18" s="174"/>
      <c r="DI18" s="174"/>
      <c r="DJ18" s="1635"/>
      <c r="DK18" s="1635"/>
      <c r="DL18" s="174"/>
      <c r="DM18" s="174"/>
      <c r="DN18" s="1629"/>
      <c r="DO18" s="1630"/>
      <c r="DP18" s="1633"/>
      <c r="DQ18" s="1634"/>
      <c r="DR18" s="174"/>
      <c r="DS18" s="177"/>
    </row>
    <row r="19" spans="2:123" ht="9.9499999999999993" customHeight="1" thickBot="1">
      <c r="B19" s="1"/>
      <c r="C19" s="174"/>
      <c r="D19" s="174"/>
      <c r="E19" s="174"/>
      <c r="F19" s="174"/>
      <c r="G19" s="174"/>
      <c r="H19" s="174"/>
      <c r="I19" s="174"/>
      <c r="J19" s="119"/>
      <c r="K19" s="119"/>
      <c r="L19" s="119"/>
      <c r="M19" s="119"/>
      <c r="N19" s="119"/>
      <c r="O19" s="119"/>
      <c r="P19" s="119"/>
      <c r="Q19" s="119"/>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74"/>
      <c r="AV19" s="174"/>
      <c r="AW19" s="174"/>
      <c r="AX19" s="174"/>
      <c r="AY19" s="174"/>
      <c r="AZ19" s="174"/>
      <c r="BA19" s="174"/>
      <c r="BB19" s="174"/>
      <c r="BC19" s="174"/>
      <c r="BD19" s="174"/>
      <c r="BE19" s="174"/>
      <c r="BF19" s="174"/>
      <c r="BG19" s="174"/>
      <c r="BH19" s="174"/>
      <c r="BI19" s="177"/>
      <c r="BK19" s="174"/>
      <c r="BL19" s="17"/>
      <c r="BM19" s="174"/>
      <c r="BN19" s="174"/>
      <c r="BO19" s="174"/>
      <c r="BP19" s="174"/>
      <c r="BQ19" s="174"/>
      <c r="BR19" s="174"/>
      <c r="BS19" s="174"/>
      <c r="BT19" s="174"/>
      <c r="BU19" s="1743">
        <f>CJ16*(1-CB13)</f>
        <v>723.5</v>
      </c>
      <c r="BV19" s="1743"/>
      <c r="BW19" s="1743"/>
      <c r="BX19" s="174"/>
      <c r="BY19" s="1743">
        <f>CJ16*CB13</f>
        <v>723.5</v>
      </c>
      <c r="BZ19" s="1743"/>
      <c r="CA19" s="1743"/>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638">
        <v>1</v>
      </c>
      <c r="DB19" s="1639"/>
      <c r="DC19" s="1644">
        <v>2</v>
      </c>
      <c r="DD19" s="1639"/>
      <c r="DE19" s="1594"/>
      <c r="DF19" s="174"/>
      <c r="DG19" s="174"/>
      <c r="DH19" s="1635">
        <f>DL33*(1-DN15)</f>
        <v>0</v>
      </c>
      <c r="DI19" s="1635"/>
      <c r="DJ19" s="1575"/>
      <c r="DK19" s="1541"/>
      <c r="DL19" s="870"/>
      <c r="DM19" s="1078"/>
      <c r="DN19" s="1603" t="s">
        <v>151</v>
      </c>
      <c r="DO19" s="1604"/>
      <c r="DP19" s="1604" t="s">
        <v>152</v>
      </c>
      <c r="DQ19" s="1636"/>
      <c r="DR19" s="174"/>
      <c r="DS19" s="177"/>
    </row>
    <row r="20" spans="2:123" ht="9.9499999999999993" customHeight="1">
      <c r="B20" s="1"/>
      <c r="C20" s="174"/>
      <c r="D20" s="174"/>
      <c r="E20" s="174"/>
      <c r="F20" s="1654" t="s">
        <v>153</v>
      </c>
      <c r="G20" s="1655"/>
      <c r="H20" s="1655"/>
      <c r="I20" s="1655"/>
      <c r="J20" s="1655"/>
      <c r="K20" s="1655"/>
      <c r="L20" s="1655"/>
      <c r="M20" s="1655"/>
      <c r="N20" s="1655"/>
      <c r="O20" s="1655"/>
      <c r="P20" s="1655"/>
      <c r="Q20" s="1656"/>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654" t="s">
        <v>153</v>
      </c>
      <c r="AU20" s="1655"/>
      <c r="AV20" s="1655"/>
      <c r="AW20" s="1655"/>
      <c r="AX20" s="1655"/>
      <c r="AY20" s="1655"/>
      <c r="AZ20" s="1655"/>
      <c r="BA20" s="1655"/>
      <c r="BB20" s="1655"/>
      <c r="BC20" s="1655"/>
      <c r="BD20" s="1655"/>
      <c r="BE20" s="1656"/>
      <c r="BF20" s="174"/>
      <c r="BG20" s="174"/>
      <c r="BH20" s="174"/>
      <c r="BI20" s="177"/>
      <c r="BK20" s="174"/>
      <c r="BL20" s="17"/>
      <c r="BM20" s="6"/>
      <c r="BN20" s="6"/>
      <c r="BO20" s="174"/>
      <c r="BP20" s="174"/>
      <c r="BQ20" s="174"/>
      <c r="BR20" s="174"/>
      <c r="BS20" s="174"/>
      <c r="BT20" s="174"/>
      <c r="BU20" s="1743"/>
      <c r="BV20" s="1743"/>
      <c r="BW20" s="1743"/>
      <c r="BX20" s="174"/>
      <c r="BY20" s="1743"/>
      <c r="BZ20" s="1743"/>
      <c r="CA20" s="1743"/>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640"/>
      <c r="DB20" s="1641"/>
      <c r="DC20" s="1645"/>
      <c r="DD20" s="1641"/>
      <c r="DE20" s="1594"/>
      <c r="DF20" s="174"/>
      <c r="DG20" s="174"/>
      <c r="DH20" s="1635"/>
      <c r="DI20" s="1635"/>
      <c r="DJ20" s="1077"/>
      <c r="DK20" s="870"/>
      <c r="DL20" s="870"/>
      <c r="DM20" s="1078"/>
      <c r="DN20" s="1603"/>
      <c r="DO20" s="1604"/>
      <c r="DP20" s="1604"/>
      <c r="DQ20" s="1636"/>
      <c r="DR20" s="174"/>
      <c r="DS20" s="177"/>
    </row>
    <row r="21" spans="2:123" ht="9.9499999999999993" customHeight="1">
      <c r="B21" s="1"/>
      <c r="C21" s="174"/>
      <c r="D21" s="174"/>
      <c r="E21" s="174"/>
      <c r="F21" s="1657"/>
      <c r="G21" s="1658"/>
      <c r="H21" s="1658"/>
      <c r="I21" s="1658"/>
      <c r="J21" s="1658"/>
      <c r="K21" s="1658"/>
      <c r="L21" s="1658"/>
      <c r="M21" s="1658"/>
      <c r="N21" s="1658"/>
      <c r="O21" s="1658"/>
      <c r="P21" s="1658"/>
      <c r="Q21" s="1659"/>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657"/>
      <c r="AU21" s="1658"/>
      <c r="AV21" s="1658"/>
      <c r="AW21" s="1658"/>
      <c r="AX21" s="1658"/>
      <c r="AY21" s="1658"/>
      <c r="AZ21" s="1658"/>
      <c r="BA21" s="1658"/>
      <c r="BB21" s="1658"/>
      <c r="BC21" s="1658"/>
      <c r="BD21" s="1658"/>
      <c r="BE21" s="1659"/>
      <c r="BF21" s="174"/>
      <c r="BG21" s="174"/>
      <c r="BH21" s="174"/>
      <c r="BI21" s="177"/>
      <c r="BK21" s="174"/>
      <c r="BL21" s="17"/>
      <c r="BM21" s="6"/>
      <c r="BN21" s="6"/>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640"/>
      <c r="DB21" s="1641"/>
      <c r="DC21" s="1645"/>
      <c r="DD21" s="1641"/>
      <c r="DE21" s="1594"/>
      <c r="DF21" s="174"/>
      <c r="DG21" s="174"/>
      <c r="DH21" s="1635"/>
      <c r="DI21" s="1635"/>
      <c r="DJ21" s="1077"/>
      <c r="DK21" s="870"/>
      <c r="DL21" s="870"/>
      <c r="DM21" s="1078"/>
      <c r="DN21" s="1603"/>
      <c r="DO21" s="1604"/>
      <c r="DP21" s="1604"/>
      <c r="DQ21" s="1636"/>
      <c r="DR21" s="174"/>
      <c r="DS21" s="177"/>
    </row>
    <row r="22" spans="2:123" ht="9.9499999999999993" customHeight="1" thickBot="1">
      <c r="B22" s="1"/>
      <c r="C22" s="174"/>
      <c r="D22" s="174"/>
      <c r="E22" s="174"/>
      <c r="F22" s="1660"/>
      <c r="G22" s="1661"/>
      <c r="H22" s="1661"/>
      <c r="I22" s="1661"/>
      <c r="J22" s="1661"/>
      <c r="K22" s="1661"/>
      <c r="L22" s="1661"/>
      <c r="M22" s="1661"/>
      <c r="N22" s="1661"/>
      <c r="O22" s="1661"/>
      <c r="P22" s="1661"/>
      <c r="Q22" s="1662"/>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660"/>
      <c r="AU22" s="1661"/>
      <c r="AV22" s="1661"/>
      <c r="AW22" s="1661"/>
      <c r="AX22" s="1661"/>
      <c r="AY22" s="1661"/>
      <c r="AZ22" s="1661"/>
      <c r="BA22" s="1661"/>
      <c r="BB22" s="1661"/>
      <c r="BC22" s="1661"/>
      <c r="BD22" s="1661"/>
      <c r="BE22" s="1662"/>
      <c r="BF22" s="174"/>
      <c r="BG22" s="174"/>
      <c r="BH22" s="174"/>
      <c r="BI22" s="177"/>
      <c r="BK22" s="174"/>
      <c r="BL22" s="17"/>
      <c r="BM22" s="6"/>
      <c r="BN22" s="6"/>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13"/>
      <c r="CZ22" s="174"/>
      <c r="DA22" s="1640"/>
      <c r="DB22" s="1641"/>
      <c r="DC22" s="1645"/>
      <c r="DD22" s="1641"/>
      <c r="DE22" s="1594"/>
      <c r="DF22" s="174"/>
      <c r="DG22" s="174"/>
      <c r="DH22" s="174"/>
      <c r="DI22" s="174"/>
      <c r="DJ22" s="174"/>
      <c r="DK22" s="174"/>
      <c r="DL22" s="174"/>
      <c r="DM22" s="174"/>
      <c r="DN22" s="1603"/>
      <c r="DO22" s="1604"/>
      <c r="DP22" s="1604"/>
      <c r="DQ22" s="1636"/>
      <c r="DR22" s="174"/>
      <c r="DS22" s="177"/>
    </row>
    <row r="23" spans="2:123" ht="9.9499999999999993" customHeight="1" thickBot="1">
      <c r="B23" s="1"/>
      <c r="C23" s="174"/>
      <c r="D23" s="174"/>
      <c r="E23" s="174"/>
      <c r="F23" s="1084" t="s">
        <v>74</v>
      </c>
      <c r="G23" s="1075"/>
      <c r="H23" s="1075"/>
      <c r="I23" s="1076"/>
      <c r="J23" s="1663">
        <f>CB35</f>
        <v>1.8300388181118921</v>
      </c>
      <c r="K23" s="1664"/>
      <c r="L23" s="1664"/>
      <c r="M23" s="1664"/>
      <c r="N23" s="1665" t="s">
        <v>55</v>
      </c>
      <c r="O23" s="1665"/>
      <c r="P23" s="1665"/>
      <c r="Q23" s="1666"/>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084" t="s">
        <v>74</v>
      </c>
      <c r="AU23" s="1075"/>
      <c r="AV23" s="1075"/>
      <c r="AW23" s="1076"/>
      <c r="AX23" s="1663">
        <f>CS28</f>
        <v>2.6274243617308728</v>
      </c>
      <c r="AY23" s="1664"/>
      <c r="AZ23" s="1664"/>
      <c r="BA23" s="1757"/>
      <c r="BB23" s="1665" t="s">
        <v>55</v>
      </c>
      <c r="BC23" s="1665"/>
      <c r="BD23" s="1665"/>
      <c r="BE23" s="1666"/>
      <c r="BF23" s="174"/>
      <c r="BG23" s="14"/>
      <c r="BH23" s="174"/>
      <c r="BI23" s="177"/>
      <c r="BK23" s="174"/>
      <c r="BL23" s="17"/>
      <c r="BM23" s="6"/>
      <c r="BN23" s="6"/>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642"/>
      <c r="DB23" s="1643"/>
      <c r="DC23" s="1646"/>
      <c r="DD23" s="1643"/>
      <c r="DE23" s="1595"/>
      <c r="DF23" s="174"/>
      <c r="DG23" s="174"/>
      <c r="DH23" s="1635">
        <f>DL33*DN15</f>
        <v>0</v>
      </c>
      <c r="DI23" s="1635"/>
      <c r="DJ23" s="1077"/>
      <c r="DK23" s="870"/>
      <c r="DL23" s="870"/>
      <c r="DM23" s="1078"/>
      <c r="DN23" s="1603"/>
      <c r="DO23" s="1604"/>
      <c r="DP23" s="1604"/>
      <c r="DQ23" s="1636"/>
      <c r="DR23" s="174"/>
      <c r="DS23" s="177"/>
    </row>
    <row r="24" spans="2:123" ht="9.9499999999999993" customHeight="1" thickBot="1">
      <c r="B24" s="1"/>
      <c r="C24" s="174"/>
      <c r="D24" s="174"/>
      <c r="E24" s="174"/>
      <c r="F24" s="869"/>
      <c r="G24" s="870"/>
      <c r="H24" s="870"/>
      <c r="I24" s="871"/>
      <c r="J24" s="1667"/>
      <c r="K24" s="1448"/>
      <c r="L24" s="1448"/>
      <c r="M24" s="1448"/>
      <c r="N24" s="1451"/>
      <c r="O24" s="1451"/>
      <c r="P24" s="1451"/>
      <c r="Q24" s="1452"/>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869"/>
      <c r="AU24" s="870"/>
      <c r="AV24" s="870"/>
      <c r="AW24" s="871"/>
      <c r="AX24" s="1667"/>
      <c r="AY24" s="1448"/>
      <c r="AZ24" s="1448"/>
      <c r="BA24" s="1758"/>
      <c r="BB24" s="1451"/>
      <c r="BC24" s="1451"/>
      <c r="BD24" s="1451"/>
      <c r="BE24" s="1452"/>
      <c r="BF24" s="174"/>
      <c r="BG24" s="14"/>
      <c r="BH24" s="174"/>
      <c r="BI24" s="177"/>
      <c r="BK24" s="174"/>
      <c r="BL24" s="1"/>
      <c r="BM24" s="174"/>
      <c r="BN24" s="174"/>
      <c r="BO24" s="174"/>
      <c r="BP24" s="1647" t="s">
        <v>150</v>
      </c>
      <c r="BQ24" s="1648"/>
      <c r="BR24" s="1648"/>
      <c r="BS24" s="1648"/>
      <c r="BT24" s="1648"/>
      <c r="BU24" s="1648"/>
      <c r="BV24" s="1648"/>
      <c r="BW24" s="1649"/>
      <c r="BX24" s="112"/>
      <c r="BY24" s="1051"/>
      <c r="BZ24" s="1052"/>
      <c r="CA24" s="1057"/>
      <c r="CB24" s="1051"/>
      <c r="CC24" s="1052"/>
      <c r="CD24" s="1057"/>
      <c r="CE24" s="169"/>
      <c r="CF24" s="1647" t="s">
        <v>136</v>
      </c>
      <c r="CG24" s="1648"/>
      <c r="CH24" s="1648"/>
      <c r="CI24" s="1648"/>
      <c r="CJ24" s="1648"/>
      <c r="CK24" s="1648"/>
      <c r="CL24" s="1648"/>
      <c r="CM24" s="1649"/>
      <c r="CN24" s="174"/>
      <c r="CO24" s="174"/>
      <c r="CP24" s="174"/>
      <c r="CQ24" s="174"/>
      <c r="CR24" s="174"/>
      <c r="CS24" s="174"/>
      <c r="CT24" s="174"/>
      <c r="CU24" s="174"/>
      <c r="CV24" s="174"/>
      <c r="CW24" s="174"/>
      <c r="CX24" s="174"/>
      <c r="CY24" s="174"/>
      <c r="CZ24" s="174"/>
      <c r="DA24" s="174"/>
      <c r="DB24" s="174"/>
      <c r="DC24" s="174"/>
      <c r="DD24" s="174"/>
      <c r="DE24" s="170"/>
      <c r="DF24" s="174"/>
      <c r="DG24" s="174"/>
      <c r="DH24" s="1635"/>
      <c r="DI24" s="1635"/>
      <c r="DJ24" s="1077"/>
      <c r="DK24" s="870"/>
      <c r="DL24" s="870"/>
      <c r="DM24" s="1078"/>
      <c r="DN24" s="1603"/>
      <c r="DO24" s="1604"/>
      <c r="DP24" s="1604"/>
      <c r="DQ24" s="1636"/>
      <c r="DR24" s="174"/>
      <c r="DS24" s="177"/>
    </row>
    <row r="25" spans="2:123" ht="9.9499999999999993" customHeight="1" thickBot="1">
      <c r="B25" s="1"/>
      <c r="C25" s="174"/>
      <c r="D25" s="174"/>
      <c r="E25" s="174"/>
      <c r="F25" s="869" t="s">
        <v>75</v>
      </c>
      <c r="G25" s="870"/>
      <c r="H25" s="870"/>
      <c r="I25" s="871"/>
      <c r="J25" s="1447">
        <f>BY35</f>
        <v>0.9663082796243716</v>
      </c>
      <c r="K25" s="1448"/>
      <c r="L25" s="1448"/>
      <c r="M25" s="1448"/>
      <c r="N25" s="1451" t="s">
        <v>55</v>
      </c>
      <c r="O25" s="1451"/>
      <c r="P25" s="1451"/>
      <c r="Q25" s="1452"/>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869" t="s">
        <v>75</v>
      </c>
      <c r="AU25" s="870"/>
      <c r="AV25" s="870"/>
      <c r="AW25" s="871"/>
      <c r="AX25" s="1447">
        <f>CS25</f>
        <v>2.5069797406484837</v>
      </c>
      <c r="AY25" s="1448"/>
      <c r="AZ25" s="1448"/>
      <c r="BA25" s="1758"/>
      <c r="BB25" s="1451" t="s">
        <v>55</v>
      </c>
      <c r="BC25" s="1451"/>
      <c r="BD25" s="1451"/>
      <c r="BE25" s="1452"/>
      <c r="BF25" s="174"/>
      <c r="BG25" s="174"/>
      <c r="BH25" s="174"/>
      <c r="BI25" s="177"/>
      <c r="BK25" s="174"/>
      <c r="BL25" s="1"/>
      <c r="BM25" s="174"/>
      <c r="BN25" s="174"/>
      <c r="BO25" s="6"/>
      <c r="BP25" s="815">
        <v>1</v>
      </c>
      <c r="BQ25" s="816"/>
      <c r="BR25" s="816"/>
      <c r="BS25" s="1495"/>
      <c r="BT25" s="1350">
        <f>$DF$7*EXP(-$DM$7*(CF27+CF25))</f>
        <v>727.03375842744049</v>
      </c>
      <c r="BU25" s="1350"/>
      <c r="BV25" s="1350"/>
      <c r="BW25" s="1584"/>
      <c r="BX25" s="39"/>
      <c r="BY25" s="1053"/>
      <c r="BZ25" s="1054"/>
      <c r="CA25" s="1058"/>
      <c r="CB25" s="1053"/>
      <c r="CC25" s="1054"/>
      <c r="CD25" s="1058"/>
      <c r="CE25" s="174"/>
      <c r="CF25" s="1617">
        <f>DH19+BR39</f>
        <v>0</v>
      </c>
      <c r="CG25" s="1618"/>
      <c r="CH25" s="1618"/>
      <c r="CI25" s="1619"/>
      <c r="CJ25" s="237"/>
      <c r="CK25" s="237"/>
      <c r="CL25" s="237"/>
      <c r="CM25" s="314"/>
      <c r="CN25" s="174"/>
      <c r="CO25" s="174"/>
      <c r="CP25" s="174"/>
      <c r="CQ25" s="1608">
        <v>2</v>
      </c>
      <c r="CR25" s="1609"/>
      <c r="CS25" s="1419">
        <f>CZ25/DC15</f>
        <v>2.5069797406484837</v>
      </c>
      <c r="CT25" s="1420"/>
      <c r="CU25" s="1357" t="s">
        <v>135</v>
      </c>
      <c r="CV25" s="1357"/>
      <c r="CW25" s="1357"/>
      <c r="CX25" s="1357"/>
      <c r="CY25" s="1425"/>
      <c r="CZ25" s="1614">
        <f>DH19+DJ16</f>
        <v>625</v>
      </c>
      <c r="DA25" s="1432" t="s">
        <v>99</v>
      </c>
      <c r="DB25" s="1075"/>
      <c r="DC25" s="1075"/>
      <c r="DD25" s="1075"/>
      <c r="DE25" s="1076"/>
      <c r="DF25" s="174"/>
      <c r="DG25" s="174"/>
      <c r="DH25" s="1635"/>
      <c r="DI25" s="1635"/>
      <c r="DJ25" s="1495"/>
      <c r="DK25" s="1602"/>
      <c r="DL25" s="870"/>
      <c r="DM25" s="1078"/>
      <c r="DN25" s="1603"/>
      <c r="DO25" s="1604"/>
      <c r="DP25" s="1604"/>
      <c r="DQ25" s="1636"/>
      <c r="DR25" s="174"/>
      <c r="DS25" s="177"/>
    </row>
    <row r="26" spans="2:123" ht="9.9499999999999993" customHeight="1" thickBot="1">
      <c r="B26" s="1"/>
      <c r="C26" s="174"/>
      <c r="D26" s="174"/>
      <c r="E26" s="174"/>
      <c r="F26" s="1106"/>
      <c r="G26" s="1094"/>
      <c r="H26" s="1094"/>
      <c r="I26" s="1095"/>
      <c r="J26" s="1449"/>
      <c r="K26" s="1450"/>
      <c r="L26" s="1450"/>
      <c r="M26" s="1450"/>
      <c r="N26" s="1453"/>
      <c r="O26" s="1453"/>
      <c r="P26" s="1453"/>
      <c r="Q26" s="1454"/>
      <c r="R26" s="55">
        <f>+IF(OR(J23&gt;1,J25&gt;1),1,0)</f>
        <v>1</v>
      </c>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106"/>
      <c r="AU26" s="1094"/>
      <c r="AV26" s="1094"/>
      <c r="AW26" s="1095"/>
      <c r="AX26" s="1449"/>
      <c r="AY26" s="1450"/>
      <c r="AZ26" s="1450"/>
      <c r="BA26" s="1759"/>
      <c r="BB26" s="1453"/>
      <c r="BC26" s="1453"/>
      <c r="BD26" s="1453"/>
      <c r="BE26" s="1454"/>
      <c r="BF26" s="55">
        <f>+IF(OR(AX23&gt;1,AX25&gt;1),1,0)</f>
        <v>1</v>
      </c>
      <c r="BG26" s="174"/>
      <c r="BH26" s="174"/>
      <c r="BI26" s="177"/>
      <c r="BK26" s="174"/>
      <c r="BL26" s="1"/>
      <c r="BM26" s="174"/>
      <c r="BN26" s="174"/>
      <c r="BO26" s="174"/>
      <c r="BP26" s="792"/>
      <c r="BQ26" s="793"/>
      <c r="BR26" s="793"/>
      <c r="BS26" s="1575"/>
      <c r="BT26" s="1350"/>
      <c r="BU26" s="1350"/>
      <c r="BV26" s="1350"/>
      <c r="BW26" s="1584"/>
      <c r="BX26" s="174"/>
      <c r="BY26" s="1053"/>
      <c r="BZ26" s="1054"/>
      <c r="CA26" s="1058"/>
      <c r="CB26" s="1053"/>
      <c r="CC26" s="1054"/>
      <c r="CD26" s="1058"/>
      <c r="CE26" s="174"/>
      <c r="CF26" s="1556"/>
      <c r="CG26" s="1557"/>
      <c r="CH26" s="1557"/>
      <c r="CI26" s="1558"/>
      <c r="CJ26" s="238"/>
      <c r="CK26" s="238"/>
      <c r="CL26" s="238"/>
      <c r="CM26" s="315"/>
      <c r="CN26" s="174"/>
      <c r="CO26" s="174"/>
      <c r="CP26" s="174"/>
      <c r="CQ26" s="1610"/>
      <c r="CR26" s="1611"/>
      <c r="CS26" s="1421"/>
      <c r="CT26" s="1422"/>
      <c r="CU26" s="1357"/>
      <c r="CV26" s="1357"/>
      <c r="CW26" s="1357"/>
      <c r="CX26" s="1357"/>
      <c r="CY26" s="1425"/>
      <c r="CZ26" s="1615"/>
      <c r="DA26" s="1433"/>
      <c r="DB26" s="870"/>
      <c r="DC26" s="870"/>
      <c r="DD26" s="870"/>
      <c r="DE26" s="871"/>
      <c r="DF26" s="174"/>
      <c r="DG26" s="174"/>
      <c r="DH26" s="174"/>
      <c r="DI26" s="40"/>
      <c r="DJ26" s="1635">
        <f>DL36+DL39</f>
        <v>588</v>
      </c>
      <c r="DK26" s="1635"/>
      <c r="DL26" s="174"/>
      <c r="DM26" s="174"/>
      <c r="DN26" s="1603"/>
      <c r="DO26" s="1604"/>
      <c r="DP26" s="1604"/>
      <c r="DQ26" s="1636"/>
      <c r="DR26" s="174"/>
      <c r="DS26" s="177"/>
    </row>
    <row r="27" spans="2:123" ht="9.9499999999999993" customHeight="1" thickBot="1">
      <c r="B27" s="1"/>
      <c r="C27" s="174"/>
      <c r="D27" s="174"/>
      <c r="E27" s="174"/>
      <c r="F27" s="174"/>
      <c r="G27" s="174"/>
      <c r="H27" s="174"/>
      <c r="I27" s="174"/>
      <c r="J27" s="4"/>
      <c r="K27" s="4"/>
      <c r="L27" s="4"/>
      <c r="M27" s="4"/>
      <c r="N27" s="4"/>
      <c r="O27" s="4"/>
      <c r="P27" s="4"/>
      <c r="Q27" s="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815">
        <v>2</v>
      </c>
      <c r="BQ27" s="816"/>
      <c r="BR27" s="816"/>
      <c r="BS27" s="1495"/>
      <c r="BT27" s="1350">
        <f>$DF$9*EXP(-$DM$9*(CF25+CF27))</f>
        <v>748.72586239377222</v>
      </c>
      <c r="BU27" s="1350"/>
      <c r="BV27" s="1350"/>
      <c r="BW27" s="1584"/>
      <c r="BX27" s="174"/>
      <c r="BY27" s="1053"/>
      <c r="BZ27" s="1054"/>
      <c r="CA27" s="1058"/>
      <c r="CB27" s="1053"/>
      <c r="CC27" s="1054"/>
      <c r="CD27" s="1058"/>
      <c r="CE27" s="174"/>
      <c r="CF27" s="1512">
        <f>DH23+DJ26+CY63</f>
        <v>588</v>
      </c>
      <c r="CG27" s="1513"/>
      <c r="CH27" s="1513"/>
      <c r="CI27" s="1514"/>
      <c r="CJ27" s="238"/>
      <c r="CK27" s="238"/>
      <c r="CL27" s="238"/>
      <c r="CM27" s="315"/>
      <c r="CN27" s="174"/>
      <c r="CO27" s="174"/>
      <c r="CP27" s="174"/>
      <c r="CQ27" s="1610"/>
      <c r="CR27" s="1611"/>
      <c r="CS27" s="1421"/>
      <c r="CT27" s="1422"/>
      <c r="CU27" s="1357"/>
      <c r="CV27" s="1357"/>
      <c r="CW27" s="1357"/>
      <c r="CX27" s="1357"/>
      <c r="CY27" s="1425"/>
      <c r="CZ27" s="1615"/>
      <c r="DA27" s="1433"/>
      <c r="DB27" s="870"/>
      <c r="DC27" s="870"/>
      <c r="DD27" s="870"/>
      <c r="DE27" s="871"/>
      <c r="DF27" s="174"/>
      <c r="DG27" s="174"/>
      <c r="DH27" s="174"/>
      <c r="DI27" s="174"/>
      <c r="DJ27" s="1635"/>
      <c r="DK27" s="1635"/>
      <c r="DL27" s="174"/>
      <c r="DM27" s="174"/>
      <c r="DN27" s="1603"/>
      <c r="DO27" s="1604"/>
      <c r="DP27" s="1604"/>
      <c r="DQ27" s="1636"/>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K28" s="174"/>
      <c r="BL28" s="1"/>
      <c r="BM28" s="174"/>
      <c r="BN28" s="174"/>
      <c r="BO28" s="174"/>
      <c r="BP28" s="824"/>
      <c r="BQ28" s="825"/>
      <c r="BR28" s="825"/>
      <c r="BS28" s="1496"/>
      <c r="BT28" s="1352"/>
      <c r="BU28" s="1352"/>
      <c r="BV28" s="1352"/>
      <c r="BW28" s="1616"/>
      <c r="BX28" s="174"/>
      <c r="BY28" s="1375" t="s">
        <v>99</v>
      </c>
      <c r="BZ28" s="1376"/>
      <c r="CA28" s="1377"/>
      <c r="CB28" s="1375" t="s">
        <v>99</v>
      </c>
      <c r="CC28" s="1376"/>
      <c r="CD28" s="1377"/>
      <c r="CE28" s="174"/>
      <c r="CF28" s="1515"/>
      <c r="CG28" s="1516"/>
      <c r="CH28" s="1516"/>
      <c r="CI28" s="1517"/>
      <c r="CJ28" s="1518"/>
      <c r="CK28" s="1518"/>
      <c r="CL28" s="1518"/>
      <c r="CM28" s="1519"/>
      <c r="CN28" s="174"/>
      <c r="CO28" s="174"/>
      <c r="CP28" s="174"/>
      <c r="CQ28" s="1608">
        <v>1</v>
      </c>
      <c r="CR28" s="1609"/>
      <c r="CS28" s="1419">
        <f>CZ28/DA15</f>
        <v>2.6274243617308728</v>
      </c>
      <c r="CT28" s="1420"/>
      <c r="CU28" s="1357" t="s">
        <v>135</v>
      </c>
      <c r="CV28" s="1357"/>
      <c r="CW28" s="1357"/>
      <c r="CX28" s="1357"/>
      <c r="CY28" s="1425"/>
      <c r="CZ28" s="1615">
        <f>DJ26+DH23</f>
        <v>588</v>
      </c>
      <c r="DA28" s="1433" t="s">
        <v>99</v>
      </c>
      <c r="DB28" s="870"/>
      <c r="DC28" s="870"/>
      <c r="DD28" s="870"/>
      <c r="DE28" s="871"/>
      <c r="DF28" s="174"/>
      <c r="DG28" s="174"/>
      <c r="DH28" s="174"/>
      <c r="DI28" s="174"/>
      <c r="DJ28" s="1635"/>
      <c r="DK28" s="1635"/>
      <c r="DL28" s="174"/>
      <c r="DM28" s="174"/>
      <c r="DN28" s="1605"/>
      <c r="DO28" s="1606"/>
      <c r="DP28" s="1606"/>
      <c r="DQ28" s="1637"/>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624">
        <f>BU19+BR16</f>
        <v>723.5</v>
      </c>
      <c r="BZ29" s="1625"/>
      <c r="CA29" s="1626"/>
      <c r="CB29" s="1624">
        <f>BY19+CB16</f>
        <v>1330.5</v>
      </c>
      <c r="CC29" s="1625"/>
      <c r="CD29" s="1626"/>
      <c r="CE29" s="174"/>
      <c r="CF29" s="174"/>
      <c r="CG29" s="174"/>
      <c r="CH29" s="174"/>
      <c r="CI29" s="174"/>
      <c r="CJ29" s="174"/>
      <c r="CK29" s="174"/>
      <c r="CL29" s="174"/>
      <c r="CM29" s="174"/>
      <c r="CN29" s="174"/>
      <c r="CO29" s="174"/>
      <c r="CP29" s="174"/>
      <c r="CQ29" s="1610"/>
      <c r="CR29" s="1611"/>
      <c r="CS29" s="1421"/>
      <c r="CT29" s="1422"/>
      <c r="CU29" s="1357"/>
      <c r="CV29" s="1357"/>
      <c r="CW29" s="1357"/>
      <c r="CX29" s="1357"/>
      <c r="CY29" s="1425"/>
      <c r="CZ29" s="1615"/>
      <c r="DA29" s="1433"/>
      <c r="DB29" s="870"/>
      <c r="DC29" s="870"/>
      <c r="DD29" s="870"/>
      <c r="DE29" s="871"/>
      <c r="DF29" s="174"/>
      <c r="DG29" s="174"/>
      <c r="DH29" s="174"/>
      <c r="DI29" s="174"/>
      <c r="DJ29" s="174"/>
      <c r="DK29" s="174"/>
      <c r="DL29" s="174"/>
      <c r="DM29" s="174"/>
      <c r="DN29" s="174"/>
      <c r="DO29" s="174"/>
      <c r="DP29" s="174"/>
      <c r="DQ29" s="177"/>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438" t="s">
        <v>135</v>
      </c>
      <c r="BZ30" s="1438"/>
      <c r="CA30" s="1438"/>
      <c r="CB30" s="1438" t="s">
        <v>135</v>
      </c>
      <c r="CC30" s="1438"/>
      <c r="CD30" s="1438"/>
      <c r="CE30" s="174"/>
      <c r="CF30" s="174"/>
      <c r="CG30" s="174"/>
      <c r="CH30" s="174"/>
      <c r="CI30" s="174"/>
      <c r="CJ30" s="174"/>
      <c r="CK30" s="174"/>
      <c r="CL30" s="174"/>
      <c r="CM30" s="174"/>
      <c r="CN30" s="174"/>
      <c r="CO30" s="174"/>
      <c r="CP30" s="174"/>
      <c r="CQ30" s="1612"/>
      <c r="CR30" s="1613"/>
      <c r="CS30" s="1423"/>
      <c r="CT30" s="1424"/>
      <c r="CU30" s="1357"/>
      <c r="CV30" s="1357"/>
      <c r="CW30" s="1357"/>
      <c r="CX30" s="1357"/>
      <c r="CY30" s="1425"/>
      <c r="CZ30" s="1623"/>
      <c r="DA30" s="1434"/>
      <c r="DB30" s="1094"/>
      <c r="DC30" s="1094"/>
      <c r="DD30" s="1094"/>
      <c r="DE30" s="1095"/>
      <c r="DF30" s="174"/>
      <c r="DG30" s="174"/>
      <c r="DH30" s="174"/>
      <c r="DI30" s="174"/>
      <c r="DJ30" s="174"/>
      <c r="DK30" s="174"/>
      <c r="DL30" s="1417">
        <f>WBR_Master</f>
        <v>625</v>
      </c>
      <c r="DM30" s="1418" t="s">
        <v>99</v>
      </c>
      <c r="DN30" s="1075"/>
      <c r="DO30" s="1075"/>
      <c r="DP30" s="1075"/>
      <c r="DQ30" s="1076"/>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K31" s="174"/>
      <c r="BL31" s="1"/>
      <c r="BM31" s="174"/>
      <c r="BN31" s="174"/>
      <c r="BO31" s="174"/>
      <c r="BP31" s="174"/>
      <c r="BQ31" s="174"/>
      <c r="BR31" s="174"/>
      <c r="BS31" s="174"/>
      <c r="BT31" s="174"/>
      <c r="BU31" s="174"/>
      <c r="BV31" s="174"/>
      <c r="BW31" s="174"/>
      <c r="BX31" s="174"/>
      <c r="BY31" s="1439"/>
      <c r="BZ31" s="1439"/>
      <c r="CA31" s="1439"/>
      <c r="CB31" s="1439"/>
      <c r="CC31" s="1439"/>
      <c r="CD31" s="1439"/>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42"/>
      <c r="DF31" s="174"/>
      <c r="DG31" s="174"/>
      <c r="DH31" s="174"/>
      <c r="DI31" s="174"/>
      <c r="DJ31" s="174"/>
      <c r="DK31" s="174"/>
      <c r="DL31" s="1316"/>
      <c r="DM31" s="1396"/>
      <c r="DN31" s="870"/>
      <c r="DO31" s="870"/>
      <c r="DP31" s="870"/>
      <c r="DQ31" s="871"/>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439"/>
      <c r="BZ32" s="1439"/>
      <c r="CA32" s="1439"/>
      <c r="CB32" s="1439"/>
      <c r="CC32" s="1439"/>
      <c r="CD32" s="1439"/>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620"/>
      <c r="DB32" s="1621"/>
      <c r="DC32" s="1621"/>
      <c r="DD32" s="1621"/>
      <c r="DE32" s="1593" t="s">
        <v>136</v>
      </c>
      <c r="DF32" s="174"/>
      <c r="DG32" s="174"/>
      <c r="DH32" s="174"/>
      <c r="DI32" s="174"/>
      <c r="DJ32" s="174"/>
      <c r="DK32" s="174"/>
      <c r="DL32" s="1316"/>
      <c r="DM32" s="1396"/>
      <c r="DN32" s="870"/>
      <c r="DO32" s="870"/>
      <c r="DP32" s="870"/>
      <c r="DQ32" s="871"/>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439"/>
      <c r="BZ33" s="1439"/>
      <c r="CA33" s="1439"/>
      <c r="CB33" s="1439"/>
      <c r="CC33" s="1439"/>
      <c r="CD33" s="1439"/>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622"/>
      <c r="DB33" s="222"/>
      <c r="DC33" s="222"/>
      <c r="DD33" s="222"/>
      <c r="DE33" s="1594"/>
      <c r="DF33" s="174"/>
      <c r="DG33" s="174"/>
      <c r="DH33" s="174"/>
      <c r="DI33" s="174"/>
      <c r="DJ33" s="174"/>
      <c r="DK33" s="174"/>
      <c r="DL33" s="1316">
        <f>WBT_Master</f>
        <v>0</v>
      </c>
      <c r="DM33" s="1396" t="s">
        <v>99</v>
      </c>
      <c r="DN33" s="870"/>
      <c r="DO33" s="870"/>
      <c r="DP33" s="870"/>
      <c r="DQ33" s="871"/>
      <c r="DR33" s="174"/>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440"/>
      <c r="BZ34" s="1440"/>
      <c r="CA34" s="1440"/>
      <c r="CB34" s="1440"/>
      <c r="CC34" s="1440"/>
      <c r="CD34" s="1440"/>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622"/>
      <c r="DB34" s="222"/>
      <c r="DC34" s="222"/>
      <c r="DD34" s="222"/>
      <c r="DE34" s="1594"/>
      <c r="DF34" s="174"/>
      <c r="DG34" s="174"/>
      <c r="DH34" s="174"/>
      <c r="DI34" s="174"/>
      <c r="DJ34" s="174"/>
      <c r="DK34" s="174"/>
      <c r="DL34" s="1316"/>
      <c r="DM34" s="1396"/>
      <c r="DN34" s="870"/>
      <c r="DO34" s="870"/>
      <c r="DP34" s="870"/>
      <c r="DQ34" s="871"/>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498">
        <f>BY29/BT27</f>
        <v>0.9663082796243716</v>
      </c>
      <c r="BZ35" s="1499"/>
      <c r="CA35" s="1720"/>
      <c r="CB35" s="1498">
        <f>CB29/BT25</f>
        <v>1.8300388181118921</v>
      </c>
      <c r="CC35" s="1499"/>
      <c r="CD35" s="1500"/>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622"/>
      <c r="DB35" s="222"/>
      <c r="DC35" s="222"/>
      <c r="DD35" s="222"/>
      <c r="DE35" s="1594"/>
      <c r="DF35" s="174"/>
      <c r="DG35" s="174"/>
      <c r="DH35" s="174"/>
      <c r="DI35" s="174"/>
      <c r="DJ35" s="174"/>
      <c r="DK35" s="174"/>
      <c r="DL35" s="1316"/>
      <c r="DM35" s="1396"/>
      <c r="DN35" s="870"/>
      <c r="DO35" s="870"/>
      <c r="DP35" s="870"/>
      <c r="DQ35" s="871"/>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501"/>
      <c r="BZ36" s="1502"/>
      <c r="CA36" s="1721"/>
      <c r="CB36" s="1501"/>
      <c r="CC36" s="1502"/>
      <c r="CD36" s="1503"/>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576">
        <f>DB61+CY63+BS53</f>
        <v>1529</v>
      </c>
      <c r="DB36" s="1577"/>
      <c r="DC36" s="1740">
        <f>DF61+CP16</f>
        <v>630</v>
      </c>
      <c r="DD36" s="1577"/>
      <c r="DE36" s="1594"/>
      <c r="DF36" s="174"/>
      <c r="DG36" s="174"/>
      <c r="DH36" s="174"/>
      <c r="DI36" s="174"/>
      <c r="DJ36" s="174"/>
      <c r="DK36" s="174"/>
      <c r="DL36" s="1316">
        <f>WBL_Master</f>
        <v>588</v>
      </c>
      <c r="DM36" s="1396" t="s">
        <v>99</v>
      </c>
      <c r="DN36" s="870"/>
      <c r="DO36" s="870"/>
      <c r="DP36" s="870"/>
      <c r="DQ36" s="871"/>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788">
        <v>2</v>
      </c>
      <c r="BZ37" s="789"/>
      <c r="CA37" s="789"/>
      <c r="CB37" s="788">
        <v>1</v>
      </c>
      <c r="CC37" s="789"/>
      <c r="CD37" s="812"/>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578"/>
      <c r="DB37" s="1579"/>
      <c r="DC37" s="1741"/>
      <c r="DD37" s="1579"/>
      <c r="DE37" s="1594"/>
      <c r="DF37" s="174"/>
      <c r="DG37" s="174"/>
      <c r="DH37" s="174"/>
      <c r="DI37" s="174"/>
      <c r="DJ37" s="174"/>
      <c r="DK37" s="174"/>
      <c r="DL37" s="1316"/>
      <c r="DM37" s="1396"/>
      <c r="DN37" s="870"/>
      <c r="DO37" s="870"/>
      <c r="DP37" s="870"/>
      <c r="DQ37" s="871"/>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824"/>
      <c r="BZ38" s="825"/>
      <c r="CA38" s="825"/>
      <c r="CB38" s="824"/>
      <c r="CC38" s="825"/>
      <c r="CD38" s="832"/>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578"/>
      <c r="DB38" s="1579"/>
      <c r="DC38" s="1741"/>
      <c r="DD38" s="1579"/>
      <c r="DE38" s="1594"/>
      <c r="DF38" s="174"/>
      <c r="DG38" s="174"/>
      <c r="DH38" s="174"/>
      <c r="DI38" s="174"/>
      <c r="DJ38" s="174"/>
      <c r="DK38" s="174"/>
      <c r="DL38" s="1316"/>
      <c r="DM38" s="1396"/>
      <c r="DN38" s="870"/>
      <c r="DO38" s="870"/>
      <c r="DP38" s="870"/>
      <c r="DQ38" s="871"/>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084"/>
      <c r="BN39" s="1075"/>
      <c r="BO39" s="1075"/>
      <c r="BP39" s="1075"/>
      <c r="BQ39" s="1406" t="s">
        <v>99</v>
      </c>
      <c r="BR39" s="1341">
        <f>EBU_Master</f>
        <v>0</v>
      </c>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578"/>
      <c r="DB39" s="1579"/>
      <c r="DC39" s="1741"/>
      <c r="DD39" s="1579"/>
      <c r="DE39" s="1594"/>
      <c r="DF39" s="174"/>
      <c r="DG39" s="174"/>
      <c r="DH39" s="174"/>
      <c r="DI39" s="174"/>
      <c r="DJ39" s="174"/>
      <c r="DK39" s="174"/>
      <c r="DL39" s="1316">
        <f>WBU_Master</f>
        <v>0</v>
      </c>
      <c r="DM39" s="1396" t="s">
        <v>99</v>
      </c>
      <c r="DN39" s="870"/>
      <c r="DO39" s="870"/>
      <c r="DP39" s="870"/>
      <c r="DQ39" s="871"/>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869"/>
      <c r="BN40" s="870"/>
      <c r="BO40" s="870"/>
      <c r="BP40" s="870"/>
      <c r="BQ40" s="1387"/>
      <c r="BR40" s="1342"/>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580"/>
      <c r="DB40" s="1581"/>
      <c r="DC40" s="1742"/>
      <c r="DD40" s="1581"/>
      <c r="DE40" s="1595"/>
      <c r="DF40" s="174"/>
      <c r="DG40" s="174"/>
      <c r="DH40" s="174"/>
      <c r="DI40" s="174"/>
      <c r="DJ40" s="174"/>
      <c r="DK40" s="174"/>
      <c r="DL40" s="1316"/>
      <c r="DM40" s="1396"/>
      <c r="DN40" s="870"/>
      <c r="DO40" s="870"/>
      <c r="DP40" s="870"/>
      <c r="DQ40" s="871"/>
      <c r="DR40" s="174"/>
      <c r="DS40" s="177"/>
    </row>
    <row r="41" spans="2:123" ht="9.9499999999999993" customHeight="1" thickBo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869"/>
      <c r="BN41" s="870"/>
      <c r="BO41" s="870"/>
      <c r="BP41" s="870"/>
      <c r="BQ41" s="1387"/>
      <c r="BR41" s="1342"/>
      <c r="BS41" s="174"/>
      <c r="BT41" s="174"/>
      <c r="BU41" s="174"/>
      <c r="BV41" s="174"/>
      <c r="BW41" s="174"/>
      <c r="BX41" s="1520" t="s">
        <v>136</v>
      </c>
      <c r="BY41" s="1523">
        <f>BU19+CL65</f>
        <v>723.5</v>
      </c>
      <c r="BZ41" s="1737"/>
      <c r="CA41" s="1523">
        <f>BY19+CB16+DJ26</f>
        <v>1918.5</v>
      </c>
      <c r="CB41" s="152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317"/>
      <c r="DM41" s="1397"/>
      <c r="DN41" s="1094"/>
      <c r="DO41" s="1094"/>
      <c r="DP41" s="1094"/>
      <c r="DQ41" s="1095"/>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869"/>
      <c r="BN42" s="870"/>
      <c r="BO42" s="870"/>
      <c r="BP42" s="870"/>
      <c r="BQ42" s="1387" t="s">
        <v>99</v>
      </c>
      <c r="BR42" s="1342">
        <f>EBL_Master</f>
        <v>899</v>
      </c>
      <c r="BS42" s="174"/>
      <c r="BT42" s="174"/>
      <c r="BU42" s="174"/>
      <c r="BV42" s="174"/>
      <c r="BW42" s="174"/>
      <c r="BX42" s="1521"/>
      <c r="BY42" s="1525"/>
      <c r="BZ42" s="1738"/>
      <c r="CA42" s="1525"/>
      <c r="CB42" s="1526"/>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869"/>
      <c r="BN43" s="870"/>
      <c r="BO43" s="870"/>
      <c r="BP43" s="870"/>
      <c r="BQ43" s="1387"/>
      <c r="BR43" s="1342"/>
      <c r="BS43" s="174"/>
      <c r="BT43" s="174"/>
      <c r="BU43" s="174"/>
      <c r="BV43" s="174"/>
      <c r="BW43" s="174"/>
      <c r="BX43" s="1521"/>
      <c r="BY43" s="1525"/>
      <c r="BZ43" s="1738"/>
      <c r="CA43" s="1525"/>
      <c r="CB43" s="1526"/>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084">
        <v>1</v>
      </c>
      <c r="CZ43" s="1075"/>
      <c r="DA43" s="1076"/>
      <c r="DB43" s="1074">
        <v>2</v>
      </c>
      <c r="DC43" s="1075"/>
      <c r="DD43" s="1076"/>
      <c r="DE43" s="174"/>
      <c r="DF43" s="174"/>
      <c r="DG43" s="174"/>
      <c r="DH43" s="174"/>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869"/>
      <c r="BN44" s="870"/>
      <c r="BO44" s="870"/>
      <c r="BP44" s="870"/>
      <c r="BQ44" s="1387"/>
      <c r="BR44" s="1342"/>
      <c r="BS44" s="174"/>
      <c r="BT44" s="174"/>
      <c r="BU44" s="174"/>
      <c r="BV44" s="174"/>
      <c r="BW44" s="174"/>
      <c r="BX44" s="1521"/>
      <c r="BY44" s="1525"/>
      <c r="BZ44" s="1738"/>
      <c r="CA44" s="1525"/>
      <c r="CB44" s="1526"/>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596"/>
      <c r="CZ44" s="1597"/>
      <c r="DA44" s="1598"/>
      <c r="DB44" s="1760"/>
      <c r="DC44" s="1597"/>
      <c r="DD44" s="1598"/>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869"/>
      <c r="BN45" s="870"/>
      <c r="BO45" s="870"/>
      <c r="BP45" s="870"/>
      <c r="BQ45" s="1387" t="s">
        <v>99</v>
      </c>
      <c r="BR45" s="1342">
        <f>EBT_Master</f>
        <v>0</v>
      </c>
      <c r="BS45" s="174"/>
      <c r="BT45" s="174"/>
      <c r="BU45" s="174"/>
      <c r="BV45" s="174"/>
      <c r="BW45" s="174"/>
      <c r="BX45" s="1521"/>
      <c r="BY45" s="1527"/>
      <c r="BZ45" s="1739"/>
      <c r="CA45" s="1527"/>
      <c r="CB45" s="1528"/>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498">
        <f>CY52/DJ53</f>
        <v>1.7250342540029671</v>
      </c>
      <c r="CZ45" s="1499"/>
      <c r="DA45" s="1500"/>
      <c r="DB45" s="1761">
        <f>DB52/DJ55</f>
        <v>4.2918200464028935</v>
      </c>
      <c r="DC45" s="1499"/>
      <c r="DD45" s="1500"/>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869"/>
      <c r="BN46" s="870"/>
      <c r="BO46" s="870"/>
      <c r="BP46" s="870"/>
      <c r="BQ46" s="1387"/>
      <c r="BR46" s="1342"/>
      <c r="BS46" s="174"/>
      <c r="BT46" s="174"/>
      <c r="BU46" s="174"/>
      <c r="BV46" s="174"/>
      <c r="BW46" s="174"/>
      <c r="BX46" s="1521"/>
      <c r="BY46" s="222"/>
      <c r="BZ46" s="222"/>
      <c r="CA46" s="222"/>
      <c r="CB46" s="150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501"/>
      <c r="CZ46" s="1502"/>
      <c r="DA46" s="1503"/>
      <c r="DB46" s="1762"/>
      <c r="DC46" s="1502"/>
      <c r="DD46" s="1503"/>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869"/>
      <c r="BN47" s="870"/>
      <c r="BO47" s="870"/>
      <c r="BP47" s="870"/>
      <c r="BQ47" s="1387"/>
      <c r="BR47" s="1342"/>
      <c r="BS47" s="174"/>
      <c r="BT47" s="174"/>
      <c r="BU47" s="174"/>
      <c r="BV47" s="174"/>
      <c r="BW47" s="174"/>
      <c r="BX47" s="1521"/>
      <c r="BY47" s="222"/>
      <c r="BZ47" s="222"/>
      <c r="CA47" s="222"/>
      <c r="CB47" s="150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331" t="s">
        <v>135</v>
      </c>
      <c r="CZ47" s="1331"/>
      <c r="DA47" s="1331"/>
      <c r="DB47" s="1331" t="s">
        <v>135</v>
      </c>
      <c r="DC47" s="1331"/>
      <c r="DD47" s="1331"/>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869"/>
      <c r="BN48" s="870"/>
      <c r="BO48" s="870"/>
      <c r="BP48" s="870"/>
      <c r="BQ48" s="1387" t="s">
        <v>99</v>
      </c>
      <c r="BR48" s="1342">
        <f>EBR_Master</f>
        <v>208</v>
      </c>
      <c r="BS48" s="174"/>
      <c r="BT48" s="174"/>
      <c r="BU48" s="174"/>
      <c r="BV48" s="174"/>
      <c r="BW48" s="174"/>
      <c r="BX48" s="1521"/>
      <c r="BY48" s="222"/>
      <c r="BZ48" s="222"/>
      <c r="CA48" s="222"/>
      <c r="CB48" s="150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332"/>
      <c r="CZ48" s="1332"/>
      <c r="DA48" s="1332"/>
      <c r="DB48" s="1332"/>
      <c r="DC48" s="1332"/>
      <c r="DD48" s="1332"/>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869"/>
      <c r="BN49" s="870"/>
      <c r="BO49" s="870"/>
      <c r="BP49" s="870"/>
      <c r="BQ49" s="1387"/>
      <c r="BR49" s="1342"/>
      <c r="BS49" s="174"/>
      <c r="BT49" s="174"/>
      <c r="BU49" s="174"/>
      <c r="BV49" s="174"/>
      <c r="BW49" s="174"/>
      <c r="BX49" s="1522"/>
      <c r="BY49" s="1505"/>
      <c r="BZ49" s="1505"/>
      <c r="CA49" s="1505"/>
      <c r="CB49" s="1506"/>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332"/>
      <c r="CZ49" s="1332"/>
      <c r="DA49" s="1332"/>
      <c r="DB49" s="1332"/>
      <c r="DC49" s="1332"/>
      <c r="DD49" s="1332"/>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106"/>
      <c r="BN50" s="1094"/>
      <c r="BO50" s="1094"/>
      <c r="BP50" s="1094"/>
      <c r="BQ50" s="1388"/>
      <c r="BR50" s="1389"/>
      <c r="BS50" s="174"/>
      <c r="BT50" s="174"/>
      <c r="BU50" s="174"/>
      <c r="BV50" s="174"/>
      <c r="BW50" s="174"/>
      <c r="BX50" s="135"/>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332"/>
      <c r="CZ50" s="1332"/>
      <c r="DA50" s="1332"/>
      <c r="DB50" s="1332"/>
      <c r="DC50" s="1332"/>
      <c r="DD50" s="1332"/>
      <c r="DE50" s="174"/>
      <c r="DF50" s="174"/>
      <c r="DG50" s="174"/>
      <c r="DH50" s="174"/>
      <c r="DI50" s="174"/>
      <c r="DJ50" s="174"/>
      <c r="DK50" s="174"/>
      <c r="DL50" s="174"/>
      <c r="DM50" s="17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3"/>
      <c r="BN51" s="174"/>
      <c r="BO51" s="174"/>
      <c r="BP51" s="174"/>
      <c r="BQ51" s="174"/>
      <c r="BR51" s="174"/>
      <c r="BS51" s="174"/>
      <c r="BT51" s="174"/>
      <c r="BU51" s="174"/>
      <c r="BV51" s="174"/>
      <c r="BW51" s="174"/>
      <c r="BX51" s="1084"/>
      <c r="BY51" s="1075"/>
      <c r="BZ51" s="1075"/>
      <c r="CA51" s="1075"/>
      <c r="CB51" s="1390" t="s">
        <v>99</v>
      </c>
      <c r="CC51" s="1566">
        <f>BS53+BU56</f>
        <v>899</v>
      </c>
      <c r="CD51" s="1356" t="s">
        <v>135</v>
      </c>
      <c r="CE51" s="1357"/>
      <c r="CF51" s="1357"/>
      <c r="CG51" s="1357"/>
      <c r="CH51" s="1358"/>
      <c r="CI51" s="1359">
        <f>CC51/CA63</f>
        <v>5.7707965587330667</v>
      </c>
      <c r="CJ51" s="1360"/>
      <c r="CK51" s="1568">
        <v>1</v>
      </c>
      <c r="CL51" s="1569"/>
      <c r="CM51" s="174"/>
      <c r="CN51" s="174"/>
      <c r="CO51" s="174"/>
      <c r="CP51" s="174"/>
      <c r="CQ51" s="174"/>
      <c r="CR51" s="174"/>
      <c r="CS51" s="174"/>
      <c r="CT51" s="174"/>
      <c r="CU51" s="174"/>
      <c r="CV51" s="174"/>
      <c r="CW51" s="174"/>
      <c r="CX51" s="174"/>
      <c r="CY51" s="1333"/>
      <c r="CZ51" s="1333"/>
      <c r="DA51" s="1333"/>
      <c r="DB51" s="1333"/>
      <c r="DC51" s="1333"/>
      <c r="DD51" s="1333"/>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
      <c r="BN52" s="174"/>
      <c r="BO52" s="174"/>
      <c r="BP52" s="174"/>
      <c r="BQ52" s="174"/>
      <c r="BR52" s="174"/>
      <c r="BS52" s="174"/>
      <c r="BT52" s="174"/>
      <c r="BU52" s="174"/>
      <c r="BV52" s="174"/>
      <c r="BW52" s="174"/>
      <c r="BX52" s="869"/>
      <c r="BY52" s="870"/>
      <c r="BZ52" s="870"/>
      <c r="CA52" s="870"/>
      <c r="CB52" s="1391"/>
      <c r="CC52" s="1567"/>
      <c r="CD52" s="1356"/>
      <c r="CE52" s="1357"/>
      <c r="CF52" s="1357"/>
      <c r="CG52" s="1357"/>
      <c r="CH52" s="1358"/>
      <c r="CI52" s="1361"/>
      <c r="CJ52" s="1362"/>
      <c r="CK52" s="1570"/>
      <c r="CL52" s="1571"/>
      <c r="CM52" s="174"/>
      <c r="CN52" s="174"/>
      <c r="CO52" s="174"/>
      <c r="CP52" s="174"/>
      <c r="CQ52" s="174"/>
      <c r="CR52" s="174"/>
      <c r="CS52" s="174"/>
      <c r="CT52" s="174"/>
      <c r="CU52" s="174"/>
      <c r="CV52" s="174"/>
      <c r="CW52" s="174"/>
      <c r="CX52" s="174"/>
      <c r="CY52" s="1722">
        <f>CY63+DB61</f>
        <v>630</v>
      </c>
      <c r="CZ52" s="1723"/>
      <c r="DA52" s="1724"/>
      <c r="DB52" s="1722">
        <f>DF61+DI63</f>
        <v>1690</v>
      </c>
      <c r="DC52" s="1723"/>
      <c r="DD52" s="172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547" t="s">
        <v>152</v>
      </c>
      <c r="BN53" s="1548"/>
      <c r="BO53" s="1548" t="s">
        <v>151</v>
      </c>
      <c r="BP53" s="1553"/>
      <c r="BQ53" s="174"/>
      <c r="BR53" s="174"/>
      <c r="BS53" s="1507">
        <f>BR42+BR39</f>
        <v>899</v>
      </c>
      <c r="BT53" s="1507"/>
      <c r="BU53" s="174"/>
      <c r="BV53" s="174"/>
      <c r="BW53" s="174"/>
      <c r="BX53" s="869"/>
      <c r="BY53" s="870"/>
      <c r="BZ53" s="870"/>
      <c r="CA53" s="870"/>
      <c r="CB53" s="1391"/>
      <c r="CC53" s="1567"/>
      <c r="CD53" s="1356"/>
      <c r="CE53" s="1357"/>
      <c r="CF53" s="1357"/>
      <c r="CG53" s="1357"/>
      <c r="CH53" s="1358"/>
      <c r="CI53" s="1363"/>
      <c r="CJ53" s="1364"/>
      <c r="CK53" s="1572"/>
      <c r="CL53" s="1573"/>
      <c r="CM53" s="174"/>
      <c r="CN53" s="174"/>
      <c r="CO53" s="174"/>
      <c r="CP53" s="1586">
        <f>BS53+BU56+CB16</f>
        <v>1506</v>
      </c>
      <c r="CQ53" s="1587"/>
      <c r="CR53" s="1587"/>
      <c r="CS53" s="1588"/>
      <c r="CT53" s="1589"/>
      <c r="CU53" s="1589"/>
      <c r="CV53" s="1589"/>
      <c r="CW53" s="1590"/>
      <c r="CX53" s="174"/>
      <c r="CY53" s="1375" t="s">
        <v>99</v>
      </c>
      <c r="CZ53" s="1376"/>
      <c r="DA53" s="1377"/>
      <c r="DB53" s="1375" t="s">
        <v>99</v>
      </c>
      <c r="DC53" s="1376"/>
      <c r="DD53" s="1377"/>
      <c r="DE53" s="174"/>
      <c r="DF53" s="788">
        <v>1</v>
      </c>
      <c r="DG53" s="789"/>
      <c r="DH53" s="789"/>
      <c r="DI53" s="1574"/>
      <c r="DJ53" s="1582">
        <f>$DF$7*EXP(-$DM$7*(CP55+CP53))</f>
        <v>365.21013918307756</v>
      </c>
      <c r="DK53" s="1582"/>
      <c r="DL53" s="1582"/>
      <c r="DM53" s="1583"/>
      <c r="DN53" s="174"/>
      <c r="DO53" s="174"/>
      <c r="DP53" s="174"/>
      <c r="DQ53" s="174"/>
      <c r="DR53" s="174"/>
      <c r="DS53" s="177"/>
    </row>
    <row r="54" spans="2:123" ht="9.9499999999999993" customHeight="1" thickBo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549"/>
      <c r="BN54" s="1550"/>
      <c r="BO54" s="1550"/>
      <c r="BP54" s="1554"/>
      <c r="BQ54" s="174"/>
      <c r="BR54" s="174"/>
      <c r="BS54" s="1507"/>
      <c r="BT54" s="1507"/>
      <c r="BU54" s="174"/>
      <c r="BV54" s="174"/>
      <c r="BW54" s="174"/>
      <c r="BX54" s="869"/>
      <c r="BY54" s="870"/>
      <c r="BZ54" s="870"/>
      <c r="CA54" s="870"/>
      <c r="CB54" s="1391" t="s">
        <v>99</v>
      </c>
      <c r="CC54" s="1567">
        <f>BU60+BS63</f>
        <v>208</v>
      </c>
      <c r="CD54" s="1356" t="s">
        <v>135</v>
      </c>
      <c r="CE54" s="1357"/>
      <c r="CF54" s="1357"/>
      <c r="CG54" s="1357"/>
      <c r="CH54" s="1358"/>
      <c r="CI54" s="1361">
        <f>CC54/BY63</f>
        <v>1.1699548613175115</v>
      </c>
      <c r="CJ54" s="1362"/>
      <c r="CK54" s="1570">
        <v>2</v>
      </c>
      <c r="CL54" s="1571"/>
      <c r="CM54" s="174"/>
      <c r="CN54" s="174"/>
      <c r="CO54" s="174"/>
      <c r="CP54" s="1556"/>
      <c r="CQ54" s="1557"/>
      <c r="CR54" s="1557"/>
      <c r="CS54" s="1558"/>
      <c r="CT54" s="238"/>
      <c r="CU54" s="238"/>
      <c r="CV54" s="238"/>
      <c r="CW54" s="315"/>
      <c r="CX54" s="174"/>
      <c r="CY54" s="1053"/>
      <c r="CZ54" s="1054"/>
      <c r="DA54" s="1058"/>
      <c r="DB54" s="1053"/>
      <c r="DC54" s="1054"/>
      <c r="DD54" s="1058"/>
      <c r="DE54" s="174"/>
      <c r="DF54" s="792"/>
      <c r="DG54" s="793"/>
      <c r="DH54" s="793"/>
      <c r="DI54" s="1575"/>
      <c r="DJ54" s="1350"/>
      <c r="DK54" s="1350"/>
      <c r="DL54" s="1350"/>
      <c r="DM54" s="158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549"/>
      <c r="BN55" s="1550"/>
      <c r="BO55" s="1550"/>
      <c r="BP55" s="1554"/>
      <c r="BQ55" s="174"/>
      <c r="BR55" s="174"/>
      <c r="BS55" s="1507"/>
      <c r="BT55" s="1507"/>
      <c r="BU55" s="174"/>
      <c r="BV55" s="174"/>
      <c r="BW55" s="174"/>
      <c r="BX55" s="869"/>
      <c r="BY55" s="870"/>
      <c r="BZ55" s="870"/>
      <c r="CA55" s="870"/>
      <c r="CB55" s="1391"/>
      <c r="CC55" s="1567"/>
      <c r="CD55" s="1356"/>
      <c r="CE55" s="1357"/>
      <c r="CF55" s="1357"/>
      <c r="CG55" s="1357"/>
      <c r="CH55" s="1358"/>
      <c r="CI55" s="1361"/>
      <c r="CJ55" s="1362"/>
      <c r="CK55" s="1570"/>
      <c r="CL55" s="1571"/>
      <c r="CM55" s="174"/>
      <c r="CN55" s="174"/>
      <c r="CO55" s="174"/>
      <c r="CP55" s="1512">
        <f>BU60+DL39</f>
        <v>0</v>
      </c>
      <c r="CQ55" s="1513"/>
      <c r="CR55" s="1513"/>
      <c r="CS55" s="1514"/>
      <c r="CT55" s="238"/>
      <c r="CU55" s="238"/>
      <c r="CV55" s="238"/>
      <c r="CW55" s="315"/>
      <c r="CX55" s="174"/>
      <c r="CY55" s="1053"/>
      <c r="CZ55" s="1054"/>
      <c r="DA55" s="1058"/>
      <c r="DB55" s="1053"/>
      <c r="DC55" s="1054"/>
      <c r="DD55" s="1058"/>
      <c r="DE55" s="174"/>
      <c r="DF55" s="815">
        <v>2</v>
      </c>
      <c r="DG55" s="816"/>
      <c r="DH55" s="816"/>
      <c r="DI55" s="1495"/>
      <c r="DJ55" s="1350">
        <f>$DF$9*EXP(-$DM$9*(CP53+CP55))</f>
        <v>393.7723347502515</v>
      </c>
      <c r="DK55" s="1350"/>
      <c r="DL55" s="1350"/>
      <c r="DM55" s="158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549"/>
      <c r="BN56" s="1550"/>
      <c r="BO56" s="1550"/>
      <c r="BP56" s="1554"/>
      <c r="BQ56" s="1077"/>
      <c r="BR56" s="870"/>
      <c r="BS56" s="1541"/>
      <c r="BT56" s="1542"/>
      <c r="BU56" s="1507">
        <f>BR45*BO63</f>
        <v>0</v>
      </c>
      <c r="BV56" s="1507"/>
      <c r="BW56" s="174"/>
      <c r="BX56" s="1106"/>
      <c r="BY56" s="1094"/>
      <c r="BZ56" s="1094"/>
      <c r="CA56" s="1094"/>
      <c r="CB56" s="1392"/>
      <c r="CC56" s="1585"/>
      <c r="CD56" s="1356"/>
      <c r="CE56" s="1357"/>
      <c r="CF56" s="1357"/>
      <c r="CG56" s="1357"/>
      <c r="CH56" s="1358"/>
      <c r="CI56" s="1363"/>
      <c r="CJ56" s="1364"/>
      <c r="CK56" s="1572"/>
      <c r="CL56" s="1573"/>
      <c r="CM56" s="174"/>
      <c r="CN56" s="174"/>
      <c r="CO56" s="174"/>
      <c r="CP56" s="1556"/>
      <c r="CQ56" s="1557"/>
      <c r="CR56" s="1557"/>
      <c r="CS56" s="1558"/>
      <c r="CT56" s="238"/>
      <c r="CU56" s="238"/>
      <c r="CV56" s="238"/>
      <c r="CW56" s="315"/>
      <c r="CX56" s="174"/>
      <c r="CY56" s="1053"/>
      <c r="CZ56" s="1054"/>
      <c r="DA56" s="1058"/>
      <c r="DB56" s="1053"/>
      <c r="DC56" s="1054"/>
      <c r="DD56" s="1058"/>
      <c r="DE56" s="174"/>
      <c r="DF56" s="792"/>
      <c r="DG56" s="793"/>
      <c r="DH56" s="793"/>
      <c r="DI56" s="1575"/>
      <c r="DJ56" s="1350"/>
      <c r="DK56" s="1350"/>
      <c r="DL56" s="1350"/>
      <c r="DM56" s="1584"/>
      <c r="DN56" s="174"/>
      <c r="DO56" s="174"/>
      <c r="DP56" s="174"/>
      <c r="DQ56" s="174"/>
      <c r="DR56" s="174"/>
      <c r="DS56" s="177"/>
    </row>
    <row r="57" spans="2:123" ht="9.9499999999999993" customHeight="1" thickBo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549"/>
      <c r="BN57" s="1550"/>
      <c r="BO57" s="1550"/>
      <c r="BP57" s="1554"/>
      <c r="BQ57" s="1077"/>
      <c r="BR57" s="870"/>
      <c r="BS57" s="870"/>
      <c r="BT57" s="1078"/>
      <c r="BU57" s="1507"/>
      <c r="BV57" s="1507"/>
      <c r="BW57" s="174"/>
      <c r="BX57" s="13"/>
      <c r="BY57" s="174"/>
      <c r="BZ57" s="174"/>
      <c r="CA57" s="174"/>
      <c r="CB57" s="174"/>
      <c r="CC57" s="174"/>
      <c r="CD57" s="174"/>
      <c r="CE57" s="174"/>
      <c r="CF57" s="174"/>
      <c r="CG57" s="174"/>
      <c r="CH57" s="174"/>
      <c r="CI57" s="174"/>
      <c r="CJ57" s="113"/>
      <c r="CK57" s="115"/>
      <c r="CL57" s="115"/>
      <c r="CM57" s="174"/>
      <c r="CN57" s="174"/>
      <c r="CO57" s="174"/>
      <c r="CP57" s="1599" t="s">
        <v>136</v>
      </c>
      <c r="CQ57" s="1600"/>
      <c r="CR57" s="1600"/>
      <c r="CS57" s="1600"/>
      <c r="CT57" s="1600"/>
      <c r="CU57" s="1600"/>
      <c r="CV57" s="1600"/>
      <c r="CW57" s="1601"/>
      <c r="CX57" s="168"/>
      <c r="CY57" s="1116"/>
      <c r="CZ57" s="1117"/>
      <c r="DA57" s="1119"/>
      <c r="DB57" s="1116"/>
      <c r="DC57" s="1117"/>
      <c r="DD57" s="1119"/>
      <c r="DE57" s="168"/>
      <c r="DF57" s="1599" t="s">
        <v>150</v>
      </c>
      <c r="DG57" s="1600"/>
      <c r="DH57" s="1600"/>
      <c r="DI57" s="1600"/>
      <c r="DJ57" s="1600"/>
      <c r="DK57" s="1600"/>
      <c r="DL57" s="1600"/>
      <c r="DM57" s="1601"/>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549"/>
      <c r="BN58" s="1550"/>
      <c r="BO58" s="1550"/>
      <c r="BP58" s="1554"/>
      <c r="BQ58" s="1077"/>
      <c r="BR58" s="870"/>
      <c r="BS58" s="870"/>
      <c r="BT58" s="1078"/>
      <c r="BU58" s="1507"/>
      <c r="BV58" s="1507"/>
      <c r="BW58" s="174"/>
      <c r="BX58" s="1520" t="s">
        <v>150</v>
      </c>
      <c r="BY58" s="1559">
        <v>2</v>
      </c>
      <c r="BZ58" s="1559"/>
      <c r="CA58" s="1559">
        <v>1</v>
      </c>
      <c r="CB58" s="1561"/>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549"/>
      <c r="BN59" s="1550"/>
      <c r="BO59" s="1550"/>
      <c r="BP59" s="1554"/>
      <c r="BQ59" s="174"/>
      <c r="BR59" s="174"/>
      <c r="BS59" s="174"/>
      <c r="BT59" s="174"/>
      <c r="BU59" s="174"/>
      <c r="BV59" s="174"/>
      <c r="BW59" s="174"/>
      <c r="BX59" s="1521"/>
      <c r="BY59" s="1560"/>
      <c r="BZ59" s="1560"/>
      <c r="CA59" s="1560"/>
      <c r="CB59" s="1562"/>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654" t="s">
        <v>153</v>
      </c>
      <c r="G60" s="1655"/>
      <c r="H60" s="1655"/>
      <c r="I60" s="1655"/>
      <c r="J60" s="1655"/>
      <c r="K60" s="1655"/>
      <c r="L60" s="1655"/>
      <c r="M60" s="1655"/>
      <c r="N60" s="1655"/>
      <c r="O60" s="1655"/>
      <c r="P60" s="1655"/>
      <c r="Q60" s="1656"/>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654" t="s">
        <v>153</v>
      </c>
      <c r="AU60" s="1655"/>
      <c r="AV60" s="1655"/>
      <c r="AW60" s="1655"/>
      <c r="AX60" s="1655"/>
      <c r="AY60" s="1655"/>
      <c r="AZ60" s="1655"/>
      <c r="BA60" s="1655"/>
      <c r="BB60" s="1655"/>
      <c r="BC60" s="1655"/>
      <c r="BD60" s="1655"/>
      <c r="BE60" s="1656"/>
      <c r="BF60" s="174"/>
      <c r="BG60" s="174"/>
      <c r="BH60" s="174"/>
      <c r="BI60" s="177"/>
      <c r="BK60" s="174"/>
      <c r="BL60" s="1"/>
      <c r="BM60" s="1549"/>
      <c r="BN60" s="1550"/>
      <c r="BO60" s="1550"/>
      <c r="BP60" s="1554"/>
      <c r="BQ60" s="1077"/>
      <c r="BR60" s="870"/>
      <c r="BS60" s="870"/>
      <c r="BT60" s="1078"/>
      <c r="BU60" s="1507">
        <f>BR45*(1-BO63)</f>
        <v>0</v>
      </c>
      <c r="BV60" s="1507"/>
      <c r="BW60" s="174"/>
      <c r="BX60" s="1521"/>
      <c r="BY60" s="1560"/>
      <c r="BZ60" s="1560"/>
      <c r="CA60" s="1560"/>
      <c r="CB60" s="1562"/>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657"/>
      <c r="G61" s="1658"/>
      <c r="H61" s="1658"/>
      <c r="I61" s="1658"/>
      <c r="J61" s="1658"/>
      <c r="K61" s="1658"/>
      <c r="L61" s="1658"/>
      <c r="M61" s="1658"/>
      <c r="N61" s="1658"/>
      <c r="O61" s="1658"/>
      <c r="P61" s="1658"/>
      <c r="Q61" s="1659"/>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657"/>
      <c r="AU61" s="1658"/>
      <c r="AV61" s="1658"/>
      <c r="AW61" s="1658"/>
      <c r="AX61" s="1658"/>
      <c r="AY61" s="1658"/>
      <c r="AZ61" s="1658"/>
      <c r="BA61" s="1658"/>
      <c r="BB61" s="1658"/>
      <c r="BC61" s="1658"/>
      <c r="BD61" s="1658"/>
      <c r="BE61" s="1659"/>
      <c r="BF61" s="174"/>
      <c r="BG61" s="174"/>
      <c r="BH61" s="174"/>
      <c r="BI61" s="177"/>
      <c r="BK61" s="174"/>
      <c r="BL61" s="1"/>
      <c r="BM61" s="1549"/>
      <c r="BN61" s="1550"/>
      <c r="BO61" s="1550"/>
      <c r="BP61" s="1554"/>
      <c r="BQ61" s="1077"/>
      <c r="BR61" s="870"/>
      <c r="BS61" s="870"/>
      <c r="BT61" s="1078"/>
      <c r="BU61" s="1507"/>
      <c r="BV61" s="1507"/>
      <c r="BW61" s="174"/>
      <c r="BX61" s="1521"/>
      <c r="BY61" s="1560"/>
      <c r="BZ61" s="1560"/>
      <c r="CA61" s="1560"/>
      <c r="CB61" s="1562"/>
      <c r="CC61" s="174"/>
      <c r="CD61" s="174"/>
      <c r="CE61" s="174"/>
      <c r="CF61" s="174"/>
      <c r="CG61" s="174"/>
      <c r="CH61" s="174"/>
      <c r="CI61" s="174"/>
      <c r="CJ61" s="174"/>
      <c r="CK61" s="174"/>
      <c r="CL61" s="174"/>
      <c r="CM61" s="146"/>
      <c r="CN61" s="174"/>
      <c r="CO61" s="174"/>
      <c r="CP61" s="174"/>
      <c r="CQ61" s="174"/>
      <c r="CR61" s="174"/>
      <c r="CS61" s="174"/>
      <c r="CT61" s="174"/>
      <c r="CU61" s="174"/>
      <c r="CV61" s="174"/>
      <c r="CW61" s="174"/>
      <c r="CX61" s="174"/>
      <c r="CY61" s="174"/>
      <c r="CZ61" s="174"/>
      <c r="DA61" s="174"/>
      <c r="DB61" s="1714">
        <f>CR65*DI67</f>
        <v>630</v>
      </c>
      <c r="DC61" s="1715"/>
      <c r="DD61" s="1716"/>
      <c r="DE61" s="174"/>
      <c r="DF61" s="1714">
        <f>CR65*(1-DI67)</f>
        <v>630</v>
      </c>
      <c r="DG61" s="1715"/>
      <c r="DH61" s="1716"/>
      <c r="DI61" s="174"/>
      <c r="DJ61" s="174"/>
      <c r="DK61" s="174"/>
      <c r="DL61" s="174"/>
      <c r="DM61" s="174"/>
      <c r="DN61" s="174"/>
      <c r="DO61" s="174"/>
      <c r="DP61" s="174"/>
      <c r="DQ61" s="174"/>
      <c r="DR61" s="174"/>
      <c r="DS61" s="177"/>
    </row>
    <row r="62" spans="2:123" ht="9.9499999999999993" customHeight="1" thickBot="1">
      <c r="B62" s="1"/>
      <c r="C62" s="174"/>
      <c r="D62" s="174"/>
      <c r="E62" s="174"/>
      <c r="F62" s="1660"/>
      <c r="G62" s="1661"/>
      <c r="H62" s="1661"/>
      <c r="I62" s="1661"/>
      <c r="J62" s="1661"/>
      <c r="K62" s="1661"/>
      <c r="L62" s="1661"/>
      <c r="M62" s="1661"/>
      <c r="N62" s="1661"/>
      <c r="O62" s="1661"/>
      <c r="P62" s="1661"/>
      <c r="Q62" s="1662"/>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660"/>
      <c r="AU62" s="1661"/>
      <c r="AV62" s="1661"/>
      <c r="AW62" s="1661"/>
      <c r="AX62" s="1661"/>
      <c r="AY62" s="1661"/>
      <c r="AZ62" s="1661"/>
      <c r="BA62" s="1661"/>
      <c r="BB62" s="1661"/>
      <c r="BC62" s="1661"/>
      <c r="BD62" s="1661"/>
      <c r="BE62" s="1662"/>
      <c r="BF62" s="174"/>
      <c r="BG62" s="174"/>
      <c r="BH62" s="174"/>
      <c r="BI62" s="177"/>
      <c r="BK62" s="174"/>
      <c r="BL62" s="1"/>
      <c r="BM62" s="1551"/>
      <c r="BN62" s="1552"/>
      <c r="BO62" s="1552"/>
      <c r="BP62" s="1555"/>
      <c r="BQ62" s="1077"/>
      <c r="BR62" s="870"/>
      <c r="BS62" s="1602"/>
      <c r="BT62" s="1763"/>
      <c r="BU62" s="1507"/>
      <c r="BV62" s="1507"/>
      <c r="BW62" s="174"/>
      <c r="BX62" s="1521"/>
      <c r="BY62" s="1560"/>
      <c r="BZ62" s="1560"/>
      <c r="CA62" s="1560"/>
      <c r="CB62" s="1562"/>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17"/>
      <c r="DC62" s="1718"/>
      <c r="DD62" s="1719"/>
      <c r="DE62" s="174"/>
      <c r="DF62" s="1717"/>
      <c r="DG62" s="1718"/>
      <c r="DH62" s="1719"/>
      <c r="DI62" s="174"/>
      <c r="DJ62" s="174"/>
      <c r="DK62" s="174"/>
      <c r="DL62" s="174"/>
      <c r="DM62" s="174"/>
      <c r="DN62" s="174"/>
      <c r="DO62" s="174"/>
      <c r="DP62" s="174"/>
      <c r="DQ62" s="174"/>
      <c r="DR62" s="174"/>
      <c r="DS62" s="177"/>
    </row>
    <row r="63" spans="2:123" ht="9.9499999999999993" customHeight="1">
      <c r="B63" s="1"/>
      <c r="C63" s="174"/>
      <c r="D63" s="174"/>
      <c r="E63" s="174"/>
      <c r="F63" s="1084" t="s">
        <v>74</v>
      </c>
      <c r="G63" s="1075"/>
      <c r="H63" s="1075"/>
      <c r="I63" s="1076"/>
      <c r="J63" s="1663">
        <f>CI51</f>
        <v>5.7707965587330667</v>
      </c>
      <c r="K63" s="1664"/>
      <c r="L63" s="1664"/>
      <c r="M63" s="1664"/>
      <c r="N63" s="1665" t="s">
        <v>55</v>
      </c>
      <c r="O63" s="1665"/>
      <c r="P63" s="1665"/>
      <c r="Q63" s="1666"/>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084" t="s">
        <v>74</v>
      </c>
      <c r="AU63" s="1075"/>
      <c r="AV63" s="1075"/>
      <c r="AW63" s="1076"/>
      <c r="AX63" s="1663">
        <f>CY45</f>
        <v>1.7250342540029671</v>
      </c>
      <c r="AY63" s="1664"/>
      <c r="AZ63" s="1664"/>
      <c r="BA63" s="1664"/>
      <c r="BB63" s="1665" t="s">
        <v>55</v>
      </c>
      <c r="BC63" s="1665"/>
      <c r="BD63" s="1665"/>
      <c r="BE63" s="1666"/>
      <c r="BF63" s="174"/>
      <c r="BG63" s="174"/>
      <c r="BH63" s="174"/>
      <c r="BI63" s="177"/>
      <c r="BK63" s="174"/>
      <c r="BL63" s="1"/>
      <c r="BM63" s="1529">
        <f>BR48/(BR48+BR45+BR42+BR39)</f>
        <v>0.18789521228545619</v>
      </c>
      <c r="BN63" s="1530"/>
      <c r="BO63" s="1535">
        <v>0.5</v>
      </c>
      <c r="BP63" s="1536"/>
      <c r="BQ63" s="16"/>
      <c r="BR63" s="16"/>
      <c r="BS63" s="1507">
        <f>BR48</f>
        <v>208</v>
      </c>
      <c r="BT63" s="1507"/>
      <c r="BU63" s="174"/>
      <c r="BV63" s="174"/>
      <c r="BW63" s="174"/>
      <c r="BX63" s="1521"/>
      <c r="BY63" s="1543">
        <f>$DF$9*EXP(-$DM$9*(CA41+BY41))</f>
        <v>177.78463672159685</v>
      </c>
      <c r="BZ63" s="1543"/>
      <c r="CA63" s="1543">
        <f>$DF$7*EXP(-$DM$7*(BY41+CA41))</f>
        <v>155.78438623685747</v>
      </c>
      <c r="CB63" s="1545"/>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14">
        <f>CL65+CO65</f>
        <v>0</v>
      </c>
      <c r="CZ63" s="1715"/>
      <c r="DA63" s="1716"/>
      <c r="DB63" s="1725"/>
      <c r="DC63" s="1726"/>
      <c r="DD63" s="1727"/>
      <c r="DE63" s="174"/>
      <c r="DF63" s="1725"/>
      <c r="DG63" s="1726"/>
      <c r="DH63" s="1727"/>
      <c r="DI63" s="1714">
        <f>CU65</f>
        <v>1060</v>
      </c>
      <c r="DJ63" s="1715"/>
      <c r="DK63" s="1716"/>
      <c r="DL63" s="174"/>
      <c r="DM63" s="174"/>
      <c r="DN63" s="174"/>
      <c r="DO63" s="174"/>
      <c r="DP63" s="174"/>
      <c r="DQ63" s="174"/>
      <c r="DR63" s="174"/>
      <c r="DS63" s="177"/>
    </row>
    <row r="64" spans="2:123" ht="9.9499999999999993" customHeight="1" thickBot="1">
      <c r="B64" s="1"/>
      <c r="C64" s="174"/>
      <c r="D64" s="174"/>
      <c r="E64" s="174"/>
      <c r="F64" s="869"/>
      <c r="G64" s="870"/>
      <c r="H64" s="870"/>
      <c r="I64" s="871"/>
      <c r="J64" s="1667"/>
      <c r="K64" s="1448"/>
      <c r="L64" s="1448"/>
      <c r="M64" s="1448"/>
      <c r="N64" s="1451"/>
      <c r="O64" s="1451"/>
      <c r="P64" s="1451"/>
      <c r="Q64" s="1452"/>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869"/>
      <c r="AU64" s="870"/>
      <c r="AV64" s="870"/>
      <c r="AW64" s="871"/>
      <c r="AX64" s="1667"/>
      <c r="AY64" s="1448"/>
      <c r="AZ64" s="1448"/>
      <c r="BA64" s="1448"/>
      <c r="BB64" s="1451"/>
      <c r="BC64" s="1451"/>
      <c r="BD64" s="1451"/>
      <c r="BE64" s="1452"/>
      <c r="BF64" s="174"/>
      <c r="BG64" s="174"/>
      <c r="BH64" s="174"/>
      <c r="BI64" s="177"/>
      <c r="BK64" s="174"/>
      <c r="BL64" s="1"/>
      <c r="BM64" s="1531"/>
      <c r="BN64" s="1532"/>
      <c r="BO64" s="1537"/>
      <c r="BP64" s="1538"/>
      <c r="BQ64" s="16"/>
      <c r="BR64" s="16"/>
      <c r="BS64" s="1507"/>
      <c r="BT64" s="1507"/>
      <c r="BU64" s="16"/>
      <c r="BV64" s="16"/>
      <c r="BW64" s="174"/>
      <c r="BX64" s="1521"/>
      <c r="BY64" s="1543"/>
      <c r="BZ64" s="1543"/>
      <c r="CA64" s="1543"/>
      <c r="CB64" s="1545"/>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17"/>
      <c r="CZ64" s="1718"/>
      <c r="DA64" s="1719"/>
      <c r="DB64" s="770"/>
      <c r="DC64" s="767"/>
      <c r="DD64" s="768"/>
      <c r="DE64" s="174"/>
      <c r="DF64" s="770"/>
      <c r="DG64" s="767"/>
      <c r="DH64" s="768"/>
      <c r="DI64" s="1717"/>
      <c r="DJ64" s="1718"/>
      <c r="DK64" s="1719"/>
      <c r="DL64" s="174"/>
      <c r="DM64" s="174"/>
      <c r="DN64" s="174"/>
      <c r="DO64" s="174"/>
      <c r="DP64" s="174"/>
      <c r="DQ64" s="174"/>
      <c r="DR64" s="174"/>
      <c r="DS64" s="177"/>
    </row>
    <row r="65" spans="2:123" ht="9.9499999999999993" customHeight="1">
      <c r="B65" s="1"/>
      <c r="C65" s="174"/>
      <c r="D65" s="174"/>
      <c r="E65" s="174"/>
      <c r="F65" s="869" t="s">
        <v>75</v>
      </c>
      <c r="G65" s="870"/>
      <c r="H65" s="870"/>
      <c r="I65" s="871"/>
      <c r="J65" s="1447">
        <f>CI54</f>
        <v>1.1699548613175115</v>
      </c>
      <c r="K65" s="1448"/>
      <c r="L65" s="1448"/>
      <c r="M65" s="1448"/>
      <c r="N65" s="1451" t="s">
        <v>55</v>
      </c>
      <c r="O65" s="1451"/>
      <c r="P65" s="1451"/>
      <c r="Q65" s="1452"/>
      <c r="R65" s="174"/>
      <c r="S65" s="174"/>
      <c r="T65" s="174"/>
      <c r="U65" s="174"/>
      <c r="V65" s="174"/>
      <c r="W65" s="119"/>
      <c r="X65" s="119"/>
      <c r="Y65" s="119"/>
      <c r="Z65" s="119"/>
      <c r="AA65" s="119"/>
      <c r="AB65" s="119"/>
      <c r="AC65" s="119"/>
      <c r="AD65" s="119"/>
      <c r="AE65" s="36"/>
      <c r="AF65" s="9"/>
      <c r="AG65" s="121"/>
      <c r="AH65" s="121"/>
      <c r="AI65" s="121"/>
      <c r="AJ65" s="121"/>
      <c r="AK65" s="121"/>
      <c r="AL65" s="174"/>
      <c r="AM65" s="174"/>
      <c r="AN65" s="174"/>
      <c r="AO65" s="174"/>
      <c r="AP65" s="174"/>
      <c r="AQ65" s="174"/>
      <c r="AR65" s="174"/>
      <c r="AS65" s="174"/>
      <c r="AT65" s="869" t="s">
        <v>75</v>
      </c>
      <c r="AU65" s="870"/>
      <c r="AV65" s="870"/>
      <c r="AW65" s="871"/>
      <c r="AX65" s="1447">
        <f>DB45</f>
        <v>4.2918200464028935</v>
      </c>
      <c r="AY65" s="1448"/>
      <c r="AZ65" s="1448"/>
      <c r="BA65" s="1448"/>
      <c r="BB65" s="1451" t="s">
        <v>55</v>
      </c>
      <c r="BC65" s="1451"/>
      <c r="BD65" s="1451"/>
      <c r="BE65" s="1452"/>
      <c r="BF65" s="174"/>
      <c r="BG65" s="174"/>
      <c r="BH65" s="174"/>
      <c r="BI65" s="177"/>
      <c r="BK65" s="174"/>
      <c r="BL65" s="1"/>
      <c r="BM65" s="1531"/>
      <c r="BN65" s="1532"/>
      <c r="BO65" s="1537"/>
      <c r="BP65" s="1538"/>
      <c r="BQ65" s="4"/>
      <c r="BR65" s="4"/>
      <c r="BS65" s="1507"/>
      <c r="BT65" s="1507"/>
      <c r="BU65" s="4"/>
      <c r="BV65" s="4"/>
      <c r="BW65" s="174"/>
      <c r="BX65" s="1521"/>
      <c r="BY65" s="1543"/>
      <c r="BZ65" s="1543"/>
      <c r="CA65" s="1543"/>
      <c r="CB65" s="1545"/>
      <c r="CC65" s="174"/>
      <c r="CD65" s="174"/>
      <c r="CE65" s="174"/>
      <c r="CF65" s="174"/>
      <c r="CG65" s="174"/>
      <c r="CH65" s="174"/>
      <c r="CI65" s="174"/>
      <c r="CJ65" s="174"/>
      <c r="CK65" s="174"/>
      <c r="CL65" s="1301">
        <f>NBU_Master</f>
        <v>0</v>
      </c>
      <c r="CM65" s="1302"/>
      <c r="CN65" s="1302"/>
      <c r="CO65" s="1302">
        <f>NBL_Master</f>
        <v>0</v>
      </c>
      <c r="CP65" s="1302"/>
      <c r="CQ65" s="1302"/>
      <c r="CR65" s="1302">
        <f>NBT_Master</f>
        <v>1260</v>
      </c>
      <c r="CS65" s="1302"/>
      <c r="CT65" s="1302"/>
      <c r="CU65" s="1302">
        <f>NBR_Master</f>
        <v>1060</v>
      </c>
      <c r="CV65" s="1302"/>
      <c r="CW65" s="1365"/>
      <c r="CX65" s="174"/>
      <c r="CY65" s="174"/>
      <c r="CZ65" s="174"/>
      <c r="DA65" s="174"/>
      <c r="DB65" s="770"/>
      <c r="DC65" s="767"/>
      <c r="DD65" s="768"/>
      <c r="DE65" s="174"/>
      <c r="DF65" s="770"/>
      <c r="DG65" s="767"/>
      <c r="DH65" s="768"/>
      <c r="DI65" s="174"/>
      <c r="DJ65" s="174"/>
      <c r="DK65" s="174"/>
      <c r="DL65" s="174"/>
      <c r="DM65" s="174"/>
      <c r="DN65" s="174"/>
      <c r="DO65" s="174"/>
      <c r="DP65" s="174"/>
      <c r="DQ65" s="174"/>
      <c r="DR65" s="174"/>
      <c r="DS65" s="177"/>
    </row>
    <row r="66" spans="2:123" ht="9.9499999999999993" customHeight="1" thickBot="1">
      <c r="B66" s="1"/>
      <c r="C66" s="174"/>
      <c r="D66" s="174"/>
      <c r="E66" s="174"/>
      <c r="F66" s="1106"/>
      <c r="G66" s="1094"/>
      <c r="H66" s="1094"/>
      <c r="I66" s="1095"/>
      <c r="J66" s="1449"/>
      <c r="K66" s="1450"/>
      <c r="L66" s="1450"/>
      <c r="M66" s="1450"/>
      <c r="N66" s="1453"/>
      <c r="O66" s="1453"/>
      <c r="P66" s="1453"/>
      <c r="Q66" s="1454"/>
      <c r="R66" s="55">
        <f>+IF(OR(J63&gt;1,J65&gt;1),1,0)</f>
        <v>1</v>
      </c>
      <c r="S66" s="174"/>
      <c r="T66" s="174"/>
      <c r="U66" s="174"/>
      <c r="V66" s="174"/>
      <c r="W66" s="119"/>
      <c r="X66" s="119"/>
      <c r="Y66" s="119"/>
      <c r="Z66" s="119"/>
      <c r="AA66" s="119"/>
      <c r="AB66" s="119"/>
      <c r="AC66" s="119"/>
      <c r="AD66" s="119"/>
      <c r="AE66" s="9"/>
      <c r="AF66" s="9"/>
      <c r="AG66" s="121"/>
      <c r="AH66" s="121"/>
      <c r="AI66" s="121"/>
      <c r="AJ66" s="121"/>
      <c r="AK66" s="121"/>
      <c r="AL66" s="174"/>
      <c r="AM66" s="174"/>
      <c r="AN66" s="174"/>
      <c r="AO66" s="174"/>
      <c r="AP66" s="174"/>
      <c r="AQ66" s="174"/>
      <c r="AR66" s="174"/>
      <c r="AS66" s="174"/>
      <c r="AT66" s="1106"/>
      <c r="AU66" s="1094"/>
      <c r="AV66" s="1094"/>
      <c r="AW66" s="1095"/>
      <c r="AX66" s="1449"/>
      <c r="AY66" s="1450"/>
      <c r="AZ66" s="1450"/>
      <c r="BA66" s="1450"/>
      <c r="BB66" s="1453"/>
      <c r="BC66" s="1453"/>
      <c r="BD66" s="1453"/>
      <c r="BE66" s="1454"/>
      <c r="BF66" s="55">
        <f>+IF(OR(AX63&gt;1,AX65&gt;1),1,0)</f>
        <v>1</v>
      </c>
      <c r="BG66" s="174"/>
      <c r="BH66" s="174"/>
      <c r="BI66" s="177"/>
      <c r="BK66" s="174"/>
      <c r="BL66" s="1"/>
      <c r="BM66" s="1533"/>
      <c r="BN66" s="1534"/>
      <c r="BO66" s="1539"/>
      <c r="BP66" s="1540"/>
      <c r="BQ66" s="174"/>
      <c r="BR66" s="174"/>
      <c r="BS66" s="174"/>
      <c r="BT66" s="174"/>
      <c r="BU66" s="174"/>
      <c r="BV66" s="174"/>
      <c r="BW66" s="174"/>
      <c r="BX66" s="1522"/>
      <c r="BY66" s="1544"/>
      <c r="BZ66" s="1544"/>
      <c r="CA66" s="1544"/>
      <c r="CB66" s="1546"/>
      <c r="CC66" s="174"/>
      <c r="CD66" s="174"/>
      <c r="CE66" s="174"/>
      <c r="CF66" s="174"/>
      <c r="CG66" s="174"/>
      <c r="CH66" s="174"/>
      <c r="CI66" s="174"/>
      <c r="CJ66" s="174"/>
      <c r="CK66" s="174"/>
      <c r="CL66" s="1366" t="s">
        <v>99</v>
      </c>
      <c r="CM66" s="1367"/>
      <c r="CN66" s="1367"/>
      <c r="CO66" s="1367" t="s">
        <v>99</v>
      </c>
      <c r="CP66" s="1367"/>
      <c r="CQ66" s="1367"/>
      <c r="CR66" s="1367" t="s">
        <v>99</v>
      </c>
      <c r="CS66" s="1367"/>
      <c r="CT66" s="1367"/>
      <c r="CU66" s="1367" t="s">
        <v>99</v>
      </c>
      <c r="CV66" s="1367"/>
      <c r="CW66" s="1368"/>
      <c r="CX66" s="174"/>
      <c r="CY66" s="174"/>
      <c r="CZ66" s="174"/>
      <c r="DA66" s="174"/>
      <c r="DB66" s="770"/>
      <c r="DC66" s="767"/>
      <c r="DD66" s="768"/>
      <c r="DE66" s="174"/>
      <c r="DF66" s="770"/>
      <c r="DG66" s="767"/>
      <c r="DH66" s="768"/>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4"/>
      <c r="K67" s="4"/>
      <c r="L67" s="4"/>
      <c r="M67" s="4"/>
      <c r="N67" s="4"/>
      <c r="O67" s="4"/>
      <c r="P67" s="4"/>
      <c r="Q67" s="4"/>
      <c r="R67" s="174"/>
      <c r="S67" s="174"/>
      <c r="T67" s="174"/>
      <c r="U67" s="174"/>
      <c r="V67" s="174"/>
      <c r="W67" s="119"/>
      <c r="X67" s="119"/>
      <c r="Y67" s="119"/>
      <c r="Z67" s="119"/>
      <c r="AA67" s="119"/>
      <c r="AB67" s="119"/>
      <c r="AC67" s="119"/>
      <c r="AD67" s="119"/>
      <c r="AE67" s="36"/>
      <c r="AF67" s="9"/>
      <c r="AG67" s="121"/>
      <c r="AH67" s="121"/>
      <c r="AI67" s="121"/>
      <c r="AJ67" s="121"/>
      <c r="AK67" s="121"/>
      <c r="AL67" s="174"/>
      <c r="AM67" s="174"/>
      <c r="AN67" s="174"/>
      <c r="AO67" s="174"/>
      <c r="AP67" s="174"/>
      <c r="AQ67" s="174"/>
      <c r="AR67" s="174"/>
      <c r="AS67" s="174"/>
      <c r="AT67" s="174"/>
      <c r="AU67" s="174"/>
      <c r="AV67" s="174"/>
      <c r="AW67" s="174"/>
      <c r="AX67" s="4"/>
      <c r="AY67" s="4"/>
      <c r="AZ67" s="4"/>
      <c r="BA67" s="4"/>
      <c r="BB67" s="4"/>
      <c r="BC67" s="4"/>
      <c r="BD67" s="4"/>
      <c r="BE67" s="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053"/>
      <c r="CM67" s="1054"/>
      <c r="CN67" s="1054"/>
      <c r="CO67" s="1054"/>
      <c r="CP67" s="1054"/>
      <c r="CQ67" s="1054"/>
      <c r="CR67" s="1054"/>
      <c r="CS67" s="1054"/>
      <c r="CT67" s="1054"/>
      <c r="CU67" s="1054"/>
      <c r="CV67" s="1054"/>
      <c r="CW67" s="1058"/>
      <c r="CX67" s="174"/>
      <c r="CY67" s="1378" t="s">
        <v>151</v>
      </c>
      <c r="CZ67" s="1379"/>
      <c r="DA67" s="1379"/>
      <c r="DB67" s="1379"/>
      <c r="DC67" s="1379"/>
      <c r="DD67" s="1379"/>
      <c r="DE67" s="1379"/>
      <c r="DF67" s="1379"/>
      <c r="DG67" s="1379"/>
      <c r="DH67" s="1728"/>
      <c r="DI67" s="1696">
        <v>0.5</v>
      </c>
      <c r="DJ67" s="1697"/>
      <c r="DK67" s="1697"/>
      <c r="DL67" s="1698"/>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24"/>
      <c r="X68" s="124"/>
      <c r="Y68" s="124"/>
      <c r="Z68" s="124"/>
      <c r="AA68" s="6"/>
      <c r="AB68" s="6"/>
      <c r="AC68" s="6"/>
      <c r="AD68" s="6"/>
      <c r="AE68" s="9"/>
      <c r="AF68" s="9"/>
      <c r="AG68" s="121"/>
      <c r="AH68" s="121"/>
      <c r="AI68" s="121"/>
      <c r="AJ68" s="121"/>
      <c r="AK68" s="121"/>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053"/>
      <c r="CM68" s="1054"/>
      <c r="CN68" s="1054"/>
      <c r="CO68" s="1054"/>
      <c r="CP68" s="1054"/>
      <c r="CQ68" s="1054"/>
      <c r="CR68" s="1054"/>
      <c r="CS68" s="1054"/>
      <c r="CT68" s="1054"/>
      <c r="CU68" s="1054"/>
      <c r="CV68" s="1054"/>
      <c r="CW68" s="1058"/>
      <c r="CX68" s="174"/>
      <c r="CY68" s="1381"/>
      <c r="CZ68" s="1382"/>
      <c r="DA68" s="1382"/>
      <c r="DB68" s="1382"/>
      <c r="DC68" s="1382"/>
      <c r="DD68" s="1382"/>
      <c r="DE68" s="1382"/>
      <c r="DF68" s="1382"/>
      <c r="DG68" s="1382"/>
      <c r="DH68" s="1729"/>
      <c r="DI68" s="1699"/>
      <c r="DJ68" s="1700"/>
      <c r="DK68" s="1700"/>
      <c r="DL68" s="1701"/>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24"/>
      <c r="X69" s="124"/>
      <c r="Y69" s="124"/>
      <c r="Z69" s="124"/>
      <c r="AA69" s="6"/>
      <c r="AB69" s="6"/>
      <c r="AC69" s="6"/>
      <c r="AD69" s="6"/>
      <c r="AE69" s="36"/>
      <c r="AF69" s="9"/>
      <c r="AG69" s="121"/>
      <c r="AH69" s="121"/>
      <c r="AI69" s="121"/>
      <c r="AJ69" s="121"/>
      <c r="AK69" s="121"/>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053"/>
      <c r="CM69" s="1054"/>
      <c r="CN69" s="1054"/>
      <c r="CO69" s="1054"/>
      <c r="CP69" s="1054"/>
      <c r="CQ69" s="1054"/>
      <c r="CR69" s="1054"/>
      <c r="CS69" s="1054"/>
      <c r="CT69" s="1054"/>
      <c r="CU69" s="1054"/>
      <c r="CV69" s="1054"/>
      <c r="CW69" s="1058"/>
      <c r="CX69" s="174"/>
      <c r="CY69" s="1702" t="s">
        <v>152</v>
      </c>
      <c r="CZ69" s="1703"/>
      <c r="DA69" s="1703"/>
      <c r="DB69" s="1703"/>
      <c r="DC69" s="1703"/>
      <c r="DD69" s="1703"/>
      <c r="DE69" s="1703"/>
      <c r="DF69" s="1703"/>
      <c r="DG69" s="1703"/>
      <c r="DH69" s="1704"/>
      <c r="DI69" s="1708">
        <f>CU65/(CU65+CR65+CO65+CL65)</f>
        <v>0.45689655172413796</v>
      </c>
      <c r="DJ69" s="1709"/>
      <c r="DK69" s="1709"/>
      <c r="DL69" s="1710"/>
      <c r="DM69" s="174"/>
      <c r="DN69" s="174"/>
      <c r="DO69" s="174"/>
      <c r="DP69" s="174"/>
      <c r="DQ69" s="174"/>
      <c r="DR69" s="174"/>
      <c r="DS69" s="177"/>
    </row>
    <row r="70" spans="2:123" ht="9.9499999999999993" customHeight="1" thickBot="1">
      <c r="B70" s="1"/>
      <c r="C70" s="174"/>
      <c r="D70" s="174"/>
      <c r="E70" s="174"/>
      <c r="F70" s="174"/>
      <c r="G70" s="174"/>
      <c r="H70" s="174"/>
      <c r="I70" s="174"/>
      <c r="J70" s="174"/>
      <c r="K70" s="174"/>
      <c r="L70" s="174"/>
      <c r="M70" s="174"/>
      <c r="N70" s="174"/>
      <c r="O70" s="174"/>
      <c r="P70" s="174"/>
      <c r="Q70" s="174"/>
      <c r="R70" s="174"/>
      <c r="S70" s="174"/>
      <c r="T70" s="174"/>
      <c r="U70" s="174"/>
      <c r="V70" s="174"/>
      <c r="W70" s="39"/>
      <c r="X70" s="39"/>
      <c r="Y70" s="39"/>
      <c r="Z70" s="39"/>
      <c r="AA70" s="39"/>
      <c r="AB70" s="39"/>
      <c r="AC70" s="39"/>
      <c r="AD70" s="39"/>
      <c r="AE70" s="9"/>
      <c r="AF70" s="9"/>
      <c r="AG70" s="121"/>
      <c r="AH70" s="121"/>
      <c r="AI70" s="121"/>
      <c r="AJ70" s="121"/>
      <c r="AK70" s="121"/>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116"/>
      <c r="CM70" s="1117"/>
      <c r="CN70" s="1117"/>
      <c r="CO70" s="1117"/>
      <c r="CP70" s="1117"/>
      <c r="CQ70" s="1117"/>
      <c r="CR70" s="1117"/>
      <c r="CS70" s="1117"/>
      <c r="CT70" s="1117"/>
      <c r="CU70" s="1117"/>
      <c r="CV70" s="1117"/>
      <c r="CW70" s="1119"/>
      <c r="CX70" s="136"/>
      <c r="CY70" s="1705"/>
      <c r="CZ70" s="1706"/>
      <c r="DA70" s="1706"/>
      <c r="DB70" s="1706"/>
      <c r="DC70" s="1706"/>
      <c r="DD70" s="1706"/>
      <c r="DE70" s="1706"/>
      <c r="DF70" s="1706"/>
      <c r="DG70" s="1706"/>
      <c r="DH70" s="1707"/>
      <c r="DI70" s="1711"/>
      <c r="DJ70" s="1712"/>
      <c r="DK70" s="1712"/>
      <c r="DL70" s="1713"/>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39"/>
      <c r="X71" s="39"/>
      <c r="Y71" s="39"/>
      <c r="Z71" s="39"/>
      <c r="AA71" s="39"/>
      <c r="AB71" s="39"/>
      <c r="AC71" s="39"/>
      <c r="AD71" s="39"/>
      <c r="AE71" s="36"/>
      <c r="AF71" s="9"/>
      <c r="AG71" s="121"/>
      <c r="AH71" s="121"/>
      <c r="AI71" s="121"/>
      <c r="AJ71" s="121"/>
      <c r="AK71" s="121"/>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39"/>
      <c r="X72" s="39"/>
      <c r="Y72" s="39"/>
      <c r="Z72" s="39"/>
      <c r="AA72" s="39"/>
      <c r="AB72" s="39"/>
      <c r="AC72" s="39"/>
      <c r="AD72" s="39"/>
      <c r="AE72" s="36"/>
      <c r="AF72" s="9"/>
      <c r="AG72" s="121"/>
      <c r="AH72" s="121"/>
      <c r="AI72" s="121"/>
      <c r="AJ72" s="121"/>
      <c r="AK72" s="121"/>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4"/>
      <c r="BT72" s="4"/>
      <c r="BU72" s="4"/>
      <c r="BV72" s="4"/>
      <c r="BW72" s="4"/>
      <c r="BX72" s="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07"/>
      <c r="X73" s="107"/>
      <c r="Y73" s="107"/>
      <c r="Z73" s="107"/>
      <c r="AA73" s="107"/>
      <c r="AB73" s="107"/>
      <c r="AC73" s="107"/>
      <c r="AD73" s="107"/>
      <c r="AE73" s="9"/>
      <c r="AF73" s="9"/>
      <c r="AG73" s="121"/>
      <c r="AH73" s="121"/>
      <c r="AI73" s="121"/>
      <c r="AJ73" s="121"/>
      <c r="AK73" s="121"/>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4"/>
      <c r="BQ73" s="4"/>
      <c r="BR73" s="4"/>
      <c r="BS73" s="4"/>
      <c r="BT73" s="4"/>
      <c r="BU73" s="4"/>
      <c r="BV73" s="4"/>
      <c r="BW73" s="4"/>
      <c r="BX73" s="4"/>
      <c r="BY73" s="4"/>
      <c r="BZ73" s="4"/>
      <c r="CA73" s="4"/>
      <c r="CB73" s="4"/>
      <c r="CC73" s="4"/>
      <c r="CD73" s="4"/>
      <c r="CE73" s="4"/>
      <c r="CF73" s="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242">
    <mergeCell ref="DP15:DQ18"/>
    <mergeCell ref="DJ16:DK18"/>
    <mergeCell ref="DJ19:DM21"/>
    <mergeCell ref="DA15:DB18"/>
    <mergeCell ref="DC15:DD18"/>
    <mergeCell ref="DA19:DB23"/>
    <mergeCell ref="DC19:DD23"/>
    <mergeCell ref="CU25:CY27"/>
    <mergeCell ref="CZ25:CZ27"/>
    <mergeCell ref="DA25:DA27"/>
    <mergeCell ref="DB25:DE27"/>
    <mergeCell ref="DP19:DQ28"/>
    <mergeCell ref="CU28:CY30"/>
    <mergeCell ref="DI67:DL68"/>
    <mergeCell ref="CY69:DH70"/>
    <mergeCell ref="DI69:DL70"/>
    <mergeCell ref="DI63:DK64"/>
    <mergeCell ref="DB53:DD53"/>
    <mergeCell ref="DF55:DI56"/>
    <mergeCell ref="DJ55:DM56"/>
    <mergeCell ref="CY54:DA57"/>
    <mergeCell ref="DB54:DD57"/>
    <mergeCell ref="DF53:DI54"/>
    <mergeCell ref="DJ53:DM54"/>
    <mergeCell ref="CP57:CW57"/>
    <mergeCell ref="DF57:DM57"/>
    <mergeCell ref="CY53:DA53"/>
    <mergeCell ref="DM9:DQ10"/>
    <mergeCell ref="AT63:AW64"/>
    <mergeCell ref="CY5:DE6"/>
    <mergeCell ref="CI54:CJ56"/>
    <mergeCell ref="CY52:DA52"/>
    <mergeCell ref="DB52:DD52"/>
    <mergeCell ref="CP53:CS54"/>
    <mergeCell ref="CT53:CW54"/>
    <mergeCell ref="CY9:DC10"/>
    <mergeCell ref="DD7:DE8"/>
    <mergeCell ref="DF7:DJ8"/>
    <mergeCell ref="DK7:DL8"/>
    <mergeCell ref="DM7:DQ8"/>
    <mergeCell ref="CY7:DC8"/>
    <mergeCell ref="DD9:DE10"/>
    <mergeCell ref="DF9:DJ10"/>
    <mergeCell ref="DK9:DL10"/>
    <mergeCell ref="DE15:DE23"/>
    <mergeCell ref="DH19:DI21"/>
    <mergeCell ref="DH23:DI25"/>
    <mergeCell ref="DJ23:DM25"/>
    <mergeCell ref="BS63:BT65"/>
    <mergeCell ref="CL67:CN70"/>
    <mergeCell ref="CO67:CQ70"/>
    <mergeCell ref="CR67:CT70"/>
    <mergeCell ref="CU67:CW70"/>
    <mergeCell ref="CY67:DH68"/>
    <mergeCell ref="CL65:CN65"/>
    <mergeCell ref="CO65:CQ65"/>
    <mergeCell ref="CR65:CT65"/>
    <mergeCell ref="CU65:CW65"/>
    <mergeCell ref="CL66:CN66"/>
    <mergeCell ref="CO66:CQ66"/>
    <mergeCell ref="CR66:CT66"/>
    <mergeCell ref="CU66:CW66"/>
    <mergeCell ref="BM63:BN66"/>
    <mergeCell ref="BO63:BP66"/>
    <mergeCell ref="BQ60:BT62"/>
    <mergeCell ref="BU60:BV62"/>
    <mergeCell ref="BY63:BZ66"/>
    <mergeCell ref="CA63:CB66"/>
    <mergeCell ref="DB61:DD62"/>
    <mergeCell ref="DF61:DH62"/>
    <mergeCell ref="BQ56:BT58"/>
    <mergeCell ref="BU56:BV58"/>
    <mergeCell ref="CY63:DA64"/>
    <mergeCell ref="DB63:DD66"/>
    <mergeCell ref="DF63:DH66"/>
    <mergeCell ref="BX58:BX66"/>
    <mergeCell ref="BY58:BZ62"/>
    <mergeCell ref="CA58:CB62"/>
    <mergeCell ref="BM53:BN62"/>
    <mergeCell ref="BO53:BP62"/>
    <mergeCell ref="CP55:CS56"/>
    <mergeCell ref="CT55:CW56"/>
    <mergeCell ref="BX54:CA56"/>
    <mergeCell ref="CB54:CB56"/>
    <mergeCell ref="CC54:CC56"/>
    <mergeCell ref="CD54:CH56"/>
    <mergeCell ref="CD51:CH53"/>
    <mergeCell ref="CI51:CJ53"/>
    <mergeCell ref="BY46:BZ49"/>
    <mergeCell ref="CA46:CB49"/>
    <mergeCell ref="CY45:DA46"/>
    <mergeCell ref="DB45:DD46"/>
    <mergeCell ref="BM48:BP50"/>
    <mergeCell ref="BQ48:BQ50"/>
    <mergeCell ref="BR48:BR50"/>
    <mergeCell ref="CY47:DA51"/>
    <mergeCell ref="DB47:DD51"/>
    <mergeCell ref="CK51:CL53"/>
    <mergeCell ref="BS53:BT55"/>
    <mergeCell ref="BX51:CA53"/>
    <mergeCell ref="CK54:CL56"/>
    <mergeCell ref="BY29:CA29"/>
    <mergeCell ref="CB29:CD29"/>
    <mergeCell ref="BQ42:BQ44"/>
    <mergeCell ref="BR42:BR44"/>
    <mergeCell ref="BM45:BP47"/>
    <mergeCell ref="BQ45:BQ47"/>
    <mergeCell ref="BR45:BR47"/>
    <mergeCell ref="DM39:DM41"/>
    <mergeCell ref="BM39:BP41"/>
    <mergeCell ref="BQ39:BQ41"/>
    <mergeCell ref="BR39:BR41"/>
    <mergeCell ref="BX41:BX49"/>
    <mergeCell ref="BY41:BZ45"/>
    <mergeCell ref="CA41:CB45"/>
    <mergeCell ref="BM42:BP44"/>
    <mergeCell ref="CY43:DA44"/>
    <mergeCell ref="DB43:DD44"/>
    <mergeCell ref="DN33:DQ35"/>
    <mergeCell ref="DA36:DB40"/>
    <mergeCell ref="DC36:DD40"/>
    <mergeCell ref="DL36:DL38"/>
    <mergeCell ref="DL30:DL32"/>
    <mergeCell ref="DM30:DM32"/>
    <mergeCell ref="DN30:DQ32"/>
    <mergeCell ref="DA32:DB35"/>
    <mergeCell ref="DC32:DD35"/>
    <mergeCell ref="DE32:DE40"/>
    <mergeCell ref="DM36:DM38"/>
    <mergeCell ref="DN36:DQ38"/>
    <mergeCell ref="DL39:DL41"/>
    <mergeCell ref="DN39:DQ41"/>
    <mergeCell ref="J63:M64"/>
    <mergeCell ref="N63:Q64"/>
    <mergeCell ref="BP27:BS28"/>
    <mergeCell ref="BT27:BW28"/>
    <mergeCell ref="CF25:CI26"/>
    <mergeCell ref="CJ25:CM26"/>
    <mergeCell ref="CS25:CT27"/>
    <mergeCell ref="CF24:CM24"/>
    <mergeCell ref="BU19:BW20"/>
    <mergeCell ref="BY19:CA20"/>
    <mergeCell ref="BP24:BW24"/>
    <mergeCell ref="BY24:CA27"/>
    <mergeCell ref="CB24:CD27"/>
    <mergeCell ref="BP25:BS26"/>
    <mergeCell ref="BY28:CA28"/>
    <mergeCell ref="CB28:CD28"/>
    <mergeCell ref="CJ27:CM28"/>
    <mergeCell ref="BY35:CA36"/>
    <mergeCell ref="CB35:CD36"/>
    <mergeCell ref="BY30:CA34"/>
    <mergeCell ref="CB30:CD34"/>
    <mergeCell ref="CS28:CT30"/>
    <mergeCell ref="CB51:CB53"/>
    <mergeCell ref="CC51:CC53"/>
    <mergeCell ref="AX63:BA64"/>
    <mergeCell ref="BB63:BE64"/>
    <mergeCell ref="AX65:BA66"/>
    <mergeCell ref="DJ26:DK28"/>
    <mergeCell ref="DN19:DO28"/>
    <mergeCell ref="CJ15:CL15"/>
    <mergeCell ref="CM15:CO15"/>
    <mergeCell ref="CP15:CR15"/>
    <mergeCell ref="CG16:CI16"/>
    <mergeCell ref="CJ16:CL16"/>
    <mergeCell ref="DB28:DE30"/>
    <mergeCell ref="CZ28:CZ30"/>
    <mergeCell ref="CB16:CD17"/>
    <mergeCell ref="BT25:BW26"/>
    <mergeCell ref="CM16:CO16"/>
    <mergeCell ref="CP16:CR16"/>
    <mergeCell ref="BB65:BE66"/>
    <mergeCell ref="DN15:DO18"/>
    <mergeCell ref="DA28:DA30"/>
    <mergeCell ref="BU15:BW18"/>
    <mergeCell ref="BY15:CA18"/>
    <mergeCell ref="CG15:CI15"/>
    <mergeCell ref="DL33:DL35"/>
    <mergeCell ref="DM33:DM35"/>
    <mergeCell ref="AT20:BE22"/>
    <mergeCell ref="AT23:AW24"/>
    <mergeCell ref="AT25:AW26"/>
    <mergeCell ref="F20:Q22"/>
    <mergeCell ref="F23:I24"/>
    <mergeCell ref="F25:I26"/>
    <mergeCell ref="J23:M24"/>
    <mergeCell ref="N23:Q24"/>
    <mergeCell ref="J25:M26"/>
    <mergeCell ref="N25:Q26"/>
    <mergeCell ref="AX23:BA24"/>
    <mergeCell ref="BB23:BE24"/>
    <mergeCell ref="AX25:BA26"/>
    <mergeCell ref="BB25:BE26"/>
    <mergeCell ref="F63:I64"/>
    <mergeCell ref="F65:I66"/>
    <mergeCell ref="AT60:BE62"/>
    <mergeCell ref="AT65:AW66"/>
    <mergeCell ref="B1:BI2"/>
    <mergeCell ref="B3:BI4"/>
    <mergeCell ref="C6:J7"/>
    <mergeCell ref="K6:AJ7"/>
    <mergeCell ref="F60:Q62"/>
    <mergeCell ref="C8:J9"/>
    <mergeCell ref="K8:AJ9"/>
    <mergeCell ref="C10:J11"/>
    <mergeCell ref="K10:AJ11"/>
    <mergeCell ref="C12:J13"/>
    <mergeCell ref="K12:AJ13"/>
    <mergeCell ref="AK6:BH7"/>
    <mergeCell ref="AK8:AP9"/>
    <mergeCell ref="AQ8:AV9"/>
    <mergeCell ref="AW8:BB9"/>
    <mergeCell ref="BC8:BH9"/>
    <mergeCell ref="AK10:AR13"/>
    <mergeCell ref="AS10:AV11"/>
    <mergeCell ref="AW10:AZ11"/>
    <mergeCell ref="BA10:BD11"/>
    <mergeCell ref="BA12:BD13"/>
    <mergeCell ref="J65:M66"/>
    <mergeCell ref="N65:Q66"/>
    <mergeCell ref="BY37:CA38"/>
    <mergeCell ref="CB37:CD38"/>
    <mergeCell ref="CQ25:CR27"/>
    <mergeCell ref="CQ28:CR30"/>
    <mergeCell ref="BL1:DS2"/>
    <mergeCell ref="BL3:DS4"/>
    <mergeCell ref="BR11:CA12"/>
    <mergeCell ref="CB11:CE12"/>
    <mergeCell ref="CG11:CI14"/>
    <mergeCell ref="CJ11:CL14"/>
    <mergeCell ref="CM11:CO14"/>
    <mergeCell ref="CP11:CR14"/>
    <mergeCell ref="BR13:CA14"/>
    <mergeCell ref="CB13:CE14"/>
    <mergeCell ref="DF5:DQ6"/>
    <mergeCell ref="BR16:BT17"/>
    <mergeCell ref="CF27:CI28"/>
    <mergeCell ref="BE10:BH11"/>
    <mergeCell ref="BE12:BH13"/>
    <mergeCell ref="AS12:AV13"/>
    <mergeCell ref="AW12:AZ13"/>
  </mergeCells>
  <conditionalFormatting sqref="J23 AX23 J25 AX25 CS25 CS28 BY35 CB35 CY45 DB45 CI51 CI54 J63 AX63 J65 AX65">
    <cfRule type="cellIs" dxfId="71" priority="43" operator="between">
      <formula>0.75</formula>
      <formula>0.875</formula>
    </cfRule>
    <cfRule type="cellIs" dxfId="70" priority="44" operator="between">
      <formula>0.875</formula>
      <formula>1</formula>
    </cfRule>
    <cfRule type="cellIs" dxfId="69" priority="45" operator="greaterThan">
      <formula>1</formula>
    </cfRule>
  </conditionalFormatting>
  <conditionalFormatting sqref="AW10 BE10 AW12 BE12">
    <cfRule type="cellIs" dxfId="68" priority="22" operator="between">
      <formula>0.875</formula>
      <formula>0.99</formula>
    </cfRule>
    <cfRule type="cellIs" dxfId="67" priority="23" operator="between">
      <formula>0.75</formula>
      <formula>0.875</formula>
    </cfRule>
    <cfRule type="cellIs" dxfId="66" priority="24"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8" tint="0.39997558519241921"/>
  </sheetPr>
  <dimension ref="A1:HL157"/>
  <sheetViews>
    <sheetView showGridLines="0" showRowColHeaders="0" zoomScale="90" zoomScaleNormal="90" zoomScalePageLayoutView="85" workbookViewId="0">
      <selection activeCell="BO65" sqref="BO65:BP68"/>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156</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156</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39"/>
      <c r="BN6" s="39"/>
      <c r="BO6" s="39"/>
      <c r="BP6" s="1378" t="s">
        <v>152</v>
      </c>
      <c r="BQ6" s="1379"/>
      <c r="BR6" s="1379"/>
      <c r="BS6" s="1379"/>
      <c r="BT6" s="1379"/>
      <c r="BU6" s="1379"/>
      <c r="BV6" s="1379"/>
      <c r="BW6" s="1379"/>
      <c r="BX6" s="1379"/>
      <c r="BY6" s="1728"/>
      <c r="BZ6" s="1753">
        <f>CH11/(CH11+CK11+CN11+CQ11)</f>
        <v>0</v>
      </c>
      <c r="CA6" s="1753"/>
      <c r="CB6" s="1753"/>
      <c r="CC6" s="1754"/>
      <c r="CD6" s="13"/>
      <c r="CE6" s="169"/>
      <c r="CF6" s="169"/>
      <c r="CG6" s="170"/>
      <c r="CH6" s="1051"/>
      <c r="CI6" s="1052"/>
      <c r="CJ6" s="1052"/>
      <c r="CK6" s="1052"/>
      <c r="CL6" s="1052"/>
      <c r="CM6" s="1052"/>
      <c r="CN6" s="1052"/>
      <c r="CO6" s="1052"/>
      <c r="CP6" s="1052"/>
      <c r="CQ6" s="1052"/>
      <c r="CR6" s="1052"/>
      <c r="CS6" s="1057"/>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39"/>
      <c r="BN7" s="39"/>
      <c r="BO7" s="39"/>
      <c r="BP7" s="1384"/>
      <c r="BQ7" s="1385"/>
      <c r="BR7" s="1385"/>
      <c r="BS7" s="1385"/>
      <c r="BT7" s="1385"/>
      <c r="BU7" s="1385"/>
      <c r="BV7" s="1385"/>
      <c r="BW7" s="1385"/>
      <c r="BX7" s="1385"/>
      <c r="BY7" s="1752"/>
      <c r="BZ7" s="1755"/>
      <c r="CA7" s="1755"/>
      <c r="CB7" s="1755"/>
      <c r="CC7" s="1756"/>
      <c r="CD7" s="174"/>
      <c r="CE7" s="174"/>
      <c r="CF7" s="174"/>
      <c r="CG7" s="174"/>
      <c r="CH7" s="1053"/>
      <c r="CI7" s="1054"/>
      <c r="CJ7" s="1054"/>
      <c r="CK7" s="1054"/>
      <c r="CL7" s="1054"/>
      <c r="CM7" s="1054"/>
      <c r="CN7" s="1054"/>
      <c r="CO7" s="1054"/>
      <c r="CP7" s="1054"/>
      <c r="CQ7" s="1054"/>
      <c r="CR7" s="1054"/>
      <c r="CS7" s="1058"/>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38"/>
      <c r="BN8" s="38"/>
      <c r="BO8" s="38"/>
      <c r="BP8" s="1702" t="s">
        <v>151</v>
      </c>
      <c r="BQ8" s="1703"/>
      <c r="BR8" s="1703"/>
      <c r="BS8" s="1703"/>
      <c r="BT8" s="1703"/>
      <c r="BU8" s="1703"/>
      <c r="BV8" s="1703"/>
      <c r="BW8" s="1703"/>
      <c r="BX8" s="1703"/>
      <c r="BY8" s="1703"/>
      <c r="BZ8" s="1748">
        <v>0.5</v>
      </c>
      <c r="CA8" s="1748"/>
      <c r="CB8" s="1748"/>
      <c r="CC8" s="1749"/>
      <c r="CD8" s="174"/>
      <c r="CE8" s="174"/>
      <c r="CF8" s="174"/>
      <c r="CG8" s="174"/>
      <c r="CH8" s="1053"/>
      <c r="CI8" s="1054"/>
      <c r="CJ8" s="1054"/>
      <c r="CK8" s="1054"/>
      <c r="CL8" s="1054"/>
      <c r="CM8" s="1054"/>
      <c r="CN8" s="1054"/>
      <c r="CO8" s="1054"/>
      <c r="CP8" s="1054"/>
      <c r="CQ8" s="1054"/>
      <c r="CR8" s="1054"/>
      <c r="CS8" s="1058"/>
      <c r="CT8" s="174"/>
      <c r="CU8" s="174"/>
      <c r="CV8" s="174"/>
      <c r="CW8" s="174"/>
      <c r="CX8" s="174"/>
      <c r="CY8" s="174"/>
      <c r="CZ8" s="174"/>
      <c r="DA8" s="174"/>
      <c r="DB8" s="174"/>
      <c r="DC8" s="174"/>
      <c r="DD8" s="174"/>
      <c r="DE8" s="174"/>
      <c r="DF8" s="174"/>
      <c r="DG8" s="174"/>
      <c r="DH8" s="174"/>
      <c r="DI8" s="1635">
        <f>DM29</f>
        <v>625</v>
      </c>
      <c r="DJ8" s="1635"/>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38"/>
      <c r="BN9" s="38"/>
      <c r="BO9" s="38"/>
      <c r="BP9" s="1384"/>
      <c r="BQ9" s="1385"/>
      <c r="BR9" s="1385"/>
      <c r="BS9" s="1385"/>
      <c r="BT9" s="1385"/>
      <c r="BU9" s="1385"/>
      <c r="BV9" s="1385"/>
      <c r="BW9" s="1385"/>
      <c r="BX9" s="1385"/>
      <c r="BY9" s="1385"/>
      <c r="BZ9" s="1786"/>
      <c r="CA9" s="1786"/>
      <c r="CB9" s="1786"/>
      <c r="CC9" s="1787"/>
      <c r="CD9" s="174"/>
      <c r="CE9" s="174"/>
      <c r="CF9" s="174"/>
      <c r="CG9" s="174"/>
      <c r="CH9" s="1053"/>
      <c r="CI9" s="1054"/>
      <c r="CJ9" s="1054"/>
      <c r="CK9" s="1054"/>
      <c r="CL9" s="1054"/>
      <c r="CM9" s="1054"/>
      <c r="CN9" s="1054"/>
      <c r="CO9" s="1054"/>
      <c r="CP9" s="1054"/>
      <c r="CQ9" s="1054"/>
      <c r="CR9" s="1054"/>
      <c r="CS9" s="1058"/>
      <c r="CT9" s="174"/>
      <c r="CU9" s="174"/>
      <c r="CV9" s="174"/>
      <c r="CW9" s="174"/>
      <c r="CX9" s="174"/>
      <c r="CY9" s="174"/>
      <c r="CZ9" s="174"/>
      <c r="DA9" s="174"/>
      <c r="DB9" s="174"/>
      <c r="DC9" s="174"/>
      <c r="DD9" s="174"/>
      <c r="DE9" s="174"/>
      <c r="DF9" s="174"/>
      <c r="DG9" s="174"/>
      <c r="DH9" s="174"/>
      <c r="DI9" s="1635"/>
      <c r="DJ9" s="1635"/>
      <c r="DK9" s="174"/>
      <c r="DL9" s="174"/>
      <c r="DM9" s="174"/>
      <c r="DN9" s="174"/>
      <c r="DO9" s="174"/>
      <c r="DP9" s="174"/>
      <c r="DQ9" s="174"/>
      <c r="DR9" s="174"/>
      <c r="DS9" s="177"/>
    </row>
    <row r="10" spans="2:123" ht="9.9499999999999993" customHeight="1" thickBo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474"/>
      <c r="AM10" s="1474"/>
      <c r="AN10" s="1474"/>
      <c r="AO10" s="1474"/>
      <c r="AP10" s="1474"/>
      <c r="AQ10" s="1474"/>
      <c r="AR10" s="1475"/>
      <c r="AS10" s="1459" t="s">
        <v>127</v>
      </c>
      <c r="AT10" s="1460"/>
      <c r="AU10" s="1460"/>
      <c r="AV10" s="1461"/>
      <c r="AW10" s="1471">
        <f>MAX(I21:L26)</f>
        <v>1.487993859806944</v>
      </c>
      <c r="AX10" s="1472"/>
      <c r="AY10" s="1472"/>
      <c r="AZ10" s="1473"/>
      <c r="BA10" s="1459" t="s">
        <v>149</v>
      </c>
      <c r="BB10" s="1460"/>
      <c r="BC10" s="1460"/>
      <c r="BD10" s="1461"/>
      <c r="BE10" s="1471">
        <f>MAX(AY21:BB26)</f>
        <v>2.9800791825822377</v>
      </c>
      <c r="BF10" s="1472"/>
      <c r="BG10" s="1472"/>
      <c r="BH10" s="1473"/>
      <c r="BI10" s="177"/>
      <c r="BK10" s="174"/>
      <c r="BL10" s="1"/>
      <c r="BM10" s="38"/>
      <c r="BN10" s="38"/>
      <c r="BO10" s="38"/>
      <c r="BP10" s="1702" t="s">
        <v>157</v>
      </c>
      <c r="BQ10" s="1703"/>
      <c r="BR10" s="1703"/>
      <c r="BS10" s="1703"/>
      <c r="BT10" s="1703"/>
      <c r="BU10" s="1703"/>
      <c r="BV10" s="1703"/>
      <c r="BW10" s="1703"/>
      <c r="BX10" s="1703"/>
      <c r="BY10" s="1703"/>
      <c r="BZ10" s="1786">
        <v>0.5</v>
      </c>
      <c r="CA10" s="1786"/>
      <c r="CB10" s="1786"/>
      <c r="CC10" s="1787"/>
      <c r="CD10" s="174"/>
      <c r="CE10" s="174"/>
      <c r="CF10" s="174"/>
      <c r="CG10" s="174"/>
      <c r="CH10" s="1366" t="s">
        <v>99</v>
      </c>
      <c r="CI10" s="1367"/>
      <c r="CJ10" s="1367"/>
      <c r="CK10" s="1367" t="s">
        <v>99</v>
      </c>
      <c r="CL10" s="1367"/>
      <c r="CM10" s="1367"/>
      <c r="CN10" s="1367" t="s">
        <v>99</v>
      </c>
      <c r="CO10" s="1367"/>
      <c r="CP10" s="1367"/>
      <c r="CQ10" s="1367" t="s">
        <v>99</v>
      </c>
      <c r="CR10" s="1367"/>
      <c r="CS10" s="1368"/>
      <c r="CT10" s="174"/>
      <c r="CU10" s="174"/>
      <c r="CV10" s="174"/>
      <c r="CW10" s="174"/>
      <c r="CX10" s="174"/>
      <c r="CY10" s="1650">
        <f>EXP(7.0754-1.1864*CY34/1000-1.0813*DA34/1000-0.9479*DC34/1000)</f>
        <v>118.69284241403476</v>
      </c>
      <c r="CZ10" s="1651"/>
      <c r="DA10" s="1651">
        <f>EXP(7.0754-0.6758*CY34/1000-1.1556*DA34/1000-0.9049*DC34/1000)</f>
        <v>141.6210743017246</v>
      </c>
      <c r="DB10" s="1651"/>
      <c r="DC10" s="1651">
        <f>EXP(7.0754-0.5569*CY34/1000-0.9044*DA34/1000-1.0258*DC34/1000+0.2795*DQ11)</f>
        <v>209.72597092485231</v>
      </c>
      <c r="DD10" s="1651"/>
      <c r="DE10" s="1593" t="s">
        <v>150</v>
      </c>
      <c r="DF10" s="174"/>
      <c r="DG10" s="174"/>
      <c r="DH10" s="174"/>
      <c r="DI10" s="1635"/>
      <c r="DJ10" s="1635"/>
      <c r="DK10" s="174"/>
      <c r="DL10" s="174"/>
      <c r="DM10" s="174"/>
      <c r="DN10" s="174"/>
      <c r="DO10" s="174"/>
      <c r="DP10" s="174"/>
      <c r="DQ10" s="174"/>
      <c r="DR10" s="174"/>
      <c r="DS10" s="177"/>
    </row>
    <row r="11" spans="2:123" ht="9.9499999999999993" customHeight="1" thickBo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476"/>
      <c r="AL11" s="1477"/>
      <c r="AM11" s="1477"/>
      <c r="AN11" s="1477"/>
      <c r="AO11" s="1477"/>
      <c r="AP11" s="1477"/>
      <c r="AQ11" s="1477"/>
      <c r="AR11" s="1478"/>
      <c r="AS11" s="1462"/>
      <c r="AT11" s="1463"/>
      <c r="AU11" s="1463"/>
      <c r="AV11" s="1464"/>
      <c r="AW11" s="1468"/>
      <c r="AX11" s="1469"/>
      <c r="AY11" s="1469"/>
      <c r="AZ11" s="1470"/>
      <c r="BA11" s="1462"/>
      <c r="BB11" s="1463"/>
      <c r="BC11" s="1463"/>
      <c r="BD11" s="1464"/>
      <c r="BE11" s="1468"/>
      <c r="BF11" s="1469"/>
      <c r="BG11" s="1469"/>
      <c r="BH11" s="1470"/>
      <c r="BI11" s="177"/>
      <c r="BK11" s="174"/>
      <c r="BL11" s="1"/>
      <c r="BM11" s="38"/>
      <c r="BN11" s="38"/>
      <c r="BO11" s="38"/>
      <c r="BP11" s="1705"/>
      <c r="BQ11" s="1706"/>
      <c r="BR11" s="1706"/>
      <c r="BS11" s="1706"/>
      <c r="BT11" s="1706"/>
      <c r="BU11" s="1706"/>
      <c r="BV11" s="1706"/>
      <c r="BW11" s="1706"/>
      <c r="BX11" s="1706"/>
      <c r="BY11" s="1706"/>
      <c r="BZ11" s="1750"/>
      <c r="CA11" s="1750"/>
      <c r="CB11" s="1750"/>
      <c r="CC11" s="1751"/>
      <c r="CD11" s="174"/>
      <c r="CE11" s="174"/>
      <c r="CF11" s="174"/>
      <c r="CG11" s="174"/>
      <c r="CH11" s="1444">
        <f>SBR_Master</f>
        <v>0</v>
      </c>
      <c r="CI11" s="1445"/>
      <c r="CJ11" s="1445"/>
      <c r="CK11" s="1445">
        <f>SBT_Master</f>
        <v>1447</v>
      </c>
      <c r="CL11" s="1445"/>
      <c r="CM11" s="1445"/>
      <c r="CN11" s="1445">
        <f>SBL_Master</f>
        <v>607</v>
      </c>
      <c r="CO11" s="1445"/>
      <c r="CP11" s="1445"/>
      <c r="CQ11" s="1445">
        <f>SBU_Master</f>
        <v>0</v>
      </c>
      <c r="CR11" s="1445"/>
      <c r="CS11" s="1446"/>
      <c r="CT11" s="174"/>
      <c r="CU11" s="174"/>
      <c r="CV11" s="174"/>
      <c r="CW11" s="174"/>
      <c r="CX11" s="174"/>
      <c r="CY11" s="1652"/>
      <c r="CZ11" s="1653"/>
      <c r="DA11" s="1653"/>
      <c r="DB11" s="1653"/>
      <c r="DC11" s="1653"/>
      <c r="DD11" s="1653"/>
      <c r="DE11" s="1594"/>
      <c r="DF11" s="174"/>
      <c r="DG11" s="1635">
        <f>DM32*(1-DM11)</f>
        <v>0</v>
      </c>
      <c r="DH11" s="1635"/>
      <c r="DI11" s="1575"/>
      <c r="DJ11" s="1541"/>
      <c r="DK11" s="870"/>
      <c r="DL11" s="1078"/>
      <c r="DM11" s="1627">
        <v>0.5</v>
      </c>
      <c r="DN11" s="1831"/>
      <c r="DO11" s="1831">
        <v>0.5</v>
      </c>
      <c r="DP11" s="1628"/>
      <c r="DQ11" s="1631">
        <f>DM29/(DM29+DM32+DM35+DM38)</f>
        <v>0.51525144270403955</v>
      </c>
      <c r="DR11" s="1632"/>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476"/>
      <c r="AL12" s="1477"/>
      <c r="AM12" s="1477"/>
      <c r="AN12" s="1477"/>
      <c r="AO12" s="1477"/>
      <c r="AP12" s="1477"/>
      <c r="AQ12" s="1477"/>
      <c r="AR12" s="1478"/>
      <c r="AS12" s="1459" t="s">
        <v>128</v>
      </c>
      <c r="AT12" s="1460"/>
      <c r="AU12" s="1460"/>
      <c r="AV12" s="1461"/>
      <c r="AW12" s="1465">
        <f>MAX(I63:L68)</f>
        <v>6.4037256506859963</v>
      </c>
      <c r="AX12" s="1466"/>
      <c r="AY12" s="1466"/>
      <c r="AZ12" s="1467"/>
      <c r="BA12" s="1459" t="s">
        <v>130</v>
      </c>
      <c r="BB12" s="1460"/>
      <c r="BC12" s="1460"/>
      <c r="BD12" s="1461"/>
      <c r="BE12" s="1471">
        <f>MAX(AY63:BB68)</f>
        <v>3.7800609041482289</v>
      </c>
      <c r="BF12" s="1472"/>
      <c r="BG12" s="1472"/>
      <c r="BH12" s="1473"/>
      <c r="BI12" s="177"/>
      <c r="BK12" s="174"/>
      <c r="BL12" s="1"/>
      <c r="BM12" s="174"/>
      <c r="BN12" s="174"/>
      <c r="BO12" s="174"/>
      <c r="BP12" s="1115"/>
      <c r="BQ12" s="1115"/>
      <c r="BR12" s="1115"/>
      <c r="BS12" s="174"/>
      <c r="BT12" s="1115"/>
      <c r="BU12" s="1115"/>
      <c r="BV12" s="1115"/>
      <c r="BW12" s="174"/>
      <c r="BX12" s="174"/>
      <c r="BY12" s="174"/>
      <c r="BZ12" s="174"/>
      <c r="CA12" s="1115"/>
      <c r="CB12" s="1115"/>
      <c r="CC12" s="1115"/>
      <c r="CD12" s="1775">
        <f>CQ11</f>
        <v>0</v>
      </c>
      <c r="CE12" s="1743"/>
      <c r="CF12" s="1743"/>
      <c r="CG12" s="174"/>
      <c r="CH12" s="174"/>
      <c r="CI12" s="174"/>
      <c r="CJ12" s="174"/>
      <c r="CK12" s="174"/>
      <c r="CL12" s="174"/>
      <c r="CM12" s="174"/>
      <c r="CN12" s="174"/>
      <c r="CO12" s="174"/>
      <c r="CP12" s="174"/>
      <c r="CQ12" s="174"/>
      <c r="CR12" s="174"/>
      <c r="CS12" s="174"/>
      <c r="CT12" s="174"/>
      <c r="CU12" s="174"/>
      <c r="CV12" s="174"/>
      <c r="CW12" s="174"/>
      <c r="CX12" s="174"/>
      <c r="CY12" s="1652"/>
      <c r="CZ12" s="1653"/>
      <c r="DA12" s="1653"/>
      <c r="DB12" s="1653"/>
      <c r="DC12" s="1653"/>
      <c r="DD12" s="1653"/>
      <c r="DE12" s="1594"/>
      <c r="DF12" s="174"/>
      <c r="DG12" s="1635"/>
      <c r="DH12" s="1635"/>
      <c r="DI12" s="1077"/>
      <c r="DJ12" s="870"/>
      <c r="DK12" s="870"/>
      <c r="DL12" s="1078"/>
      <c r="DM12" s="1629"/>
      <c r="DN12" s="1832"/>
      <c r="DO12" s="1832"/>
      <c r="DP12" s="1630"/>
      <c r="DQ12" s="1633"/>
      <c r="DR12" s="163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476"/>
      <c r="AL13" s="1477"/>
      <c r="AM13" s="1477"/>
      <c r="AN13" s="1477"/>
      <c r="AO13" s="1477"/>
      <c r="AP13" s="1477"/>
      <c r="AQ13" s="1477"/>
      <c r="AR13" s="1478"/>
      <c r="AS13" s="1462"/>
      <c r="AT13" s="1463"/>
      <c r="AU13" s="1463"/>
      <c r="AV13" s="1464"/>
      <c r="AW13" s="1468"/>
      <c r="AX13" s="1469"/>
      <c r="AY13" s="1469"/>
      <c r="AZ13" s="1470"/>
      <c r="BA13" s="1462"/>
      <c r="BB13" s="1463"/>
      <c r="BC13" s="1463"/>
      <c r="BD13" s="1464"/>
      <c r="BE13" s="1468"/>
      <c r="BF13" s="1469"/>
      <c r="BG13" s="1469"/>
      <c r="BH13" s="1470"/>
      <c r="BI13" s="177"/>
      <c r="BK13" s="174"/>
      <c r="BL13" s="17"/>
      <c r="BM13" s="1743">
        <f>CH11</f>
        <v>0</v>
      </c>
      <c r="BN13" s="1743"/>
      <c r="BO13" s="1747"/>
      <c r="BP13" s="1054"/>
      <c r="BQ13" s="1054"/>
      <c r="BR13" s="1054"/>
      <c r="BS13" s="174"/>
      <c r="BT13" s="1054"/>
      <c r="BU13" s="1054"/>
      <c r="BV13" s="1054"/>
      <c r="BW13" s="1743">
        <f>CN11*(1-BZ10)</f>
        <v>303.5</v>
      </c>
      <c r="BX13" s="1743"/>
      <c r="BY13" s="1743"/>
      <c r="BZ13" s="174"/>
      <c r="CA13" s="1054"/>
      <c r="CB13" s="1054"/>
      <c r="CC13" s="1054"/>
      <c r="CD13" s="1775"/>
      <c r="CE13" s="1743"/>
      <c r="CF13" s="1743"/>
      <c r="CG13" s="174"/>
      <c r="CH13" s="174"/>
      <c r="CI13" s="174"/>
      <c r="CJ13" s="174"/>
      <c r="CK13" s="174"/>
      <c r="CL13" s="174"/>
      <c r="CM13" s="174"/>
      <c r="CN13" s="174"/>
      <c r="CO13" s="174"/>
      <c r="CP13" s="174"/>
      <c r="CQ13" s="174"/>
      <c r="CR13" s="174"/>
      <c r="CS13" s="174"/>
      <c r="CT13" s="174"/>
      <c r="CU13" s="174"/>
      <c r="CV13" s="174"/>
      <c r="CW13" s="174"/>
      <c r="CX13" s="174"/>
      <c r="CY13" s="1652"/>
      <c r="CZ13" s="1653"/>
      <c r="DA13" s="1653"/>
      <c r="DB13" s="1653"/>
      <c r="DC13" s="1653"/>
      <c r="DD13" s="1653"/>
      <c r="DE13" s="1594"/>
      <c r="DF13" s="174"/>
      <c r="DG13" s="1635"/>
      <c r="DH13" s="1635"/>
      <c r="DI13" s="1077"/>
      <c r="DJ13" s="870"/>
      <c r="DK13" s="870"/>
      <c r="DL13" s="1078"/>
      <c r="DM13" s="1629"/>
      <c r="DN13" s="1832"/>
      <c r="DO13" s="1832"/>
      <c r="DP13" s="1630"/>
      <c r="DQ13" s="1633"/>
      <c r="DR13" s="163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7"/>
      <c r="BM14" s="1743"/>
      <c r="BN14" s="1743"/>
      <c r="BO14" s="1747"/>
      <c r="BP14" s="1054"/>
      <c r="BQ14" s="1054"/>
      <c r="BR14" s="1054"/>
      <c r="BS14" s="174"/>
      <c r="BT14" s="1054"/>
      <c r="BU14" s="1054"/>
      <c r="BV14" s="1054"/>
      <c r="BW14" s="1743"/>
      <c r="BX14" s="1743"/>
      <c r="BY14" s="1743"/>
      <c r="BZ14" s="174"/>
      <c r="CA14" s="1054"/>
      <c r="CB14" s="1054"/>
      <c r="CC14" s="105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638">
        <v>1</v>
      </c>
      <c r="CZ14" s="1639"/>
      <c r="DA14" s="1644">
        <v>2</v>
      </c>
      <c r="DB14" s="1639"/>
      <c r="DC14" s="1644">
        <v>3</v>
      </c>
      <c r="DD14" s="1639"/>
      <c r="DE14" s="1594"/>
      <c r="DF14" s="174"/>
      <c r="DG14" s="174"/>
      <c r="DH14" s="174"/>
      <c r="DI14" s="174"/>
      <c r="DJ14" s="174"/>
      <c r="DK14" s="174"/>
      <c r="DL14" s="174"/>
      <c r="DM14" s="1629"/>
      <c r="DN14" s="1832"/>
      <c r="DO14" s="1832"/>
      <c r="DP14" s="1630"/>
      <c r="DQ14" s="1633"/>
      <c r="DR14" s="163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7"/>
      <c r="BM15" s="174"/>
      <c r="BN15" s="174"/>
      <c r="BO15" s="174"/>
      <c r="BP15" s="1054"/>
      <c r="BQ15" s="1054"/>
      <c r="BR15" s="1054"/>
      <c r="BS15" s="174"/>
      <c r="BT15" s="1054"/>
      <c r="BU15" s="1054"/>
      <c r="BV15" s="1054"/>
      <c r="BW15" s="174"/>
      <c r="BX15" s="174"/>
      <c r="BY15" s="174"/>
      <c r="BZ15" s="174"/>
      <c r="CA15" s="1054"/>
      <c r="CB15" s="1054"/>
      <c r="CC15" s="1054"/>
      <c r="CD15" s="1775">
        <f>CN11*BZ10</f>
        <v>303.5</v>
      </c>
      <c r="CE15" s="1743"/>
      <c r="CF15" s="1743"/>
      <c r="CG15" s="174"/>
      <c r="CH15" s="174"/>
      <c r="CI15" s="174"/>
      <c r="CJ15" s="174"/>
      <c r="CK15" s="174"/>
      <c r="CL15" s="174"/>
      <c r="CM15" s="174"/>
      <c r="CN15" s="174"/>
      <c r="CO15" s="174"/>
      <c r="CP15" s="174"/>
      <c r="CQ15" s="174"/>
      <c r="CR15" s="174"/>
      <c r="CS15" s="174"/>
      <c r="CT15" s="174"/>
      <c r="CU15" s="174"/>
      <c r="CV15" s="174"/>
      <c r="CW15" s="174"/>
      <c r="CX15" s="174"/>
      <c r="CY15" s="1640"/>
      <c r="CZ15" s="1641"/>
      <c r="DA15" s="1645"/>
      <c r="DB15" s="1641"/>
      <c r="DC15" s="1645"/>
      <c r="DD15" s="1641"/>
      <c r="DE15" s="1594"/>
      <c r="DF15" s="174"/>
      <c r="DG15" s="1635">
        <f>DM32*DM11</f>
        <v>0</v>
      </c>
      <c r="DH15" s="1635"/>
      <c r="DI15" s="1077"/>
      <c r="DJ15" s="870"/>
      <c r="DK15" s="870"/>
      <c r="DL15" s="1078"/>
      <c r="DM15" s="1603" t="s">
        <v>151</v>
      </c>
      <c r="DN15" s="1604"/>
      <c r="DO15" s="1604" t="s">
        <v>157</v>
      </c>
      <c r="DP15" s="1604"/>
      <c r="DQ15" s="1604" t="s">
        <v>152</v>
      </c>
      <c r="DR15" s="1636"/>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74"/>
      <c r="BI16" s="177"/>
      <c r="BK16" s="174"/>
      <c r="BL16" s="17"/>
      <c r="BM16" s="174"/>
      <c r="BN16" s="174"/>
      <c r="BO16" s="174"/>
      <c r="BP16" s="1743">
        <f>CK11*(1-BZ8)</f>
        <v>723.5</v>
      </c>
      <c r="BQ16" s="1743"/>
      <c r="BR16" s="1743"/>
      <c r="BS16" s="174"/>
      <c r="BT16" s="1743">
        <f>CK11*BZ8</f>
        <v>723.5</v>
      </c>
      <c r="BU16" s="1743"/>
      <c r="BV16" s="1743"/>
      <c r="BW16" s="174"/>
      <c r="BX16" s="174"/>
      <c r="BY16" s="174"/>
      <c r="BZ16" s="174"/>
      <c r="CA16" s="174"/>
      <c r="CB16" s="174"/>
      <c r="CC16" s="174"/>
      <c r="CD16" s="1743"/>
      <c r="CE16" s="1743"/>
      <c r="CF16" s="1743"/>
      <c r="CG16" s="174"/>
      <c r="CH16" s="174"/>
      <c r="CI16" s="174"/>
      <c r="CJ16" s="174"/>
      <c r="CK16" s="174"/>
      <c r="CL16" s="174"/>
      <c r="CM16" s="174"/>
      <c r="CN16" s="174"/>
      <c r="CO16" s="174"/>
      <c r="CP16" s="174"/>
      <c r="CQ16" s="174"/>
      <c r="CR16" s="174"/>
      <c r="CS16" s="174"/>
      <c r="CT16" s="174"/>
      <c r="CU16" s="174"/>
      <c r="CV16" s="174"/>
      <c r="CW16" s="174"/>
      <c r="CX16" s="174"/>
      <c r="CY16" s="1640"/>
      <c r="CZ16" s="1641"/>
      <c r="DA16" s="1645"/>
      <c r="DB16" s="1641"/>
      <c r="DC16" s="1645"/>
      <c r="DD16" s="1641"/>
      <c r="DE16" s="1594"/>
      <c r="DF16" s="174"/>
      <c r="DG16" s="1635"/>
      <c r="DH16" s="1635"/>
      <c r="DI16" s="1077"/>
      <c r="DJ16" s="870"/>
      <c r="DK16" s="870"/>
      <c r="DL16" s="1078"/>
      <c r="DM16" s="1603"/>
      <c r="DN16" s="1604"/>
      <c r="DO16" s="1604"/>
      <c r="DP16" s="1604"/>
      <c r="DQ16" s="1604"/>
      <c r="DR16" s="1636"/>
      <c r="DS16" s="177"/>
    </row>
    <row r="17" spans="2:123" ht="9.9499999999999993" customHeight="1" thickBot="1">
      <c r="B17" s="1"/>
      <c r="C17" s="174"/>
      <c r="D17" s="174"/>
      <c r="E17" s="34"/>
      <c r="F17" s="34"/>
      <c r="G17" s="3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74"/>
      <c r="BH17" s="174"/>
      <c r="BI17" s="177"/>
      <c r="BK17" s="174"/>
      <c r="BL17" s="17"/>
      <c r="BM17" s="174"/>
      <c r="BN17" s="174"/>
      <c r="BO17" s="174"/>
      <c r="BP17" s="1743"/>
      <c r="BQ17" s="1743"/>
      <c r="BR17" s="1743"/>
      <c r="BS17" s="174"/>
      <c r="BT17" s="1743"/>
      <c r="BU17" s="1743"/>
      <c r="BV17" s="1743"/>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640"/>
      <c r="CZ17" s="1641"/>
      <c r="DA17" s="1645"/>
      <c r="DB17" s="1641"/>
      <c r="DC17" s="1645"/>
      <c r="DD17" s="1641"/>
      <c r="DE17" s="1594"/>
      <c r="DF17" s="174"/>
      <c r="DG17" s="1635"/>
      <c r="DH17" s="1635"/>
      <c r="DI17" s="1495"/>
      <c r="DJ17" s="1602"/>
      <c r="DK17" s="870"/>
      <c r="DL17" s="1078"/>
      <c r="DM17" s="1603"/>
      <c r="DN17" s="1604"/>
      <c r="DO17" s="1604"/>
      <c r="DP17" s="1604"/>
      <c r="DQ17" s="1604"/>
      <c r="DR17" s="1636"/>
      <c r="DS17" s="177"/>
    </row>
    <row r="18" spans="2:123" ht="9.9499999999999993" customHeight="1" thickBot="1">
      <c r="B18" s="1"/>
      <c r="C18" s="174"/>
      <c r="D18" s="174"/>
      <c r="E18" s="1654" t="s">
        <v>153</v>
      </c>
      <c r="F18" s="1655"/>
      <c r="G18" s="1655"/>
      <c r="H18" s="1655"/>
      <c r="I18" s="1655"/>
      <c r="J18" s="1655"/>
      <c r="K18" s="1655"/>
      <c r="L18" s="1655"/>
      <c r="M18" s="1655"/>
      <c r="N18" s="1655"/>
      <c r="O18" s="1655"/>
      <c r="P18" s="1656"/>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74"/>
      <c r="AT18" s="174"/>
      <c r="AU18" s="1654" t="s">
        <v>153</v>
      </c>
      <c r="AV18" s="1655"/>
      <c r="AW18" s="1655"/>
      <c r="AX18" s="1655"/>
      <c r="AY18" s="1655"/>
      <c r="AZ18" s="1655"/>
      <c r="BA18" s="1655"/>
      <c r="BB18" s="1655"/>
      <c r="BC18" s="1655"/>
      <c r="BD18" s="1655"/>
      <c r="BE18" s="1655"/>
      <c r="BF18" s="1656"/>
      <c r="BG18" s="174"/>
      <c r="BH18" s="174"/>
      <c r="BI18" s="177"/>
      <c r="BK18" s="174"/>
      <c r="BL18" s="17"/>
      <c r="BM18" s="36"/>
      <c r="BN18" s="174"/>
      <c r="BO18" s="174"/>
      <c r="BP18" s="174"/>
      <c r="BQ18" s="174"/>
      <c r="BR18" s="174"/>
      <c r="BS18" s="174"/>
      <c r="BT18" s="174"/>
      <c r="BU18" s="174"/>
      <c r="BV18" s="174"/>
      <c r="BW18" s="174"/>
      <c r="BX18" s="174"/>
      <c r="BY18" s="174"/>
      <c r="BZ18" s="174"/>
      <c r="CA18" s="174"/>
      <c r="CB18" s="174"/>
      <c r="CC18" s="35"/>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642"/>
      <c r="CZ18" s="1643"/>
      <c r="DA18" s="1646"/>
      <c r="DB18" s="1643"/>
      <c r="DC18" s="1646"/>
      <c r="DD18" s="1643"/>
      <c r="DE18" s="1595"/>
      <c r="DF18" s="174"/>
      <c r="DG18" s="174"/>
      <c r="DH18" s="40"/>
      <c r="DI18" s="1635">
        <f>DM35*(1-DO11)</f>
        <v>294</v>
      </c>
      <c r="DJ18" s="1635"/>
      <c r="DK18" s="174"/>
      <c r="DL18" s="174"/>
      <c r="DM18" s="1603"/>
      <c r="DN18" s="1604"/>
      <c r="DO18" s="1604"/>
      <c r="DP18" s="1604"/>
      <c r="DQ18" s="1604"/>
      <c r="DR18" s="1636"/>
      <c r="DS18" s="177"/>
    </row>
    <row r="19" spans="2:123" ht="9.9499999999999993" customHeight="1" thickBot="1">
      <c r="B19" s="1"/>
      <c r="C19" s="174"/>
      <c r="D19" s="174"/>
      <c r="E19" s="1657"/>
      <c r="F19" s="1658"/>
      <c r="G19" s="1658"/>
      <c r="H19" s="1658"/>
      <c r="I19" s="1658"/>
      <c r="J19" s="1658"/>
      <c r="K19" s="1658"/>
      <c r="L19" s="1658"/>
      <c r="M19" s="1658"/>
      <c r="N19" s="1658"/>
      <c r="O19" s="1658"/>
      <c r="P19" s="1659"/>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4"/>
      <c r="AQ19" s="14"/>
      <c r="AR19" s="14"/>
      <c r="AS19" s="174"/>
      <c r="AT19" s="174"/>
      <c r="AU19" s="1657"/>
      <c r="AV19" s="1658"/>
      <c r="AW19" s="1658"/>
      <c r="AX19" s="1658"/>
      <c r="AY19" s="1658"/>
      <c r="AZ19" s="1658"/>
      <c r="BA19" s="1658"/>
      <c r="BB19" s="1658"/>
      <c r="BC19" s="1658"/>
      <c r="BD19" s="1658"/>
      <c r="BE19" s="1658"/>
      <c r="BF19" s="1659"/>
      <c r="BG19" s="174"/>
      <c r="BH19" s="174"/>
      <c r="BI19" s="177"/>
      <c r="BK19" s="174"/>
      <c r="BL19" s="17"/>
      <c r="BM19" s="9"/>
      <c r="BN19" s="9"/>
      <c r="BO19" s="35"/>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42"/>
      <c r="DF19" s="174"/>
      <c r="DG19" s="174"/>
      <c r="DH19" s="174"/>
      <c r="DI19" s="1635"/>
      <c r="DJ19" s="1635"/>
      <c r="DK19" s="174"/>
      <c r="DL19" s="174"/>
      <c r="DM19" s="1603"/>
      <c r="DN19" s="1604"/>
      <c r="DO19" s="1604"/>
      <c r="DP19" s="1604"/>
      <c r="DQ19" s="1604"/>
      <c r="DR19" s="1636"/>
      <c r="DS19" s="177"/>
    </row>
    <row r="20" spans="2:123" ht="9.9499999999999993" customHeight="1" thickBot="1">
      <c r="B20" s="1"/>
      <c r="C20" s="174"/>
      <c r="D20" s="174"/>
      <c r="E20" s="1660"/>
      <c r="F20" s="1661"/>
      <c r="G20" s="1661"/>
      <c r="H20" s="1661"/>
      <c r="I20" s="1661"/>
      <c r="J20" s="1661"/>
      <c r="K20" s="1661"/>
      <c r="L20" s="1661"/>
      <c r="M20" s="1661"/>
      <c r="N20" s="1661"/>
      <c r="O20" s="1661"/>
      <c r="P20" s="1662"/>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4"/>
      <c r="AQ20" s="14"/>
      <c r="AR20" s="14"/>
      <c r="AS20" s="174"/>
      <c r="AT20" s="174"/>
      <c r="AU20" s="1660"/>
      <c r="AV20" s="1661"/>
      <c r="AW20" s="1661"/>
      <c r="AX20" s="1661"/>
      <c r="AY20" s="1661"/>
      <c r="AZ20" s="1661"/>
      <c r="BA20" s="1661"/>
      <c r="BB20" s="1661"/>
      <c r="BC20" s="1661"/>
      <c r="BD20" s="1661"/>
      <c r="BE20" s="1661"/>
      <c r="BF20" s="1662"/>
      <c r="BG20" s="174"/>
      <c r="BH20" s="174"/>
      <c r="BI20" s="177"/>
      <c r="BK20" s="174"/>
      <c r="BL20" s="17"/>
      <c r="BM20" s="6"/>
      <c r="BN20" s="1647" t="s">
        <v>150</v>
      </c>
      <c r="BO20" s="1648"/>
      <c r="BP20" s="1648"/>
      <c r="BQ20" s="1648"/>
      <c r="BR20" s="1648"/>
      <c r="BS20" s="1648"/>
      <c r="BT20" s="1648"/>
      <c r="BU20" s="1649"/>
      <c r="BV20" s="170"/>
      <c r="BW20" s="1051"/>
      <c r="BX20" s="1052"/>
      <c r="BY20" s="1057"/>
      <c r="BZ20" s="1051"/>
      <c r="CA20" s="1052"/>
      <c r="CB20" s="1057"/>
      <c r="CC20" s="1051"/>
      <c r="CD20" s="1052"/>
      <c r="CE20" s="1057"/>
      <c r="CF20" s="13"/>
      <c r="CG20" s="1647" t="s">
        <v>136</v>
      </c>
      <c r="CH20" s="1648"/>
      <c r="CI20" s="1648"/>
      <c r="CJ20" s="1648"/>
      <c r="CK20" s="1648"/>
      <c r="CL20" s="1648"/>
      <c r="CM20" s="1648"/>
      <c r="CN20" s="1649"/>
      <c r="CO20" s="174"/>
      <c r="CP20" s="174"/>
      <c r="CQ20" s="1608">
        <v>3</v>
      </c>
      <c r="CR20" s="1766"/>
      <c r="CS20" s="1780">
        <f>CZ20/DC10</f>
        <v>2.9800791825822377</v>
      </c>
      <c r="CT20" s="1781"/>
      <c r="CU20" s="1357" t="s">
        <v>135</v>
      </c>
      <c r="CV20" s="1357"/>
      <c r="CW20" s="1357"/>
      <c r="CX20" s="1357"/>
      <c r="CY20" s="1425"/>
      <c r="CZ20" s="1614">
        <f>DG11+DI8</f>
        <v>625</v>
      </c>
      <c r="DA20" s="1432" t="s">
        <v>99</v>
      </c>
      <c r="DB20" s="1075"/>
      <c r="DC20" s="1075"/>
      <c r="DD20" s="1075"/>
      <c r="DE20" s="1076"/>
      <c r="DF20" s="174"/>
      <c r="DG20" s="174"/>
      <c r="DH20" s="174"/>
      <c r="DI20" s="1635"/>
      <c r="DJ20" s="1635"/>
      <c r="DK20" s="174"/>
      <c r="DL20" s="174"/>
      <c r="DM20" s="1603"/>
      <c r="DN20" s="1604"/>
      <c r="DO20" s="1604"/>
      <c r="DP20" s="1604"/>
      <c r="DQ20" s="1604"/>
      <c r="DR20" s="1636"/>
      <c r="DS20" s="177"/>
    </row>
    <row r="21" spans="2:123" ht="9.9499999999999993" customHeight="1" thickBot="1">
      <c r="B21" s="1"/>
      <c r="C21" s="174"/>
      <c r="D21" s="174"/>
      <c r="E21" s="1813" t="s">
        <v>74</v>
      </c>
      <c r="F21" s="1814"/>
      <c r="G21" s="1814"/>
      <c r="H21" s="1815"/>
      <c r="I21" s="1773">
        <f>CC31</f>
        <v>0.49991630253579628</v>
      </c>
      <c r="J21" s="1664"/>
      <c r="K21" s="1664"/>
      <c r="L21" s="1664"/>
      <c r="M21" s="1665" t="s">
        <v>55</v>
      </c>
      <c r="N21" s="1665"/>
      <c r="O21" s="1665"/>
      <c r="P21" s="1666"/>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4"/>
      <c r="AQ21" s="14"/>
      <c r="AR21" s="14"/>
      <c r="AS21" s="174"/>
      <c r="AT21" s="174"/>
      <c r="AU21" s="1813" t="s">
        <v>74</v>
      </c>
      <c r="AV21" s="1814"/>
      <c r="AW21" s="1814"/>
      <c r="AX21" s="1815"/>
      <c r="AY21" s="1773">
        <f>CS26</f>
        <v>2.4769817119590369</v>
      </c>
      <c r="AZ21" s="1664"/>
      <c r="BA21" s="1664"/>
      <c r="BB21" s="1664"/>
      <c r="BC21" s="1665" t="s">
        <v>55</v>
      </c>
      <c r="BD21" s="1665"/>
      <c r="BE21" s="1665"/>
      <c r="BF21" s="1666"/>
      <c r="BG21" s="174"/>
      <c r="BH21" s="174"/>
      <c r="BI21" s="177"/>
      <c r="BK21" s="174"/>
      <c r="BL21" s="17"/>
      <c r="BM21" s="6"/>
      <c r="BN21" s="815">
        <v>1</v>
      </c>
      <c r="BO21" s="816"/>
      <c r="BP21" s="816"/>
      <c r="BQ21" s="1495"/>
      <c r="BR21" s="1350">
        <f>EXP(7.0754-1.1864*CG25/1000-1.0813*CG23/1000-0.9479*CG21/1000)</f>
        <v>607.10162573317564</v>
      </c>
      <c r="BS21" s="1350"/>
      <c r="BT21" s="1350"/>
      <c r="BU21" s="1584"/>
      <c r="BV21" s="174"/>
      <c r="BW21" s="1053"/>
      <c r="BX21" s="1054"/>
      <c r="BY21" s="1058"/>
      <c r="BZ21" s="1053"/>
      <c r="CA21" s="1054"/>
      <c r="CB21" s="1058"/>
      <c r="CC21" s="1053"/>
      <c r="CD21" s="1054"/>
      <c r="CE21" s="1058"/>
      <c r="CF21" s="174"/>
      <c r="CG21" s="815">
        <f>ROUND(DG11,0)</f>
        <v>0</v>
      </c>
      <c r="CH21" s="816"/>
      <c r="CI21" s="816"/>
      <c r="CJ21" s="1495"/>
      <c r="CK21" s="238"/>
      <c r="CL21" s="238"/>
      <c r="CM21" s="238"/>
      <c r="CN21" s="315"/>
      <c r="CO21" s="174"/>
      <c r="CP21" s="174"/>
      <c r="CQ21" s="1610"/>
      <c r="CR21" s="1767"/>
      <c r="CS21" s="1782"/>
      <c r="CT21" s="1783"/>
      <c r="CU21" s="1357"/>
      <c r="CV21" s="1357"/>
      <c r="CW21" s="1357"/>
      <c r="CX21" s="1357"/>
      <c r="CY21" s="1425"/>
      <c r="CZ21" s="1615"/>
      <c r="DA21" s="1433"/>
      <c r="DB21" s="870"/>
      <c r="DC21" s="870"/>
      <c r="DD21" s="870"/>
      <c r="DE21" s="871"/>
      <c r="DF21" s="174"/>
      <c r="DG21" s="174"/>
      <c r="DH21" s="174"/>
      <c r="DI21" s="174"/>
      <c r="DJ21" s="174"/>
      <c r="DK21" s="174"/>
      <c r="DL21" s="174"/>
      <c r="DM21" s="1603"/>
      <c r="DN21" s="1604"/>
      <c r="DO21" s="1604"/>
      <c r="DP21" s="1604"/>
      <c r="DQ21" s="1604"/>
      <c r="DR21" s="1636"/>
      <c r="DS21" s="177"/>
    </row>
    <row r="22" spans="2:123" ht="9.9499999999999993" customHeight="1" thickBot="1">
      <c r="B22" s="1"/>
      <c r="C22" s="174"/>
      <c r="D22" s="174"/>
      <c r="E22" s="1809"/>
      <c r="F22" s="1457"/>
      <c r="G22" s="1457"/>
      <c r="H22" s="1458"/>
      <c r="I22" s="1774"/>
      <c r="J22" s="1448"/>
      <c r="K22" s="1448"/>
      <c r="L22" s="1448"/>
      <c r="M22" s="1451"/>
      <c r="N22" s="1451"/>
      <c r="O22" s="1451"/>
      <c r="P22" s="1452"/>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4"/>
      <c r="AQ22" s="14"/>
      <c r="AR22" s="14"/>
      <c r="AS22" s="174"/>
      <c r="AT22" s="174"/>
      <c r="AU22" s="1809"/>
      <c r="AV22" s="1457"/>
      <c r="AW22" s="1457"/>
      <c r="AX22" s="1458"/>
      <c r="AY22" s="1774"/>
      <c r="AZ22" s="1448"/>
      <c r="BA22" s="1448"/>
      <c r="BB22" s="1448"/>
      <c r="BC22" s="1451"/>
      <c r="BD22" s="1451"/>
      <c r="BE22" s="1451"/>
      <c r="BF22" s="1452"/>
      <c r="BG22" s="174"/>
      <c r="BH22" s="174"/>
      <c r="BI22" s="177"/>
      <c r="BK22" s="174"/>
      <c r="BL22" s="17"/>
      <c r="BM22" s="6"/>
      <c r="BN22" s="792"/>
      <c r="BO22" s="793"/>
      <c r="BP22" s="793"/>
      <c r="BQ22" s="1575"/>
      <c r="BR22" s="1350"/>
      <c r="BS22" s="1350"/>
      <c r="BT22" s="1350"/>
      <c r="BU22" s="1584"/>
      <c r="BV22" s="174"/>
      <c r="BW22" s="1053"/>
      <c r="BX22" s="1054"/>
      <c r="BY22" s="1058"/>
      <c r="BZ22" s="1053"/>
      <c r="CA22" s="1054"/>
      <c r="CB22" s="1058"/>
      <c r="CC22" s="1053"/>
      <c r="CD22" s="1054"/>
      <c r="CE22" s="1058"/>
      <c r="CF22" s="174"/>
      <c r="CG22" s="792"/>
      <c r="CH22" s="793"/>
      <c r="CI22" s="793"/>
      <c r="CJ22" s="1575"/>
      <c r="CK22" s="238"/>
      <c r="CL22" s="238"/>
      <c r="CM22" s="238"/>
      <c r="CN22" s="315"/>
      <c r="CO22" s="174"/>
      <c r="CP22" s="174"/>
      <c r="CQ22" s="1610"/>
      <c r="CR22" s="1767"/>
      <c r="CS22" s="1782"/>
      <c r="CT22" s="1783"/>
      <c r="CU22" s="1357"/>
      <c r="CV22" s="1357"/>
      <c r="CW22" s="1357"/>
      <c r="CX22" s="1357"/>
      <c r="CY22" s="1425"/>
      <c r="CZ22" s="1615"/>
      <c r="DA22" s="1433"/>
      <c r="DB22" s="870"/>
      <c r="DC22" s="870"/>
      <c r="DD22" s="870"/>
      <c r="DE22" s="871"/>
      <c r="DF22" s="174"/>
      <c r="DG22" s="174"/>
      <c r="DH22" s="174"/>
      <c r="DI22" s="870"/>
      <c r="DJ22" s="870"/>
      <c r="DK22" s="870"/>
      <c r="DL22" s="871"/>
      <c r="DM22" s="1603"/>
      <c r="DN22" s="1604"/>
      <c r="DO22" s="1604"/>
      <c r="DP22" s="1604"/>
      <c r="DQ22" s="1604"/>
      <c r="DR22" s="1636"/>
      <c r="DS22" s="177"/>
    </row>
    <row r="23" spans="2:123" ht="9.9499999999999993" customHeight="1" thickBot="1">
      <c r="B23" s="1"/>
      <c r="C23" s="174"/>
      <c r="D23" s="174"/>
      <c r="E23" s="1809" t="s">
        <v>75</v>
      </c>
      <c r="F23" s="1457"/>
      <c r="G23" s="1457"/>
      <c r="H23" s="1458"/>
      <c r="I23" s="501">
        <f>BZ31</f>
        <v>1.487993859806944</v>
      </c>
      <c r="J23" s="1448"/>
      <c r="K23" s="1448"/>
      <c r="L23" s="1448"/>
      <c r="M23" s="1451" t="s">
        <v>55</v>
      </c>
      <c r="N23" s="1451"/>
      <c r="O23" s="1451"/>
      <c r="P23" s="1452"/>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74"/>
      <c r="AT23" s="174"/>
      <c r="AU23" s="1809" t="s">
        <v>75</v>
      </c>
      <c r="AV23" s="1457"/>
      <c r="AW23" s="1457"/>
      <c r="AX23" s="1458"/>
      <c r="AY23" s="501">
        <f>CS23</f>
        <v>2.0759622213684885</v>
      </c>
      <c r="AZ23" s="1448"/>
      <c r="BA23" s="1448"/>
      <c r="BB23" s="1448"/>
      <c r="BC23" s="1451" t="s">
        <v>55</v>
      </c>
      <c r="BD23" s="1451"/>
      <c r="BE23" s="1451"/>
      <c r="BF23" s="1452"/>
      <c r="BG23" s="14"/>
      <c r="BH23" s="174"/>
      <c r="BI23" s="177"/>
      <c r="BK23" s="174"/>
      <c r="BL23" s="17"/>
      <c r="BM23" s="6"/>
      <c r="BN23" s="815">
        <v>2</v>
      </c>
      <c r="BO23" s="816"/>
      <c r="BP23" s="816"/>
      <c r="BQ23" s="1495"/>
      <c r="BR23" s="1350">
        <f>EXP(7.0754-0.6758*CG25/1000-1.1556*CG23/1000-0.9049*CG21/1000)</f>
        <v>690.19102009819153</v>
      </c>
      <c r="BS23" s="1350"/>
      <c r="BT23" s="1350"/>
      <c r="BU23" s="1584"/>
      <c r="BV23" s="174"/>
      <c r="BW23" s="1053"/>
      <c r="BX23" s="1054"/>
      <c r="BY23" s="1058"/>
      <c r="BZ23" s="1053"/>
      <c r="CA23" s="1054"/>
      <c r="CB23" s="1058"/>
      <c r="CC23" s="1053"/>
      <c r="CD23" s="1054"/>
      <c r="CE23" s="1058"/>
      <c r="CF23" s="174"/>
      <c r="CG23" s="815">
        <f>ROUND(DG15+DI18+DF63,0)</f>
        <v>294</v>
      </c>
      <c r="CH23" s="816"/>
      <c r="CI23" s="816"/>
      <c r="CJ23" s="1495"/>
      <c r="CK23" s="238"/>
      <c r="CL23" s="238"/>
      <c r="CM23" s="238"/>
      <c r="CN23" s="315"/>
      <c r="CO23" s="174"/>
      <c r="CP23" s="174"/>
      <c r="CQ23" s="1608">
        <v>2</v>
      </c>
      <c r="CR23" s="1766"/>
      <c r="CS23" s="1780">
        <f>CZ23/DA10</f>
        <v>2.0759622213684885</v>
      </c>
      <c r="CT23" s="1781"/>
      <c r="CU23" s="1357" t="s">
        <v>135</v>
      </c>
      <c r="CV23" s="1357"/>
      <c r="CW23" s="1357"/>
      <c r="CX23" s="1357"/>
      <c r="CY23" s="1425"/>
      <c r="CZ23" s="1615">
        <f>DG15+DI18</f>
        <v>294</v>
      </c>
      <c r="DA23" s="1433" t="s">
        <v>99</v>
      </c>
      <c r="DB23" s="870"/>
      <c r="DC23" s="870"/>
      <c r="DD23" s="870"/>
      <c r="DE23" s="871"/>
      <c r="DF23" s="174"/>
      <c r="DG23" s="174"/>
      <c r="DH23" s="174"/>
      <c r="DI23" s="870"/>
      <c r="DJ23" s="870"/>
      <c r="DK23" s="870"/>
      <c r="DL23" s="871"/>
      <c r="DM23" s="1603"/>
      <c r="DN23" s="1604"/>
      <c r="DO23" s="1604"/>
      <c r="DP23" s="1604"/>
      <c r="DQ23" s="1604"/>
      <c r="DR23" s="1636"/>
      <c r="DS23" s="177"/>
    </row>
    <row r="24" spans="2:123" ht="9.9499999999999993" customHeight="1" thickBot="1">
      <c r="B24" s="1"/>
      <c r="C24" s="174"/>
      <c r="D24" s="174"/>
      <c r="E24" s="1809"/>
      <c r="F24" s="1457"/>
      <c r="G24" s="1457"/>
      <c r="H24" s="1458"/>
      <c r="I24" s="1774"/>
      <c r="J24" s="1448"/>
      <c r="K24" s="1448"/>
      <c r="L24" s="1448"/>
      <c r="M24" s="1451"/>
      <c r="N24" s="1451"/>
      <c r="O24" s="1451"/>
      <c r="P24" s="1452"/>
      <c r="Q24" s="174"/>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74"/>
      <c r="AT24" s="174"/>
      <c r="AU24" s="1809"/>
      <c r="AV24" s="1457"/>
      <c r="AW24" s="1457"/>
      <c r="AX24" s="1458"/>
      <c r="AY24" s="1774"/>
      <c r="AZ24" s="1448"/>
      <c r="BA24" s="1448"/>
      <c r="BB24" s="1448"/>
      <c r="BC24" s="1451"/>
      <c r="BD24" s="1451"/>
      <c r="BE24" s="1451"/>
      <c r="BF24" s="1452"/>
      <c r="BG24" s="14"/>
      <c r="BH24" s="174"/>
      <c r="BI24" s="177"/>
      <c r="BK24" s="174"/>
      <c r="BL24" s="1"/>
      <c r="BM24" s="174"/>
      <c r="BN24" s="792"/>
      <c r="BO24" s="793"/>
      <c r="BP24" s="793"/>
      <c r="BQ24" s="1575"/>
      <c r="BR24" s="1350"/>
      <c r="BS24" s="1350"/>
      <c r="BT24" s="1350"/>
      <c r="BU24" s="1584"/>
      <c r="BV24" s="174"/>
      <c r="BW24" s="1375" t="s">
        <v>99</v>
      </c>
      <c r="BX24" s="1376"/>
      <c r="BY24" s="1377"/>
      <c r="BZ24" s="1375" t="s">
        <v>99</v>
      </c>
      <c r="CA24" s="1376"/>
      <c r="CB24" s="1377"/>
      <c r="CC24" s="1375" t="s">
        <v>99</v>
      </c>
      <c r="CD24" s="1376"/>
      <c r="CE24" s="1377"/>
      <c r="CF24" s="174"/>
      <c r="CG24" s="792"/>
      <c r="CH24" s="793"/>
      <c r="CI24" s="793"/>
      <c r="CJ24" s="1575"/>
      <c r="CK24" s="238"/>
      <c r="CL24" s="238"/>
      <c r="CM24" s="238"/>
      <c r="CN24" s="315"/>
      <c r="CO24" s="174"/>
      <c r="CP24" s="174"/>
      <c r="CQ24" s="1610"/>
      <c r="CR24" s="1767"/>
      <c r="CS24" s="1782"/>
      <c r="CT24" s="1783"/>
      <c r="CU24" s="1357"/>
      <c r="CV24" s="1357"/>
      <c r="CW24" s="1357"/>
      <c r="CX24" s="1357"/>
      <c r="CY24" s="1425"/>
      <c r="CZ24" s="1615"/>
      <c r="DA24" s="1433"/>
      <c r="DB24" s="870"/>
      <c r="DC24" s="870"/>
      <c r="DD24" s="870"/>
      <c r="DE24" s="871"/>
      <c r="DF24" s="174"/>
      <c r="DG24" s="174"/>
      <c r="DH24" s="174"/>
      <c r="DI24" s="870"/>
      <c r="DJ24" s="870"/>
      <c r="DK24" s="870"/>
      <c r="DL24" s="871"/>
      <c r="DM24" s="1605"/>
      <c r="DN24" s="1606"/>
      <c r="DO24" s="1606"/>
      <c r="DP24" s="1606"/>
      <c r="DQ24" s="1606"/>
      <c r="DR24" s="1637"/>
      <c r="DS24" s="177"/>
    </row>
    <row r="25" spans="2:123" ht="9.9499999999999993" customHeight="1" thickBot="1">
      <c r="B25" s="1"/>
      <c r="C25" s="174"/>
      <c r="D25" s="174"/>
      <c r="E25" s="1809" t="s">
        <v>158</v>
      </c>
      <c r="F25" s="1457"/>
      <c r="G25" s="1457"/>
      <c r="H25" s="1458"/>
      <c r="I25" s="501">
        <f>BW31</f>
        <v>0.94018627925723652</v>
      </c>
      <c r="J25" s="1448"/>
      <c r="K25" s="1448"/>
      <c r="L25" s="1448"/>
      <c r="M25" s="1451" t="s">
        <v>55</v>
      </c>
      <c r="N25" s="1451"/>
      <c r="O25" s="1451"/>
      <c r="P25" s="1452"/>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74"/>
      <c r="AU25" s="1809" t="s">
        <v>158</v>
      </c>
      <c r="AV25" s="1457"/>
      <c r="AW25" s="1457"/>
      <c r="AX25" s="1458"/>
      <c r="AY25" s="501">
        <f>CS20</f>
        <v>2.9800791825822377</v>
      </c>
      <c r="AZ25" s="1448"/>
      <c r="BA25" s="1448"/>
      <c r="BB25" s="1448"/>
      <c r="BC25" s="1451" t="s">
        <v>55</v>
      </c>
      <c r="BD25" s="1451"/>
      <c r="BE25" s="1451"/>
      <c r="BF25" s="1452"/>
      <c r="BG25" s="174"/>
      <c r="BH25" s="174"/>
      <c r="BI25" s="177"/>
      <c r="BK25" s="174"/>
      <c r="BL25" s="1"/>
      <c r="BM25" s="174"/>
      <c r="BN25" s="815">
        <v>3</v>
      </c>
      <c r="BO25" s="816"/>
      <c r="BP25" s="816"/>
      <c r="BQ25" s="1495"/>
      <c r="BR25" s="1350">
        <f>EXP(7.0754-0.5569*CG25/1000-0.9044*CG23/1000-1.0258*CG21/1000+0.2795*BZ6)</f>
        <v>769.5283540742347</v>
      </c>
      <c r="BS25" s="1350"/>
      <c r="BT25" s="1350"/>
      <c r="BU25" s="1584"/>
      <c r="BV25" s="174"/>
      <c r="BW25" s="1770">
        <f>BM13+BP16</f>
        <v>723.5</v>
      </c>
      <c r="BX25" s="1771"/>
      <c r="BY25" s="1772"/>
      <c r="BZ25" s="1770">
        <f>BT16+BW13</f>
        <v>1027</v>
      </c>
      <c r="CA25" s="1771"/>
      <c r="CB25" s="1772"/>
      <c r="CC25" s="1770">
        <f>CD15+CD12</f>
        <v>303.5</v>
      </c>
      <c r="CD25" s="1771"/>
      <c r="CE25" s="1772"/>
      <c r="CF25" s="174"/>
      <c r="CG25" s="815">
        <f>ROUND(DH25+DK25+CY62+CY65+BS52,0)</f>
        <v>294</v>
      </c>
      <c r="CH25" s="816"/>
      <c r="CI25" s="816"/>
      <c r="CJ25" s="1495"/>
      <c r="CK25" s="238"/>
      <c r="CL25" s="238"/>
      <c r="CM25" s="238"/>
      <c r="CN25" s="315"/>
      <c r="CO25" s="174"/>
      <c r="CP25" s="174"/>
      <c r="CQ25" s="1612"/>
      <c r="CR25" s="1768"/>
      <c r="CS25" s="1784"/>
      <c r="CT25" s="1785"/>
      <c r="CU25" s="1357"/>
      <c r="CV25" s="1357"/>
      <c r="CW25" s="1357"/>
      <c r="CX25" s="1357"/>
      <c r="CY25" s="1425"/>
      <c r="CZ25" s="1615"/>
      <c r="DA25" s="1433"/>
      <c r="DB25" s="870"/>
      <c r="DC25" s="870"/>
      <c r="DD25" s="870"/>
      <c r="DE25" s="871"/>
      <c r="DF25" s="174"/>
      <c r="DG25" s="174"/>
      <c r="DH25" s="1635">
        <f>DM35*DO11</f>
        <v>294</v>
      </c>
      <c r="DI25" s="1635"/>
      <c r="DJ25" s="16"/>
      <c r="DK25" s="1635">
        <f>DM38</f>
        <v>0</v>
      </c>
      <c r="DL25" s="1635"/>
      <c r="DM25" s="174"/>
      <c r="DN25" s="174"/>
      <c r="DO25" s="174"/>
      <c r="DP25" s="174"/>
      <c r="DQ25" s="174"/>
      <c r="DR25" s="177"/>
      <c r="DS25" s="177"/>
    </row>
    <row r="26" spans="2:123" ht="9.9499999999999993" customHeight="1" thickBot="1">
      <c r="B26" s="1"/>
      <c r="C26" s="174"/>
      <c r="D26" s="174"/>
      <c r="E26" s="1810"/>
      <c r="F26" s="1811"/>
      <c r="G26" s="1811"/>
      <c r="H26" s="1812"/>
      <c r="I26" s="1769"/>
      <c r="J26" s="1450"/>
      <c r="K26" s="1450"/>
      <c r="L26" s="1450"/>
      <c r="M26" s="1453"/>
      <c r="N26" s="1453"/>
      <c r="O26" s="1453"/>
      <c r="P26" s="1454"/>
      <c r="Q26" s="43">
        <f>IF(OR(I21&gt;1,I23&gt;1,I25&gt;1),1,0)</f>
        <v>1</v>
      </c>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74"/>
      <c r="AU26" s="1810"/>
      <c r="AV26" s="1811"/>
      <c r="AW26" s="1811"/>
      <c r="AX26" s="1812"/>
      <c r="AY26" s="1769"/>
      <c r="AZ26" s="1450"/>
      <c r="BA26" s="1450"/>
      <c r="BB26" s="1450"/>
      <c r="BC26" s="1453"/>
      <c r="BD26" s="1453"/>
      <c r="BE26" s="1453"/>
      <c r="BF26" s="1454"/>
      <c r="BG26" s="43">
        <f>IF(OR(AY21&gt;1,AY23&gt;1,AY25&gt;1),1,0)</f>
        <v>1</v>
      </c>
      <c r="BH26" s="174"/>
      <c r="BI26" s="177"/>
      <c r="BK26" s="174"/>
      <c r="BL26" s="1"/>
      <c r="BM26" s="174"/>
      <c r="BN26" s="824"/>
      <c r="BO26" s="825"/>
      <c r="BP26" s="825"/>
      <c r="BQ26" s="1496"/>
      <c r="BR26" s="1352"/>
      <c r="BS26" s="1352"/>
      <c r="BT26" s="1352"/>
      <c r="BU26" s="1616"/>
      <c r="BV26" s="174"/>
      <c r="BW26" s="1438" t="s">
        <v>135</v>
      </c>
      <c r="BX26" s="1438"/>
      <c r="BY26" s="1438"/>
      <c r="BZ26" s="1438" t="s">
        <v>135</v>
      </c>
      <c r="CA26" s="1438"/>
      <c r="CB26" s="1438"/>
      <c r="CC26" s="1438" t="s">
        <v>135</v>
      </c>
      <c r="CD26" s="1438"/>
      <c r="CE26" s="1438"/>
      <c r="CF26" s="174"/>
      <c r="CG26" s="824"/>
      <c r="CH26" s="825"/>
      <c r="CI26" s="825"/>
      <c r="CJ26" s="1496"/>
      <c r="CK26" s="1518"/>
      <c r="CL26" s="1518"/>
      <c r="CM26" s="1518"/>
      <c r="CN26" s="1519"/>
      <c r="CO26" s="174"/>
      <c r="CP26" s="174"/>
      <c r="CQ26" s="1610">
        <v>1</v>
      </c>
      <c r="CR26" s="1767"/>
      <c r="CS26" s="1782">
        <f>CZ26/CY10</f>
        <v>2.4769817119590369</v>
      </c>
      <c r="CT26" s="1783"/>
      <c r="CU26" s="1357" t="s">
        <v>135</v>
      </c>
      <c r="CV26" s="1357"/>
      <c r="CW26" s="1357"/>
      <c r="CX26" s="1357"/>
      <c r="CY26" s="1425"/>
      <c r="CZ26" s="1615">
        <f>DH25+DK25</f>
        <v>294</v>
      </c>
      <c r="DA26" s="1433" t="s">
        <v>99</v>
      </c>
      <c r="DB26" s="870"/>
      <c r="DC26" s="870"/>
      <c r="DD26" s="870"/>
      <c r="DE26" s="871"/>
      <c r="DF26" s="174"/>
      <c r="DG26" s="174"/>
      <c r="DH26" s="1635"/>
      <c r="DI26" s="1635"/>
      <c r="DJ26" s="16"/>
      <c r="DK26" s="1635"/>
      <c r="DL26" s="1635"/>
      <c r="DM26" s="174"/>
      <c r="DN26" s="174"/>
      <c r="DO26" s="174"/>
      <c r="DP26" s="174"/>
      <c r="DQ26" s="174"/>
      <c r="DR26" s="177"/>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439"/>
      <c r="BX27" s="1439"/>
      <c r="BY27" s="1439"/>
      <c r="BZ27" s="1439"/>
      <c r="CA27" s="1439"/>
      <c r="CB27" s="1439"/>
      <c r="CC27" s="1439"/>
      <c r="CD27" s="1439"/>
      <c r="CE27" s="1439"/>
      <c r="CF27" s="174"/>
      <c r="CG27" s="174"/>
      <c r="CH27" s="174"/>
      <c r="CI27" s="174"/>
      <c r="CJ27" s="174"/>
      <c r="CK27" s="174"/>
      <c r="CL27" s="174"/>
      <c r="CM27" s="174"/>
      <c r="CN27" s="174"/>
      <c r="CO27" s="174"/>
      <c r="CP27" s="174"/>
      <c r="CQ27" s="1610"/>
      <c r="CR27" s="1767"/>
      <c r="CS27" s="1782"/>
      <c r="CT27" s="1783"/>
      <c r="CU27" s="1357"/>
      <c r="CV27" s="1357"/>
      <c r="CW27" s="1357"/>
      <c r="CX27" s="1357"/>
      <c r="CY27" s="1425"/>
      <c r="CZ27" s="1615"/>
      <c r="DA27" s="1433"/>
      <c r="DB27" s="870"/>
      <c r="DC27" s="870"/>
      <c r="DD27" s="870"/>
      <c r="DE27" s="871"/>
      <c r="DF27" s="174"/>
      <c r="DG27" s="174"/>
      <c r="DH27" s="1635"/>
      <c r="DI27" s="1635"/>
      <c r="DJ27" s="4"/>
      <c r="DK27" s="1635"/>
      <c r="DL27" s="1635"/>
      <c r="DM27" s="174"/>
      <c r="DN27" s="174"/>
      <c r="DO27" s="174"/>
      <c r="DP27" s="174"/>
      <c r="DQ27" s="174"/>
      <c r="DR27" s="177"/>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439"/>
      <c r="BX28" s="1439"/>
      <c r="BY28" s="1439"/>
      <c r="BZ28" s="1439"/>
      <c r="CA28" s="1439"/>
      <c r="CB28" s="1439"/>
      <c r="CC28" s="1439"/>
      <c r="CD28" s="1439"/>
      <c r="CE28" s="1439"/>
      <c r="CF28" s="174"/>
      <c r="CG28" s="174"/>
      <c r="CH28" s="174"/>
      <c r="CI28" s="174"/>
      <c r="CJ28" s="174"/>
      <c r="CK28" s="174"/>
      <c r="CL28" s="174"/>
      <c r="CM28" s="174"/>
      <c r="CN28" s="174"/>
      <c r="CO28" s="174"/>
      <c r="CP28" s="174"/>
      <c r="CQ28" s="1612"/>
      <c r="CR28" s="1768"/>
      <c r="CS28" s="1784"/>
      <c r="CT28" s="1785"/>
      <c r="CU28" s="1357"/>
      <c r="CV28" s="1357"/>
      <c r="CW28" s="1357"/>
      <c r="CX28" s="1357"/>
      <c r="CY28" s="1425"/>
      <c r="CZ28" s="1623"/>
      <c r="DA28" s="1434"/>
      <c r="DB28" s="1094"/>
      <c r="DC28" s="1094"/>
      <c r="DD28" s="1094"/>
      <c r="DE28" s="1095"/>
      <c r="DF28" s="174"/>
      <c r="DG28" s="174"/>
      <c r="DH28" s="174"/>
      <c r="DI28" s="174"/>
      <c r="DJ28" s="174"/>
      <c r="DK28" s="174"/>
      <c r="DL28" s="174"/>
      <c r="DM28" s="174"/>
      <c r="DN28" s="174"/>
      <c r="DO28" s="174"/>
      <c r="DP28" s="174"/>
      <c r="DQ28" s="174"/>
      <c r="DR28" s="171"/>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439"/>
      <c r="BX29" s="1439"/>
      <c r="BY29" s="1439"/>
      <c r="BZ29" s="1439"/>
      <c r="CA29" s="1439"/>
      <c r="CB29" s="1439"/>
      <c r="CC29" s="1439"/>
      <c r="CD29" s="1439"/>
      <c r="CE29" s="1439"/>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
      <c r="DG29" s="174"/>
      <c r="DH29" s="174"/>
      <c r="DI29" s="174"/>
      <c r="DJ29" s="174"/>
      <c r="DK29" s="174"/>
      <c r="DL29" s="174"/>
      <c r="DM29" s="1417">
        <f>WBR_Master</f>
        <v>625</v>
      </c>
      <c r="DN29" s="1418" t="s">
        <v>99</v>
      </c>
      <c r="DO29" s="1075"/>
      <c r="DP29" s="1075"/>
      <c r="DQ29" s="1075"/>
      <c r="DR29" s="1076"/>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4"/>
      <c r="AN30" s="14"/>
      <c r="AO30" s="14"/>
      <c r="AP30" s="14"/>
      <c r="AQ30" s="14"/>
      <c r="AR30" s="14"/>
      <c r="AS30" s="14"/>
      <c r="AT30" s="14"/>
      <c r="AU30" s="14"/>
      <c r="AV30" s="14"/>
      <c r="AW30" s="1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440"/>
      <c r="BX30" s="1440"/>
      <c r="BY30" s="1440"/>
      <c r="BZ30" s="1440"/>
      <c r="CA30" s="1440"/>
      <c r="CB30" s="1440"/>
      <c r="CC30" s="1440"/>
      <c r="CD30" s="1440"/>
      <c r="CE30" s="1440"/>
      <c r="CF30" s="174"/>
      <c r="CG30" s="174"/>
      <c r="CH30" s="174"/>
      <c r="CI30" s="174"/>
      <c r="CJ30" s="174"/>
      <c r="CK30" s="174"/>
      <c r="CL30" s="174"/>
      <c r="CM30" s="174"/>
      <c r="CN30" s="174"/>
      <c r="CO30" s="174"/>
      <c r="CP30" s="174"/>
      <c r="CQ30" s="174"/>
      <c r="CR30" s="174"/>
      <c r="CS30" s="174"/>
      <c r="CT30" s="174"/>
      <c r="CU30" s="174"/>
      <c r="CV30" s="174"/>
      <c r="CW30" s="174"/>
      <c r="CX30" s="174"/>
      <c r="CY30" s="1620"/>
      <c r="CZ30" s="1621"/>
      <c r="DA30" s="1621"/>
      <c r="DB30" s="1621"/>
      <c r="DC30" s="1621"/>
      <c r="DD30" s="1621"/>
      <c r="DE30" s="1593" t="s">
        <v>136</v>
      </c>
      <c r="DF30" s="174"/>
      <c r="DG30" s="174"/>
      <c r="DH30" s="174"/>
      <c r="DI30" s="174"/>
      <c r="DJ30" s="174"/>
      <c r="DK30" s="174"/>
      <c r="DL30" s="174"/>
      <c r="DM30" s="1316"/>
      <c r="DN30" s="1396"/>
      <c r="DO30" s="870"/>
      <c r="DP30" s="870"/>
      <c r="DQ30" s="870"/>
      <c r="DR30" s="871"/>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K31" s="174"/>
      <c r="BL31" s="1"/>
      <c r="BM31" s="174"/>
      <c r="BN31" s="174"/>
      <c r="BO31" s="174"/>
      <c r="BP31" s="174"/>
      <c r="BQ31" s="174"/>
      <c r="BR31" s="174"/>
      <c r="BS31" s="174"/>
      <c r="BT31" s="174"/>
      <c r="BU31" s="174"/>
      <c r="BV31" s="174"/>
      <c r="BW31" s="1803">
        <f>BW25/BR25</f>
        <v>0.94018627925723652</v>
      </c>
      <c r="BX31" s="1804"/>
      <c r="BY31" s="1805"/>
      <c r="BZ31" s="1803">
        <f>BZ25/BR23</f>
        <v>1.487993859806944</v>
      </c>
      <c r="CA31" s="1804"/>
      <c r="CB31" s="1828"/>
      <c r="CC31" s="1827">
        <f>CC25/BR21</f>
        <v>0.49991630253579628</v>
      </c>
      <c r="CD31" s="1804"/>
      <c r="CE31" s="1828"/>
      <c r="CF31" s="174"/>
      <c r="CG31" s="174"/>
      <c r="CH31" s="174"/>
      <c r="CI31" s="174"/>
      <c r="CJ31" s="156"/>
      <c r="CK31" s="174"/>
      <c r="CL31" s="174"/>
      <c r="CM31" s="174"/>
      <c r="CN31" s="174"/>
      <c r="CO31" s="174"/>
      <c r="CP31" s="174"/>
      <c r="CQ31" s="174"/>
      <c r="CR31" s="174"/>
      <c r="CS31" s="174"/>
      <c r="CT31" s="174"/>
      <c r="CU31" s="174"/>
      <c r="CV31" s="174"/>
      <c r="CW31" s="174"/>
      <c r="CX31" s="174"/>
      <c r="CY31" s="1622"/>
      <c r="CZ31" s="222"/>
      <c r="DA31" s="222"/>
      <c r="DB31" s="222"/>
      <c r="DC31" s="222"/>
      <c r="DD31" s="222"/>
      <c r="DE31" s="1594"/>
      <c r="DF31" s="174"/>
      <c r="DG31" s="174"/>
      <c r="DH31" s="174"/>
      <c r="DI31" s="174"/>
      <c r="DJ31" s="174"/>
      <c r="DK31" s="174"/>
      <c r="DL31" s="174"/>
      <c r="DM31" s="1316"/>
      <c r="DN31" s="1396"/>
      <c r="DO31" s="870"/>
      <c r="DP31" s="870"/>
      <c r="DQ31" s="870"/>
      <c r="DR31" s="871"/>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806"/>
      <c r="BX32" s="1807"/>
      <c r="BY32" s="1808"/>
      <c r="BZ32" s="1806"/>
      <c r="CA32" s="1807"/>
      <c r="CB32" s="1830"/>
      <c r="CC32" s="1829"/>
      <c r="CD32" s="1807"/>
      <c r="CE32" s="1830"/>
      <c r="CF32" s="174"/>
      <c r="CG32" s="174"/>
      <c r="CH32" s="174"/>
      <c r="CI32" s="174"/>
      <c r="CJ32" s="174"/>
      <c r="CK32" s="174"/>
      <c r="CL32" s="174"/>
      <c r="CM32" s="174"/>
      <c r="CN32" s="174"/>
      <c r="CO32" s="174"/>
      <c r="CP32" s="174"/>
      <c r="CQ32" s="174"/>
      <c r="CR32" s="174"/>
      <c r="CS32" s="174"/>
      <c r="CT32" s="174"/>
      <c r="CU32" s="174"/>
      <c r="CV32" s="174"/>
      <c r="CW32" s="174"/>
      <c r="CX32" s="174"/>
      <c r="CY32" s="1622"/>
      <c r="CZ32" s="222"/>
      <c r="DA32" s="222"/>
      <c r="DB32" s="222"/>
      <c r="DC32" s="222"/>
      <c r="DD32" s="222"/>
      <c r="DE32" s="1594"/>
      <c r="DF32" s="174"/>
      <c r="DG32" s="174"/>
      <c r="DH32" s="174"/>
      <c r="DI32" s="174"/>
      <c r="DJ32" s="174"/>
      <c r="DK32" s="174"/>
      <c r="DL32" s="174"/>
      <c r="DM32" s="1316">
        <f>WBT_Master</f>
        <v>0</v>
      </c>
      <c r="DN32" s="1396" t="s">
        <v>99</v>
      </c>
      <c r="DO32" s="870"/>
      <c r="DP32" s="870"/>
      <c r="DQ32" s="870"/>
      <c r="DR32" s="871"/>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084">
        <v>3</v>
      </c>
      <c r="BX33" s="1075"/>
      <c r="BY33" s="1085"/>
      <c r="BZ33" s="1084">
        <v>2</v>
      </c>
      <c r="CA33" s="1075"/>
      <c r="CB33" s="1076"/>
      <c r="CC33" s="1074">
        <v>1</v>
      </c>
      <c r="CD33" s="1075"/>
      <c r="CE33" s="1076"/>
      <c r="CF33" s="174"/>
      <c r="CG33" s="174"/>
      <c r="CH33" s="174"/>
      <c r="CI33" s="174"/>
      <c r="CJ33" s="174"/>
      <c r="CK33" s="174"/>
      <c r="CL33" s="174"/>
      <c r="CM33" s="174"/>
      <c r="CN33" s="174"/>
      <c r="CO33" s="174"/>
      <c r="CP33" s="174"/>
      <c r="CQ33" s="174"/>
      <c r="CR33" s="174"/>
      <c r="CS33" s="174"/>
      <c r="CT33" s="174"/>
      <c r="CU33" s="174"/>
      <c r="CV33" s="174"/>
      <c r="CW33" s="174"/>
      <c r="CX33" s="174"/>
      <c r="CY33" s="1622"/>
      <c r="CZ33" s="222"/>
      <c r="DA33" s="222"/>
      <c r="DB33" s="222"/>
      <c r="DC33" s="222"/>
      <c r="DD33" s="222"/>
      <c r="DE33" s="1594"/>
      <c r="DF33" s="174"/>
      <c r="DG33" s="174"/>
      <c r="DH33" s="174"/>
      <c r="DI33" s="174"/>
      <c r="DJ33" s="174"/>
      <c r="DK33" s="174"/>
      <c r="DL33" s="174"/>
      <c r="DM33" s="1316"/>
      <c r="DN33" s="1396"/>
      <c r="DO33" s="870"/>
      <c r="DP33" s="870"/>
      <c r="DQ33" s="870"/>
      <c r="DR33" s="871"/>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106"/>
      <c r="BX34" s="1094"/>
      <c r="BY34" s="1107"/>
      <c r="BZ34" s="1106"/>
      <c r="CA34" s="1094"/>
      <c r="CB34" s="1095"/>
      <c r="CC34" s="1093"/>
      <c r="CD34" s="1094"/>
      <c r="CE34" s="1095"/>
      <c r="CF34" s="174"/>
      <c r="CG34" s="174"/>
      <c r="CH34" s="174"/>
      <c r="CI34" s="174"/>
      <c r="CJ34" s="174"/>
      <c r="CK34" s="174"/>
      <c r="CL34" s="174"/>
      <c r="CM34" s="174"/>
      <c r="CN34" s="174"/>
      <c r="CO34" s="174"/>
      <c r="CP34" s="174"/>
      <c r="CQ34" s="174"/>
      <c r="CR34" s="174"/>
      <c r="CS34" s="174"/>
      <c r="CT34" s="174"/>
      <c r="CU34" s="174"/>
      <c r="CV34" s="174"/>
      <c r="CW34" s="174"/>
      <c r="CX34" s="174"/>
      <c r="CY34" s="1638">
        <f>ROUND(CY62+CY65+BV52+BS52+CD12,0)</f>
        <v>450</v>
      </c>
      <c r="CZ34" s="1639"/>
      <c r="DA34" s="1644">
        <f>ROUND(DI61+DF63+BU59,0)</f>
        <v>1080</v>
      </c>
      <c r="DB34" s="1639"/>
      <c r="DC34" s="1644">
        <f>ROUND(DM61,0)</f>
        <v>630</v>
      </c>
      <c r="DD34" s="1639"/>
      <c r="DE34" s="1594"/>
      <c r="DF34" s="174"/>
      <c r="DG34" s="174"/>
      <c r="DH34" s="174"/>
      <c r="DI34" s="174"/>
      <c r="DJ34" s="174"/>
      <c r="DK34" s="174"/>
      <c r="DL34" s="174"/>
      <c r="DM34" s="1316"/>
      <c r="DN34" s="1396"/>
      <c r="DO34" s="870"/>
      <c r="DP34" s="870"/>
      <c r="DQ34" s="870"/>
      <c r="DR34" s="871"/>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640"/>
      <c r="CZ35" s="1641"/>
      <c r="DA35" s="1645"/>
      <c r="DB35" s="1641"/>
      <c r="DC35" s="1645"/>
      <c r="DD35" s="1641"/>
      <c r="DE35" s="1594"/>
      <c r="DF35" s="174"/>
      <c r="DG35" s="174"/>
      <c r="DH35" s="174"/>
      <c r="DI35" s="174"/>
      <c r="DJ35" s="174"/>
      <c r="DK35" s="174"/>
      <c r="DL35" s="174"/>
      <c r="DM35" s="1316">
        <f>WBL_Master</f>
        <v>588</v>
      </c>
      <c r="DN35" s="1396" t="s">
        <v>99</v>
      </c>
      <c r="DO35" s="870"/>
      <c r="DP35" s="870"/>
      <c r="DQ35" s="870"/>
      <c r="DR35" s="871"/>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640"/>
      <c r="CZ36" s="1641"/>
      <c r="DA36" s="1645"/>
      <c r="DB36" s="1641"/>
      <c r="DC36" s="1645"/>
      <c r="DD36" s="1641"/>
      <c r="DE36" s="1594"/>
      <c r="DF36" s="174"/>
      <c r="DG36" s="174"/>
      <c r="DH36" s="174"/>
      <c r="DI36" s="174"/>
      <c r="DJ36" s="174"/>
      <c r="DK36" s="174"/>
      <c r="DL36" s="174"/>
      <c r="DM36" s="1316"/>
      <c r="DN36" s="1396"/>
      <c r="DO36" s="870"/>
      <c r="DP36" s="870"/>
      <c r="DQ36" s="870"/>
      <c r="DR36" s="871"/>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640"/>
      <c r="CZ37" s="1641"/>
      <c r="DA37" s="1645"/>
      <c r="DB37" s="1641"/>
      <c r="DC37" s="1645"/>
      <c r="DD37" s="1641"/>
      <c r="DE37" s="1594"/>
      <c r="DF37" s="174"/>
      <c r="DG37" s="174"/>
      <c r="DH37" s="174"/>
      <c r="DI37" s="174"/>
      <c r="DJ37" s="174"/>
      <c r="DK37" s="174"/>
      <c r="DL37" s="174"/>
      <c r="DM37" s="1316"/>
      <c r="DN37" s="1396"/>
      <c r="DO37" s="870"/>
      <c r="DP37" s="870"/>
      <c r="DQ37" s="870"/>
      <c r="DR37" s="871"/>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642"/>
      <c r="CZ38" s="1643"/>
      <c r="DA38" s="1646"/>
      <c r="DB38" s="1643"/>
      <c r="DC38" s="1646"/>
      <c r="DD38" s="1643"/>
      <c r="DE38" s="1595"/>
      <c r="DF38" s="174"/>
      <c r="DG38" s="174"/>
      <c r="DH38" s="174"/>
      <c r="DI38" s="174"/>
      <c r="DJ38" s="174"/>
      <c r="DK38" s="174"/>
      <c r="DL38" s="174"/>
      <c r="DM38" s="1316">
        <f>WBU_Master</f>
        <v>0</v>
      </c>
      <c r="DN38" s="1396" t="s">
        <v>99</v>
      </c>
      <c r="DO38" s="870"/>
      <c r="DP38" s="870"/>
      <c r="DQ38" s="870"/>
      <c r="DR38" s="871"/>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084"/>
      <c r="BN39" s="1075"/>
      <c r="BO39" s="1075"/>
      <c r="BP39" s="1075"/>
      <c r="BQ39" s="1406" t="s">
        <v>99</v>
      </c>
      <c r="BR39" s="1341">
        <f>EBU_Master</f>
        <v>0</v>
      </c>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316"/>
      <c r="DN39" s="1396"/>
      <c r="DO39" s="870"/>
      <c r="DP39" s="870"/>
      <c r="DQ39" s="870"/>
      <c r="DR39" s="871"/>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869"/>
      <c r="BN40" s="870"/>
      <c r="BO40" s="870"/>
      <c r="BP40" s="870"/>
      <c r="BQ40" s="1387"/>
      <c r="BR40" s="1342"/>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317"/>
      <c r="DN40" s="1397"/>
      <c r="DO40" s="1094"/>
      <c r="DP40" s="1094"/>
      <c r="DQ40" s="1094"/>
      <c r="DR40" s="1095"/>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869"/>
      <c r="BN41" s="870"/>
      <c r="BO41" s="870"/>
      <c r="BP41" s="870"/>
      <c r="BQ41" s="1387"/>
      <c r="BR41" s="1342"/>
      <c r="BS41" s="174"/>
      <c r="BT41" s="174"/>
      <c r="BU41" s="174"/>
      <c r="BV41" s="174"/>
      <c r="BW41" s="174"/>
      <c r="BX41" s="174"/>
      <c r="BY41" s="174"/>
      <c r="BZ41" s="1520" t="s">
        <v>136</v>
      </c>
      <c r="CA41" s="1733">
        <f>ROUND(BP16,0)</f>
        <v>724</v>
      </c>
      <c r="CB41" s="1776"/>
      <c r="CC41" s="1733">
        <f>ROUND(BT16+BW13+DI18,0)</f>
        <v>1321</v>
      </c>
      <c r="CD41" s="1776"/>
      <c r="CE41" s="1733">
        <f>ROUND(CD15+CD12+DH25+DK25+CY65,0)</f>
        <v>598</v>
      </c>
      <c r="CF41" s="173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869"/>
      <c r="BN42" s="870"/>
      <c r="BO42" s="870"/>
      <c r="BP42" s="870"/>
      <c r="BQ42" s="1387" t="s">
        <v>99</v>
      </c>
      <c r="BR42" s="1342">
        <f>EBL_Master</f>
        <v>899</v>
      </c>
      <c r="BS42" s="174"/>
      <c r="BT42" s="174"/>
      <c r="BU42" s="174"/>
      <c r="BV42" s="174"/>
      <c r="BW42" s="174"/>
      <c r="BX42" s="174"/>
      <c r="BY42" s="174"/>
      <c r="BZ42" s="1521"/>
      <c r="CA42" s="1735"/>
      <c r="CB42" s="1777"/>
      <c r="CC42" s="1735"/>
      <c r="CD42" s="1777"/>
      <c r="CE42" s="1735"/>
      <c r="CF42" s="1736"/>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869"/>
      <c r="BN43" s="870"/>
      <c r="BO43" s="870"/>
      <c r="BP43" s="870"/>
      <c r="BQ43" s="1387"/>
      <c r="BR43" s="1342"/>
      <c r="BS43" s="174"/>
      <c r="BT43" s="174"/>
      <c r="BU43" s="174"/>
      <c r="BV43" s="174"/>
      <c r="BW43" s="174"/>
      <c r="BX43" s="174"/>
      <c r="BY43" s="174"/>
      <c r="BZ43" s="1521"/>
      <c r="CA43" s="1735"/>
      <c r="CB43" s="1777"/>
      <c r="CC43" s="1735"/>
      <c r="CD43" s="1777"/>
      <c r="CE43" s="1735"/>
      <c r="CF43" s="1736"/>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869"/>
      <c r="BN44" s="870"/>
      <c r="BO44" s="870"/>
      <c r="BP44" s="870"/>
      <c r="BQ44" s="1387"/>
      <c r="BR44" s="1342"/>
      <c r="BS44" s="174"/>
      <c r="BT44" s="174"/>
      <c r="BU44" s="174"/>
      <c r="BV44" s="174"/>
      <c r="BW44" s="174"/>
      <c r="BX44" s="174"/>
      <c r="BY44" s="174"/>
      <c r="BZ44" s="1521"/>
      <c r="CA44" s="1735"/>
      <c r="CB44" s="1777"/>
      <c r="CC44" s="1735"/>
      <c r="CD44" s="1777"/>
      <c r="CE44" s="1735"/>
      <c r="CF44" s="1736"/>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869"/>
      <c r="BN45" s="870"/>
      <c r="BO45" s="870"/>
      <c r="BP45" s="870"/>
      <c r="BQ45" s="1387" t="s">
        <v>99</v>
      </c>
      <c r="BR45" s="1342">
        <f>EBT_Master</f>
        <v>0</v>
      </c>
      <c r="BS45" s="174"/>
      <c r="BT45" s="174"/>
      <c r="BU45" s="174"/>
      <c r="BV45" s="174"/>
      <c r="BW45" s="174"/>
      <c r="BX45" s="174"/>
      <c r="BY45" s="174"/>
      <c r="BZ45" s="1521"/>
      <c r="CA45" s="1778"/>
      <c r="CB45" s="1779"/>
      <c r="CC45" s="1778"/>
      <c r="CD45" s="1779"/>
      <c r="CE45" s="1778"/>
      <c r="CF45" s="1826"/>
      <c r="CG45" s="174"/>
      <c r="CH45" s="174"/>
      <c r="CI45" s="174"/>
      <c r="CJ45" s="174"/>
      <c r="CK45" s="174"/>
      <c r="CL45" s="174"/>
      <c r="CM45" s="174"/>
      <c r="CN45" s="174"/>
      <c r="CO45" s="174"/>
      <c r="CP45" s="174"/>
      <c r="CQ45" s="174"/>
      <c r="CR45" s="174"/>
      <c r="CS45" s="174"/>
      <c r="CT45" s="174"/>
      <c r="CU45" s="174"/>
      <c r="CV45" s="174"/>
      <c r="CW45" s="174"/>
      <c r="CX45" s="174"/>
      <c r="CY45" s="174"/>
      <c r="CZ45" s="1084">
        <v>1</v>
      </c>
      <c r="DA45" s="1075"/>
      <c r="DB45" s="1085"/>
      <c r="DC45" s="1084">
        <v>2</v>
      </c>
      <c r="DD45" s="1075"/>
      <c r="DE45" s="1076"/>
      <c r="DF45" s="1074">
        <v>3</v>
      </c>
      <c r="DG45" s="1075"/>
      <c r="DH45" s="1076"/>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869"/>
      <c r="BN46" s="870"/>
      <c r="BO46" s="870"/>
      <c r="BP46" s="870"/>
      <c r="BQ46" s="1387"/>
      <c r="BR46" s="1342"/>
      <c r="BS46" s="174"/>
      <c r="BT46" s="174"/>
      <c r="BU46" s="174"/>
      <c r="BV46" s="174"/>
      <c r="BW46" s="174"/>
      <c r="BX46" s="174"/>
      <c r="BY46" s="174"/>
      <c r="BZ46" s="1521"/>
      <c r="CA46" s="222"/>
      <c r="CB46" s="222"/>
      <c r="CC46" s="222"/>
      <c r="CD46" s="222"/>
      <c r="CE46" s="222"/>
      <c r="CF46" s="1504"/>
      <c r="CG46" s="174"/>
      <c r="CH46" s="174"/>
      <c r="CI46" s="174"/>
      <c r="CJ46" s="174"/>
      <c r="CK46" s="174"/>
      <c r="CL46" s="174"/>
      <c r="CM46" s="174"/>
      <c r="CN46" s="174"/>
      <c r="CO46" s="174"/>
      <c r="CP46" s="174"/>
      <c r="CQ46" s="174"/>
      <c r="CR46" s="174"/>
      <c r="CS46" s="174"/>
      <c r="CT46" s="174"/>
      <c r="CU46" s="174"/>
      <c r="CV46" s="174"/>
      <c r="CW46" s="174"/>
      <c r="CX46" s="174"/>
      <c r="CY46" s="174"/>
      <c r="CZ46" s="1106"/>
      <c r="DA46" s="1094"/>
      <c r="DB46" s="1107"/>
      <c r="DC46" s="1106"/>
      <c r="DD46" s="1094"/>
      <c r="DE46" s="1095"/>
      <c r="DF46" s="1093"/>
      <c r="DG46" s="1094"/>
      <c r="DH46" s="1095"/>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869"/>
      <c r="BN47" s="870"/>
      <c r="BO47" s="870"/>
      <c r="BP47" s="870"/>
      <c r="BQ47" s="1387"/>
      <c r="BR47" s="1342"/>
      <c r="BS47" s="174"/>
      <c r="BT47" s="174"/>
      <c r="BU47" s="174"/>
      <c r="BV47" s="174"/>
      <c r="BW47" s="174"/>
      <c r="BX47" s="174"/>
      <c r="BY47" s="174"/>
      <c r="BZ47" s="1521"/>
      <c r="CA47" s="222"/>
      <c r="CB47" s="222"/>
      <c r="CC47" s="222"/>
      <c r="CD47" s="222"/>
      <c r="CE47" s="222"/>
      <c r="CF47" s="1504"/>
      <c r="CG47" s="174"/>
      <c r="CH47" s="174"/>
      <c r="CI47" s="174"/>
      <c r="CJ47" s="174"/>
      <c r="CK47" s="174"/>
      <c r="CL47" s="174"/>
      <c r="CM47" s="174"/>
      <c r="CN47" s="174"/>
      <c r="CO47" s="174"/>
      <c r="CP47" s="174"/>
      <c r="CQ47" s="174"/>
      <c r="CR47" s="174"/>
      <c r="CS47" s="174"/>
      <c r="CT47" s="174"/>
      <c r="CU47" s="174"/>
      <c r="CV47" s="174"/>
      <c r="CW47" s="174"/>
      <c r="CX47" s="174"/>
      <c r="CY47" s="174"/>
      <c r="CZ47" s="1816">
        <f>CZ54/DN53</f>
        <v>0</v>
      </c>
      <c r="DA47" s="1817"/>
      <c r="DB47" s="1818"/>
      <c r="DC47" s="1816">
        <f>DC54/DN55</f>
        <v>2.1156540736835505</v>
      </c>
      <c r="DD47" s="1817"/>
      <c r="DE47" s="1822"/>
      <c r="DF47" s="1824">
        <f>DF54/DN57</f>
        <v>3.7800609041482289</v>
      </c>
      <c r="DG47" s="1817"/>
      <c r="DH47" s="1822"/>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869"/>
      <c r="BN48" s="870"/>
      <c r="BO48" s="870"/>
      <c r="BP48" s="870"/>
      <c r="BQ48" s="1387" t="s">
        <v>99</v>
      </c>
      <c r="BR48" s="1342">
        <f>EBR_Master</f>
        <v>208</v>
      </c>
      <c r="BS48" s="174"/>
      <c r="BT48" s="174"/>
      <c r="BU48" s="174"/>
      <c r="BV48" s="174"/>
      <c r="BW48" s="174"/>
      <c r="BX48" s="174"/>
      <c r="BY48" s="174"/>
      <c r="BZ48" s="1521"/>
      <c r="CA48" s="222"/>
      <c r="CB48" s="222"/>
      <c r="CC48" s="222"/>
      <c r="CD48" s="222"/>
      <c r="CE48" s="222"/>
      <c r="CF48" s="1504"/>
      <c r="CG48" s="174"/>
      <c r="CH48" s="174"/>
      <c r="CI48" s="174"/>
      <c r="CJ48" s="174"/>
      <c r="CK48" s="174"/>
      <c r="CL48" s="174"/>
      <c r="CM48" s="174"/>
      <c r="CN48" s="174"/>
      <c r="CO48" s="174"/>
      <c r="CP48" s="174"/>
      <c r="CQ48" s="174"/>
      <c r="CR48" s="174"/>
      <c r="CS48" s="174"/>
      <c r="CT48" s="174"/>
      <c r="CU48" s="174"/>
      <c r="CV48" s="174"/>
      <c r="CW48" s="174"/>
      <c r="CX48" s="174"/>
      <c r="CY48" s="141"/>
      <c r="CZ48" s="1819"/>
      <c r="DA48" s="1820"/>
      <c r="DB48" s="1821"/>
      <c r="DC48" s="1819"/>
      <c r="DD48" s="1820"/>
      <c r="DE48" s="1823"/>
      <c r="DF48" s="1825"/>
      <c r="DG48" s="1820"/>
      <c r="DH48" s="1823"/>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869"/>
      <c r="BN49" s="870"/>
      <c r="BO49" s="870"/>
      <c r="BP49" s="870"/>
      <c r="BQ49" s="1387"/>
      <c r="BR49" s="1342"/>
      <c r="BS49" s="174"/>
      <c r="BT49" s="174"/>
      <c r="BU49" s="174"/>
      <c r="BV49" s="174"/>
      <c r="BW49" s="174"/>
      <c r="BX49" s="174"/>
      <c r="BY49" s="174"/>
      <c r="BZ49" s="1522"/>
      <c r="CA49" s="1505"/>
      <c r="CB49" s="1505"/>
      <c r="CC49" s="1505"/>
      <c r="CD49" s="1505"/>
      <c r="CE49" s="1505"/>
      <c r="CF49" s="1506"/>
      <c r="CG49" s="174"/>
      <c r="CH49" s="174"/>
      <c r="CI49" s="174"/>
      <c r="CJ49" s="174"/>
      <c r="CK49" s="174"/>
      <c r="CL49" s="174"/>
      <c r="CM49" s="174"/>
      <c r="CN49" s="174"/>
      <c r="CO49" s="174"/>
      <c r="CP49" s="174"/>
      <c r="CQ49" s="174"/>
      <c r="CR49" s="174"/>
      <c r="CS49" s="174"/>
      <c r="CT49" s="174"/>
      <c r="CU49" s="174"/>
      <c r="CV49" s="174"/>
      <c r="CW49" s="174"/>
      <c r="CX49" s="174"/>
      <c r="CY49" s="174"/>
      <c r="CZ49" s="1331" t="s">
        <v>135</v>
      </c>
      <c r="DA49" s="1331"/>
      <c r="DB49" s="1331"/>
      <c r="DC49" s="1331" t="s">
        <v>135</v>
      </c>
      <c r="DD49" s="1331"/>
      <c r="DE49" s="1331"/>
      <c r="DF49" s="1331" t="s">
        <v>135</v>
      </c>
      <c r="DG49" s="1331"/>
      <c r="DH49" s="1331"/>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106"/>
      <c r="BN50" s="1094"/>
      <c r="BO50" s="1094"/>
      <c r="BP50" s="1094"/>
      <c r="BQ50" s="1388"/>
      <c r="BR50" s="1389"/>
      <c r="BS50" s="174"/>
      <c r="BT50" s="174"/>
      <c r="BU50" s="174"/>
      <c r="BV50" s="174"/>
      <c r="BW50" s="174"/>
      <c r="BX50" s="174"/>
      <c r="BY50" s="177"/>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332"/>
      <c r="DA50" s="1332"/>
      <c r="DB50" s="1332"/>
      <c r="DC50" s="1332"/>
      <c r="DD50" s="1332"/>
      <c r="DE50" s="1332"/>
      <c r="DF50" s="1332"/>
      <c r="DG50" s="1332"/>
      <c r="DH50" s="1332"/>
      <c r="DI50" s="174"/>
      <c r="DJ50" s="174"/>
      <c r="DK50" s="174"/>
      <c r="DL50" s="174"/>
      <c r="DM50" s="17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3"/>
      <c r="BN51" s="174"/>
      <c r="BO51" s="174"/>
      <c r="BP51" s="174"/>
      <c r="BQ51" s="174"/>
      <c r="BR51" s="174"/>
      <c r="BS51" s="174"/>
      <c r="BT51" s="174"/>
      <c r="BU51" s="174"/>
      <c r="BV51" s="174"/>
      <c r="BW51" s="174"/>
      <c r="BX51" s="174"/>
      <c r="BY51" s="174"/>
      <c r="BZ51" s="1084"/>
      <c r="CA51" s="1075"/>
      <c r="CB51" s="1075"/>
      <c r="CC51" s="1075"/>
      <c r="CD51" s="1390" t="s">
        <v>99</v>
      </c>
      <c r="CE51" s="1566">
        <f>BV52+BS52</f>
        <v>449.5</v>
      </c>
      <c r="CF51" s="1356" t="s">
        <v>135</v>
      </c>
      <c r="CG51" s="1357"/>
      <c r="CH51" s="1357"/>
      <c r="CI51" s="1357"/>
      <c r="CJ51" s="1358"/>
      <c r="CK51" s="1798">
        <f>CE51/CE66</f>
        <v>6.4037256506859963</v>
      </c>
      <c r="CL51" s="1799"/>
      <c r="CM51" s="1788">
        <v>1</v>
      </c>
      <c r="CN51" s="1569"/>
      <c r="CO51" s="174"/>
      <c r="CP51" s="174"/>
      <c r="CQ51" s="174"/>
      <c r="CR51" s="174"/>
      <c r="CS51" s="174"/>
      <c r="CT51" s="174"/>
      <c r="CU51" s="174"/>
      <c r="CV51" s="174"/>
      <c r="CW51" s="174"/>
      <c r="CX51" s="174"/>
      <c r="CY51" s="174"/>
      <c r="CZ51" s="1332"/>
      <c r="DA51" s="1332"/>
      <c r="DB51" s="1332"/>
      <c r="DC51" s="1332"/>
      <c r="DD51" s="1332"/>
      <c r="DE51" s="1332"/>
      <c r="DF51" s="1332"/>
      <c r="DG51" s="1332"/>
      <c r="DH51" s="1332"/>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
      <c r="BN52" s="174"/>
      <c r="BO52" s="174"/>
      <c r="BP52" s="174"/>
      <c r="BQ52" s="174"/>
      <c r="BR52" s="174"/>
      <c r="BS52" s="1507">
        <f>BR39</f>
        <v>0</v>
      </c>
      <c r="BT52" s="1507"/>
      <c r="BU52" s="174"/>
      <c r="BV52" s="1507">
        <f>BR42*BO65</f>
        <v>449.5</v>
      </c>
      <c r="BW52" s="1507"/>
      <c r="BX52" s="174"/>
      <c r="BY52" s="174"/>
      <c r="BZ52" s="869"/>
      <c r="CA52" s="870"/>
      <c r="CB52" s="870"/>
      <c r="CC52" s="870"/>
      <c r="CD52" s="1391"/>
      <c r="CE52" s="1567"/>
      <c r="CF52" s="1356"/>
      <c r="CG52" s="1357"/>
      <c r="CH52" s="1357"/>
      <c r="CI52" s="1357"/>
      <c r="CJ52" s="1358"/>
      <c r="CK52" s="1794"/>
      <c r="CL52" s="1795"/>
      <c r="CM52" s="1789"/>
      <c r="CN52" s="1571"/>
      <c r="CO52" s="174"/>
      <c r="CP52" s="174"/>
      <c r="CQ52" s="174"/>
      <c r="CR52" s="174"/>
      <c r="CS52" s="174"/>
      <c r="CT52" s="174"/>
      <c r="CU52" s="174"/>
      <c r="CV52" s="174"/>
      <c r="CW52" s="174"/>
      <c r="CX52" s="174"/>
      <c r="CY52" s="174"/>
      <c r="CZ52" s="1332"/>
      <c r="DA52" s="1332"/>
      <c r="DB52" s="1332"/>
      <c r="DC52" s="1332"/>
      <c r="DD52" s="1332"/>
      <c r="DE52" s="1332"/>
      <c r="DF52" s="1332"/>
      <c r="DG52" s="1332"/>
      <c r="DH52" s="1332"/>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
      <c r="BN53" s="174"/>
      <c r="BO53" s="174"/>
      <c r="BP53" s="174"/>
      <c r="BQ53" s="174"/>
      <c r="BR53" s="174"/>
      <c r="BS53" s="1507"/>
      <c r="BT53" s="1507"/>
      <c r="BU53" s="174"/>
      <c r="BV53" s="1507"/>
      <c r="BW53" s="1507"/>
      <c r="BX53" s="174"/>
      <c r="BY53" s="174"/>
      <c r="BZ53" s="869"/>
      <c r="CA53" s="870"/>
      <c r="CB53" s="870"/>
      <c r="CC53" s="870"/>
      <c r="CD53" s="1391"/>
      <c r="CE53" s="1567"/>
      <c r="CF53" s="1356"/>
      <c r="CG53" s="1357"/>
      <c r="CH53" s="1357"/>
      <c r="CI53" s="1357"/>
      <c r="CJ53" s="1358"/>
      <c r="CK53" s="1794"/>
      <c r="CL53" s="1795"/>
      <c r="CM53" s="1789"/>
      <c r="CN53" s="1571"/>
      <c r="CO53" s="174"/>
      <c r="CP53" s="174"/>
      <c r="CQ53" s="788">
        <f>ROUND(BV52+BS52+CD15+CD12+DK25,0)</f>
        <v>753</v>
      </c>
      <c r="CR53" s="789"/>
      <c r="CS53" s="789"/>
      <c r="CT53" s="1574"/>
      <c r="CU53" s="1589"/>
      <c r="CV53" s="1589"/>
      <c r="CW53" s="1589"/>
      <c r="CX53" s="1590"/>
      <c r="CY53" s="174"/>
      <c r="CZ53" s="1333"/>
      <c r="DA53" s="1333"/>
      <c r="DB53" s="1333"/>
      <c r="DC53" s="1333"/>
      <c r="DD53" s="1333"/>
      <c r="DE53" s="1333"/>
      <c r="DF53" s="1333"/>
      <c r="DG53" s="1333"/>
      <c r="DH53" s="1333"/>
      <c r="DI53" s="174"/>
      <c r="DJ53" s="788">
        <v>1</v>
      </c>
      <c r="DK53" s="789"/>
      <c r="DL53" s="789"/>
      <c r="DM53" s="1574"/>
      <c r="DN53" s="1582">
        <f>EXP(7.0754-1.1864*CQ53/1000-1.0813*CQ55/1000-0.9479*CQ57/1000)</f>
        <v>214.39538418992643</v>
      </c>
      <c r="DO53" s="1582"/>
      <c r="DP53" s="1582"/>
      <c r="DQ53" s="1583"/>
      <c r="DR53" s="174"/>
      <c r="DS53" s="177"/>
    </row>
    <row r="54" spans="2:123" ht="9.9499999999999993" customHeight="1" thickBo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2"/>
      <c r="BN54" s="174"/>
      <c r="BO54" s="174"/>
      <c r="BP54" s="174"/>
      <c r="BQ54" s="174"/>
      <c r="BR54" s="174"/>
      <c r="BS54" s="1507"/>
      <c r="BT54" s="1507"/>
      <c r="BU54" s="174"/>
      <c r="BV54" s="1507"/>
      <c r="BW54" s="1507"/>
      <c r="BX54" s="174"/>
      <c r="BY54" s="174"/>
      <c r="BZ54" s="869"/>
      <c r="CA54" s="870"/>
      <c r="CB54" s="870"/>
      <c r="CC54" s="870"/>
      <c r="CD54" s="1391" t="s">
        <v>99</v>
      </c>
      <c r="CE54" s="1567">
        <f>BU59+BW62</f>
        <v>449.5</v>
      </c>
      <c r="CF54" s="1356" t="s">
        <v>135</v>
      </c>
      <c r="CG54" s="1357"/>
      <c r="CH54" s="1357"/>
      <c r="CI54" s="1357"/>
      <c r="CJ54" s="1358"/>
      <c r="CK54" s="1798">
        <f>CE54/CC66</f>
        <v>5.0458163475760704</v>
      </c>
      <c r="CL54" s="1799"/>
      <c r="CM54" s="1788">
        <v>2</v>
      </c>
      <c r="CN54" s="1569"/>
      <c r="CO54" s="174"/>
      <c r="CP54" s="174"/>
      <c r="CQ54" s="792"/>
      <c r="CR54" s="793"/>
      <c r="CS54" s="793"/>
      <c r="CT54" s="1575"/>
      <c r="CU54" s="238"/>
      <c r="CV54" s="238"/>
      <c r="CW54" s="238"/>
      <c r="CX54" s="315"/>
      <c r="CY54" s="174"/>
      <c r="CZ54" s="1722">
        <f>CY62+CY65</f>
        <v>0</v>
      </c>
      <c r="DA54" s="1723"/>
      <c r="DB54" s="1724"/>
      <c r="DC54" s="1722">
        <f>DI61+DF63</f>
        <v>630</v>
      </c>
      <c r="DD54" s="1723"/>
      <c r="DE54" s="1724"/>
      <c r="DF54" s="1722">
        <f>DM61+DP63</f>
        <v>1690</v>
      </c>
      <c r="DG54" s="1723"/>
      <c r="DH54" s="1724"/>
      <c r="DI54" s="174"/>
      <c r="DJ54" s="792"/>
      <c r="DK54" s="793"/>
      <c r="DL54" s="793"/>
      <c r="DM54" s="1575"/>
      <c r="DN54" s="1350"/>
      <c r="DO54" s="1350"/>
      <c r="DP54" s="1350"/>
      <c r="DQ54" s="158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547" t="s">
        <v>152</v>
      </c>
      <c r="BN55" s="1548"/>
      <c r="BO55" s="1548" t="s">
        <v>157</v>
      </c>
      <c r="BP55" s="1548"/>
      <c r="BQ55" s="1548" t="s">
        <v>151</v>
      </c>
      <c r="BR55" s="1553"/>
      <c r="BS55" s="1575"/>
      <c r="BT55" s="1541"/>
      <c r="BU55" s="870"/>
      <c r="BV55" s="1541"/>
      <c r="BW55" s="174"/>
      <c r="BX55" s="174"/>
      <c r="BY55" s="174"/>
      <c r="BZ55" s="869"/>
      <c r="CA55" s="870"/>
      <c r="CB55" s="870"/>
      <c r="CC55" s="870"/>
      <c r="CD55" s="1391"/>
      <c r="CE55" s="1567"/>
      <c r="CF55" s="1356"/>
      <c r="CG55" s="1357"/>
      <c r="CH55" s="1357"/>
      <c r="CI55" s="1357"/>
      <c r="CJ55" s="1358"/>
      <c r="CK55" s="1794"/>
      <c r="CL55" s="1795"/>
      <c r="CM55" s="1789"/>
      <c r="CN55" s="1571"/>
      <c r="CO55" s="174"/>
      <c r="CP55" s="174"/>
      <c r="CQ55" s="815">
        <f>ROUND(BW62+BU59+BW13,0)</f>
        <v>753</v>
      </c>
      <c r="CR55" s="816"/>
      <c r="CS55" s="816"/>
      <c r="CT55" s="1495"/>
      <c r="CU55" s="238"/>
      <c r="CV55" s="238"/>
      <c r="CW55" s="238"/>
      <c r="CX55" s="315"/>
      <c r="CY55" s="174"/>
      <c r="CZ55" s="1375" t="s">
        <v>99</v>
      </c>
      <c r="DA55" s="1376"/>
      <c r="DB55" s="1377"/>
      <c r="DC55" s="1375" t="s">
        <v>99</v>
      </c>
      <c r="DD55" s="1376"/>
      <c r="DE55" s="1377"/>
      <c r="DF55" s="1375" t="s">
        <v>99</v>
      </c>
      <c r="DG55" s="1376"/>
      <c r="DH55" s="1377"/>
      <c r="DI55" s="174"/>
      <c r="DJ55" s="815">
        <v>2</v>
      </c>
      <c r="DK55" s="816"/>
      <c r="DL55" s="816"/>
      <c r="DM55" s="1495"/>
      <c r="DN55" s="1350">
        <f>EXP(7.0754-0.6758*CQ53/1000-1.1556*CQ55/1000-0.9049*CQ57/1000)</f>
        <v>297.78025048448086</v>
      </c>
      <c r="DO55" s="1350"/>
      <c r="DP55" s="1350"/>
      <c r="DQ55" s="1584"/>
      <c r="DR55" s="17"/>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549"/>
      <c r="BN56" s="1550"/>
      <c r="BO56" s="1550"/>
      <c r="BP56" s="1550"/>
      <c r="BQ56" s="1550"/>
      <c r="BR56" s="1554"/>
      <c r="BS56" s="1077"/>
      <c r="BT56" s="870"/>
      <c r="BU56" s="870"/>
      <c r="BV56" s="870"/>
      <c r="BW56" s="174"/>
      <c r="BX56" s="174"/>
      <c r="BY56" s="174"/>
      <c r="BZ56" s="869"/>
      <c r="CA56" s="870"/>
      <c r="CB56" s="870"/>
      <c r="CC56" s="870"/>
      <c r="CD56" s="1391"/>
      <c r="CE56" s="1567"/>
      <c r="CF56" s="1356"/>
      <c r="CG56" s="1357"/>
      <c r="CH56" s="1357"/>
      <c r="CI56" s="1357"/>
      <c r="CJ56" s="1358"/>
      <c r="CK56" s="1796"/>
      <c r="CL56" s="1797"/>
      <c r="CM56" s="1790"/>
      <c r="CN56" s="1573"/>
      <c r="CO56" s="174"/>
      <c r="CP56" s="174"/>
      <c r="CQ56" s="792"/>
      <c r="CR56" s="793"/>
      <c r="CS56" s="793"/>
      <c r="CT56" s="1575"/>
      <c r="CU56" s="238"/>
      <c r="CV56" s="238"/>
      <c r="CW56" s="238"/>
      <c r="CX56" s="315"/>
      <c r="CY56" s="174"/>
      <c r="CZ56" s="1053"/>
      <c r="DA56" s="1054"/>
      <c r="DB56" s="1058"/>
      <c r="DC56" s="1053"/>
      <c r="DD56" s="1054"/>
      <c r="DE56" s="1058"/>
      <c r="DF56" s="1053"/>
      <c r="DG56" s="1054"/>
      <c r="DH56" s="1058"/>
      <c r="DI56" s="174"/>
      <c r="DJ56" s="792"/>
      <c r="DK56" s="793"/>
      <c r="DL56" s="793"/>
      <c r="DM56" s="1575"/>
      <c r="DN56" s="1350"/>
      <c r="DO56" s="1350"/>
      <c r="DP56" s="1350"/>
      <c r="DQ56" s="1584"/>
      <c r="DR56" s="17"/>
      <c r="DS56" s="177"/>
    </row>
    <row r="57" spans="2:123" ht="9.9499999999999993" customHeight="1" thickBo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549"/>
      <c r="BN57" s="1550"/>
      <c r="BO57" s="1550"/>
      <c r="BP57" s="1550"/>
      <c r="BQ57" s="1550"/>
      <c r="BR57" s="1554"/>
      <c r="BS57" s="1077"/>
      <c r="BT57" s="870"/>
      <c r="BU57" s="870"/>
      <c r="BV57" s="870"/>
      <c r="BW57" s="174"/>
      <c r="BX57" s="174"/>
      <c r="BY57" s="174"/>
      <c r="BZ57" s="869"/>
      <c r="CA57" s="870"/>
      <c r="CB57" s="870"/>
      <c r="CC57" s="870"/>
      <c r="CD57" s="1391" t="s">
        <v>99</v>
      </c>
      <c r="CE57" s="1567">
        <f>BW66+BU69</f>
        <v>208</v>
      </c>
      <c r="CF57" s="1356" t="s">
        <v>135</v>
      </c>
      <c r="CG57" s="1357"/>
      <c r="CH57" s="1357"/>
      <c r="CI57" s="1357"/>
      <c r="CJ57" s="1358"/>
      <c r="CK57" s="1794">
        <f>CE57/CA66</f>
        <v>1.616137701620644</v>
      </c>
      <c r="CL57" s="1795"/>
      <c r="CM57" s="1789">
        <v>3</v>
      </c>
      <c r="CN57" s="1571"/>
      <c r="CO57" s="174"/>
      <c r="CP57" s="174"/>
      <c r="CQ57" s="815">
        <f>ROUND(BW66,0)</f>
        <v>0</v>
      </c>
      <c r="CR57" s="816"/>
      <c r="CS57" s="816"/>
      <c r="CT57" s="1495"/>
      <c r="CU57" s="238"/>
      <c r="CV57" s="238"/>
      <c r="CW57" s="238"/>
      <c r="CX57" s="315"/>
      <c r="CY57" s="174"/>
      <c r="CZ57" s="1053"/>
      <c r="DA57" s="1054"/>
      <c r="DB57" s="1058"/>
      <c r="DC57" s="1053"/>
      <c r="DD57" s="1054"/>
      <c r="DE57" s="1058"/>
      <c r="DF57" s="1053"/>
      <c r="DG57" s="1054"/>
      <c r="DH57" s="1058"/>
      <c r="DI57" s="174"/>
      <c r="DJ57" s="815">
        <v>3</v>
      </c>
      <c r="DK57" s="816"/>
      <c r="DL57" s="816"/>
      <c r="DM57" s="1495"/>
      <c r="DN57" s="1350">
        <f>EXP(7.0754-0.5569*CQ53/1000-0.9044*CQ55/1000-1.0258*CQ57/1000+0.2795*DL71)</f>
        <v>447.08274359955374</v>
      </c>
      <c r="DO57" s="1350"/>
      <c r="DP57" s="1350"/>
      <c r="DQ57" s="1584"/>
      <c r="DR57" s="17"/>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549"/>
      <c r="BN58" s="1550"/>
      <c r="BO58" s="1550"/>
      <c r="BP58" s="1550"/>
      <c r="BQ58" s="1550"/>
      <c r="BR58" s="1554"/>
      <c r="BS58" s="174"/>
      <c r="BT58" s="174"/>
      <c r="BU58" s="174"/>
      <c r="BV58" s="174"/>
      <c r="BW58" s="174"/>
      <c r="BX58" s="174"/>
      <c r="BY58" s="174"/>
      <c r="BZ58" s="869"/>
      <c r="CA58" s="870"/>
      <c r="CB58" s="870"/>
      <c r="CC58" s="870"/>
      <c r="CD58" s="1391"/>
      <c r="CE58" s="1567"/>
      <c r="CF58" s="1356"/>
      <c r="CG58" s="1357"/>
      <c r="CH58" s="1357"/>
      <c r="CI58" s="1357"/>
      <c r="CJ58" s="1358"/>
      <c r="CK58" s="1794"/>
      <c r="CL58" s="1795"/>
      <c r="CM58" s="1789"/>
      <c r="CN58" s="1571"/>
      <c r="CO58" s="174"/>
      <c r="CP58" s="174"/>
      <c r="CQ58" s="792"/>
      <c r="CR58" s="793"/>
      <c r="CS58" s="793"/>
      <c r="CT58" s="1575"/>
      <c r="CU58" s="238"/>
      <c r="CV58" s="238"/>
      <c r="CW58" s="238"/>
      <c r="CX58" s="315"/>
      <c r="CY58" s="174"/>
      <c r="CZ58" s="1053"/>
      <c r="DA58" s="1054"/>
      <c r="DB58" s="1058"/>
      <c r="DC58" s="1053"/>
      <c r="DD58" s="1054"/>
      <c r="DE58" s="1058"/>
      <c r="DF58" s="1053"/>
      <c r="DG58" s="1054"/>
      <c r="DH58" s="1058"/>
      <c r="DI58" s="174"/>
      <c r="DJ58" s="792"/>
      <c r="DK58" s="793"/>
      <c r="DL58" s="793"/>
      <c r="DM58" s="1575"/>
      <c r="DN58" s="1350"/>
      <c r="DO58" s="1350"/>
      <c r="DP58" s="1350"/>
      <c r="DQ58" s="1584"/>
      <c r="DR58" s="17"/>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549"/>
      <c r="BN59" s="1550"/>
      <c r="BO59" s="1550"/>
      <c r="BP59" s="1550"/>
      <c r="BQ59" s="1550"/>
      <c r="BR59" s="1554"/>
      <c r="BS59" s="174"/>
      <c r="BT59" s="174"/>
      <c r="BU59" s="1507">
        <f>BR42*(1-BO65)</f>
        <v>449.5</v>
      </c>
      <c r="BV59" s="1507"/>
      <c r="BW59" s="174"/>
      <c r="BX59" s="174"/>
      <c r="BY59" s="174"/>
      <c r="BZ59" s="1106"/>
      <c r="CA59" s="1094"/>
      <c r="CB59" s="1094"/>
      <c r="CC59" s="1094"/>
      <c r="CD59" s="1392"/>
      <c r="CE59" s="1585"/>
      <c r="CF59" s="1356"/>
      <c r="CG59" s="1357"/>
      <c r="CH59" s="1357"/>
      <c r="CI59" s="1357"/>
      <c r="CJ59" s="1358"/>
      <c r="CK59" s="1796"/>
      <c r="CL59" s="1797"/>
      <c r="CM59" s="1790"/>
      <c r="CN59" s="1573"/>
      <c r="CO59" s="174"/>
      <c r="CP59" s="174"/>
      <c r="CQ59" s="1599" t="s">
        <v>136</v>
      </c>
      <c r="CR59" s="1600"/>
      <c r="CS59" s="1600"/>
      <c r="CT59" s="1600"/>
      <c r="CU59" s="1600"/>
      <c r="CV59" s="1600"/>
      <c r="CW59" s="1600"/>
      <c r="CX59" s="1601"/>
      <c r="CY59" s="171"/>
      <c r="CZ59" s="1116"/>
      <c r="DA59" s="1117"/>
      <c r="DB59" s="1119"/>
      <c r="DC59" s="1116"/>
      <c r="DD59" s="1117"/>
      <c r="DE59" s="1119"/>
      <c r="DF59" s="1116"/>
      <c r="DG59" s="1117"/>
      <c r="DH59" s="1119"/>
      <c r="DI59" s="12"/>
      <c r="DJ59" s="1599" t="s">
        <v>150</v>
      </c>
      <c r="DK59" s="1600"/>
      <c r="DL59" s="1600"/>
      <c r="DM59" s="1600"/>
      <c r="DN59" s="1600"/>
      <c r="DO59" s="1600"/>
      <c r="DP59" s="1600"/>
      <c r="DQ59" s="1601"/>
      <c r="DR59" s="147"/>
      <c r="DS59" s="177"/>
    </row>
    <row r="60" spans="2:123" ht="9.9499999999999993" customHeight="1" thickBot="1">
      <c r="B60" s="1"/>
      <c r="C60" s="174"/>
      <c r="D60" s="174"/>
      <c r="E60" s="1654" t="s">
        <v>153</v>
      </c>
      <c r="F60" s="1655"/>
      <c r="G60" s="1655"/>
      <c r="H60" s="1655"/>
      <c r="I60" s="1655"/>
      <c r="J60" s="1655"/>
      <c r="K60" s="1655"/>
      <c r="L60" s="1655"/>
      <c r="M60" s="1655"/>
      <c r="N60" s="1655"/>
      <c r="O60" s="1655"/>
      <c r="P60" s="1656"/>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654" t="s">
        <v>153</v>
      </c>
      <c r="AV60" s="1655"/>
      <c r="AW60" s="1655"/>
      <c r="AX60" s="1655"/>
      <c r="AY60" s="1655"/>
      <c r="AZ60" s="1655"/>
      <c r="BA60" s="1655"/>
      <c r="BB60" s="1655"/>
      <c r="BC60" s="1655"/>
      <c r="BD60" s="1655"/>
      <c r="BE60" s="1655"/>
      <c r="BF60" s="1656"/>
      <c r="BG60" s="174"/>
      <c r="BH60" s="174"/>
      <c r="BI60" s="177"/>
      <c r="BK60" s="174"/>
      <c r="BL60" s="1"/>
      <c r="BM60" s="1549"/>
      <c r="BN60" s="1550"/>
      <c r="BO60" s="1550"/>
      <c r="BP60" s="1550"/>
      <c r="BQ60" s="1550"/>
      <c r="BR60" s="1554"/>
      <c r="BS60" s="174"/>
      <c r="BT60" s="174"/>
      <c r="BU60" s="1507"/>
      <c r="BV60" s="1507"/>
      <c r="BW60" s="174"/>
      <c r="BX60" s="174"/>
      <c r="BY60" s="177"/>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657"/>
      <c r="F61" s="1658"/>
      <c r="G61" s="1658"/>
      <c r="H61" s="1658"/>
      <c r="I61" s="1658"/>
      <c r="J61" s="1658"/>
      <c r="K61" s="1658"/>
      <c r="L61" s="1658"/>
      <c r="M61" s="1658"/>
      <c r="N61" s="1658"/>
      <c r="O61" s="1658"/>
      <c r="P61" s="1659"/>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657"/>
      <c r="AV61" s="1658"/>
      <c r="AW61" s="1658"/>
      <c r="AX61" s="1658"/>
      <c r="AY61" s="1658"/>
      <c r="AZ61" s="1658"/>
      <c r="BA61" s="1658"/>
      <c r="BB61" s="1658"/>
      <c r="BC61" s="1658"/>
      <c r="BD61" s="1658"/>
      <c r="BE61" s="1658"/>
      <c r="BF61" s="1659"/>
      <c r="BG61" s="174"/>
      <c r="BH61" s="174"/>
      <c r="BI61" s="177"/>
      <c r="BK61" s="174"/>
      <c r="BL61" s="1"/>
      <c r="BM61" s="1549"/>
      <c r="BN61" s="1550"/>
      <c r="BO61" s="1550"/>
      <c r="BP61" s="1550"/>
      <c r="BQ61" s="1550"/>
      <c r="BR61" s="1554"/>
      <c r="BS61" s="174"/>
      <c r="BT61" s="174"/>
      <c r="BU61" s="1507"/>
      <c r="BV61" s="1507"/>
      <c r="BW61" s="174"/>
      <c r="BX61" s="174"/>
      <c r="BY61" s="174"/>
      <c r="BZ61" s="1520" t="s">
        <v>150</v>
      </c>
      <c r="CA61" s="1733">
        <v>3</v>
      </c>
      <c r="CB61" s="1776"/>
      <c r="CC61" s="1733">
        <v>2</v>
      </c>
      <c r="CD61" s="1776"/>
      <c r="CE61" s="1733">
        <v>1</v>
      </c>
      <c r="CF61" s="173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14">
        <f>CR67*DL67</f>
        <v>630</v>
      </c>
      <c r="DJ61" s="1715"/>
      <c r="DK61" s="1716"/>
      <c r="DL61" s="174"/>
      <c r="DM61" s="1714">
        <f>CR67*(1-DL67)</f>
        <v>630</v>
      </c>
      <c r="DN61" s="1715"/>
      <c r="DO61" s="1716"/>
      <c r="DP61" s="174"/>
      <c r="DQ61" s="174"/>
      <c r="DR61" s="174"/>
      <c r="DS61" s="177"/>
    </row>
    <row r="62" spans="2:123" ht="9.9499999999999993" customHeight="1" thickBot="1">
      <c r="B62" s="1"/>
      <c r="C62" s="174"/>
      <c r="D62" s="174"/>
      <c r="E62" s="1660"/>
      <c r="F62" s="1661"/>
      <c r="G62" s="1661"/>
      <c r="H62" s="1661"/>
      <c r="I62" s="1661"/>
      <c r="J62" s="1661"/>
      <c r="K62" s="1661"/>
      <c r="L62" s="1661"/>
      <c r="M62" s="1661"/>
      <c r="N62" s="1661"/>
      <c r="O62" s="1661"/>
      <c r="P62" s="1662"/>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660"/>
      <c r="AV62" s="1661"/>
      <c r="AW62" s="1661"/>
      <c r="AX62" s="1661"/>
      <c r="AY62" s="1661"/>
      <c r="AZ62" s="1661"/>
      <c r="BA62" s="1661"/>
      <c r="BB62" s="1661"/>
      <c r="BC62" s="1661"/>
      <c r="BD62" s="1661"/>
      <c r="BE62" s="1661"/>
      <c r="BF62" s="1662"/>
      <c r="BG62" s="174"/>
      <c r="BH62" s="174"/>
      <c r="BI62" s="177"/>
      <c r="BK62" s="174"/>
      <c r="BL62" s="1"/>
      <c r="BM62" s="1549"/>
      <c r="BN62" s="1550"/>
      <c r="BO62" s="1550"/>
      <c r="BP62" s="1550"/>
      <c r="BQ62" s="1550"/>
      <c r="BR62" s="1554"/>
      <c r="BS62" s="1077"/>
      <c r="BT62" s="870"/>
      <c r="BU62" s="1541"/>
      <c r="BV62" s="1542"/>
      <c r="BW62" s="1507">
        <f>BR45*BQ65</f>
        <v>0</v>
      </c>
      <c r="BX62" s="1507"/>
      <c r="BY62" s="174"/>
      <c r="BZ62" s="1521"/>
      <c r="CA62" s="1735"/>
      <c r="CB62" s="1777"/>
      <c r="CC62" s="1735"/>
      <c r="CD62" s="1777"/>
      <c r="CE62" s="1735"/>
      <c r="CF62" s="1736"/>
      <c r="CG62" s="174"/>
      <c r="CH62" s="174"/>
      <c r="CI62" s="174"/>
      <c r="CJ62" s="174"/>
      <c r="CK62" s="174"/>
      <c r="CL62" s="174"/>
      <c r="CM62" s="174"/>
      <c r="CN62" s="174"/>
      <c r="CO62" s="174"/>
      <c r="CP62" s="174"/>
      <c r="CQ62" s="174"/>
      <c r="CR62" s="174"/>
      <c r="CS62" s="174"/>
      <c r="CT62" s="174"/>
      <c r="CU62" s="174"/>
      <c r="CV62" s="174"/>
      <c r="CW62" s="174"/>
      <c r="CX62" s="174"/>
      <c r="CY62" s="1714">
        <f>CO67*DL69</f>
        <v>0</v>
      </c>
      <c r="CZ62" s="1715"/>
      <c r="DA62" s="1716"/>
      <c r="DB62" s="174"/>
      <c r="DC62" s="174"/>
      <c r="DD62" s="174"/>
      <c r="DE62" s="174"/>
      <c r="DF62" s="174"/>
      <c r="DG62" s="174"/>
      <c r="DH62" s="174"/>
      <c r="DI62" s="1717"/>
      <c r="DJ62" s="1718"/>
      <c r="DK62" s="1719"/>
      <c r="DL62" s="174"/>
      <c r="DM62" s="1717"/>
      <c r="DN62" s="1718"/>
      <c r="DO62" s="1719"/>
      <c r="DP62" s="174"/>
      <c r="DQ62" s="174"/>
      <c r="DR62" s="174"/>
      <c r="DS62" s="177"/>
    </row>
    <row r="63" spans="2:123" ht="9.9499999999999993" customHeight="1">
      <c r="B63" s="1"/>
      <c r="C63" s="174"/>
      <c r="D63" s="174"/>
      <c r="E63" s="1813" t="s">
        <v>74</v>
      </c>
      <c r="F63" s="1814"/>
      <c r="G63" s="1814"/>
      <c r="H63" s="1815"/>
      <c r="I63" s="1773">
        <f>CK51</f>
        <v>6.4037256506859963</v>
      </c>
      <c r="J63" s="1664"/>
      <c r="K63" s="1664"/>
      <c r="L63" s="1664"/>
      <c r="M63" s="1665" t="s">
        <v>55</v>
      </c>
      <c r="N63" s="1665"/>
      <c r="O63" s="1665"/>
      <c r="P63" s="1666"/>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813" t="s">
        <v>74</v>
      </c>
      <c r="AV63" s="1814"/>
      <c r="AW63" s="1814"/>
      <c r="AX63" s="1815"/>
      <c r="AY63" s="1773">
        <f>CZ47</f>
        <v>0</v>
      </c>
      <c r="AZ63" s="1664"/>
      <c r="BA63" s="1664"/>
      <c r="BB63" s="1664"/>
      <c r="BC63" s="1665" t="s">
        <v>55</v>
      </c>
      <c r="BD63" s="1665"/>
      <c r="BE63" s="1665"/>
      <c r="BF63" s="1666"/>
      <c r="BG63" s="174"/>
      <c r="BH63" s="174"/>
      <c r="BI63" s="177"/>
      <c r="BK63" s="174"/>
      <c r="BL63" s="1"/>
      <c r="BM63" s="1549"/>
      <c r="BN63" s="1550"/>
      <c r="BO63" s="1550"/>
      <c r="BP63" s="1550"/>
      <c r="BQ63" s="1550"/>
      <c r="BR63" s="1554"/>
      <c r="BS63" s="1077"/>
      <c r="BT63" s="870"/>
      <c r="BU63" s="870"/>
      <c r="BV63" s="1078"/>
      <c r="BW63" s="1507"/>
      <c r="BX63" s="1507"/>
      <c r="BY63" s="174"/>
      <c r="BZ63" s="1521"/>
      <c r="CA63" s="1735"/>
      <c r="CB63" s="1777"/>
      <c r="CC63" s="1735"/>
      <c r="CD63" s="1777"/>
      <c r="CE63" s="1735"/>
      <c r="CF63" s="1736"/>
      <c r="CG63" s="174"/>
      <c r="CH63" s="174"/>
      <c r="CI63" s="174"/>
      <c r="CJ63" s="174"/>
      <c r="CK63" s="174"/>
      <c r="CL63" s="174"/>
      <c r="CM63" s="174"/>
      <c r="CN63" s="174"/>
      <c r="CO63" s="174"/>
      <c r="CP63" s="174"/>
      <c r="CQ63" s="174"/>
      <c r="CR63" s="174"/>
      <c r="CS63" s="174"/>
      <c r="CT63" s="174"/>
      <c r="CU63" s="174"/>
      <c r="CV63" s="174"/>
      <c r="CW63" s="174"/>
      <c r="CX63" s="174"/>
      <c r="CY63" s="1717"/>
      <c r="CZ63" s="1718"/>
      <c r="DA63" s="1719"/>
      <c r="DB63" s="1725"/>
      <c r="DC63" s="1726"/>
      <c r="DD63" s="1727"/>
      <c r="DE63" s="174"/>
      <c r="DF63" s="1714">
        <f>CO67*(1-DL69)</f>
        <v>0</v>
      </c>
      <c r="DG63" s="1715"/>
      <c r="DH63" s="1716"/>
      <c r="DI63" s="1725"/>
      <c r="DJ63" s="1726"/>
      <c r="DK63" s="1727"/>
      <c r="DL63" s="174"/>
      <c r="DM63" s="1725"/>
      <c r="DN63" s="1726"/>
      <c r="DO63" s="1727"/>
      <c r="DP63" s="1714">
        <f>CU67</f>
        <v>1060</v>
      </c>
      <c r="DQ63" s="1715"/>
      <c r="DR63" s="1716"/>
      <c r="DS63" s="177"/>
    </row>
    <row r="64" spans="2:123" ht="9.9499999999999993" customHeight="1" thickBot="1">
      <c r="B64" s="1"/>
      <c r="C64" s="174"/>
      <c r="D64" s="174"/>
      <c r="E64" s="1809"/>
      <c r="F64" s="1457"/>
      <c r="G64" s="1457"/>
      <c r="H64" s="1458"/>
      <c r="I64" s="1774"/>
      <c r="J64" s="1448"/>
      <c r="K64" s="1448"/>
      <c r="L64" s="1448"/>
      <c r="M64" s="1451"/>
      <c r="N64" s="1451"/>
      <c r="O64" s="1451"/>
      <c r="P64" s="1452"/>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809"/>
      <c r="AV64" s="1457"/>
      <c r="AW64" s="1457"/>
      <c r="AX64" s="1458"/>
      <c r="AY64" s="1774"/>
      <c r="AZ64" s="1448"/>
      <c r="BA64" s="1448"/>
      <c r="BB64" s="1448"/>
      <c r="BC64" s="1451"/>
      <c r="BD64" s="1451"/>
      <c r="BE64" s="1451"/>
      <c r="BF64" s="1452"/>
      <c r="BG64" s="174"/>
      <c r="BH64" s="174"/>
      <c r="BI64" s="177"/>
      <c r="BK64" s="174"/>
      <c r="BL64" s="1"/>
      <c r="BM64" s="1551"/>
      <c r="BN64" s="1552"/>
      <c r="BO64" s="1552"/>
      <c r="BP64" s="1552"/>
      <c r="BQ64" s="1552"/>
      <c r="BR64" s="1555"/>
      <c r="BS64" s="1077"/>
      <c r="BT64" s="870"/>
      <c r="BU64" s="870"/>
      <c r="BV64" s="1078"/>
      <c r="BW64" s="1507"/>
      <c r="BX64" s="1507"/>
      <c r="BY64" s="174"/>
      <c r="BZ64" s="1521"/>
      <c r="CA64" s="1735"/>
      <c r="CB64" s="1777"/>
      <c r="CC64" s="1735"/>
      <c r="CD64" s="1777"/>
      <c r="CE64" s="1735"/>
      <c r="CF64" s="1736"/>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770"/>
      <c r="DC64" s="767"/>
      <c r="DD64" s="768"/>
      <c r="DE64" s="174"/>
      <c r="DF64" s="1717"/>
      <c r="DG64" s="1718"/>
      <c r="DH64" s="1719"/>
      <c r="DI64" s="770"/>
      <c r="DJ64" s="767"/>
      <c r="DK64" s="768"/>
      <c r="DL64" s="174"/>
      <c r="DM64" s="770"/>
      <c r="DN64" s="767"/>
      <c r="DO64" s="768"/>
      <c r="DP64" s="1717"/>
      <c r="DQ64" s="1718"/>
      <c r="DR64" s="1719"/>
      <c r="DS64" s="177"/>
    </row>
    <row r="65" spans="2:123" ht="9.9499999999999993" customHeight="1">
      <c r="B65" s="1"/>
      <c r="C65" s="174"/>
      <c r="D65" s="174"/>
      <c r="E65" s="1809" t="s">
        <v>75</v>
      </c>
      <c r="F65" s="1457"/>
      <c r="G65" s="1457"/>
      <c r="H65" s="1458"/>
      <c r="I65" s="501">
        <f>CK54</f>
        <v>5.0458163475760704</v>
      </c>
      <c r="J65" s="1448"/>
      <c r="K65" s="1448"/>
      <c r="L65" s="1448"/>
      <c r="M65" s="1451" t="s">
        <v>55</v>
      </c>
      <c r="N65" s="1451"/>
      <c r="O65" s="1451"/>
      <c r="P65" s="1452"/>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809" t="s">
        <v>75</v>
      </c>
      <c r="AV65" s="1457"/>
      <c r="AW65" s="1457"/>
      <c r="AX65" s="1458"/>
      <c r="AY65" s="501">
        <f>DC47</f>
        <v>2.1156540736835505</v>
      </c>
      <c r="AZ65" s="1448"/>
      <c r="BA65" s="1448"/>
      <c r="BB65" s="1448"/>
      <c r="BC65" s="1451" t="s">
        <v>55</v>
      </c>
      <c r="BD65" s="1451"/>
      <c r="BE65" s="1451"/>
      <c r="BF65" s="1452"/>
      <c r="BG65" s="174"/>
      <c r="BH65" s="174"/>
      <c r="BI65" s="177"/>
      <c r="BK65" s="174"/>
      <c r="BL65" s="1"/>
      <c r="BM65" s="1529">
        <f>BR48/(BR48+BR45+BR42+BR39)</f>
        <v>0.18789521228545619</v>
      </c>
      <c r="BN65" s="1530"/>
      <c r="BO65" s="1535">
        <v>0.5</v>
      </c>
      <c r="BP65" s="1791"/>
      <c r="BQ65" s="1791">
        <v>0.5</v>
      </c>
      <c r="BR65" s="1536"/>
      <c r="BS65" s="174"/>
      <c r="BT65" s="174"/>
      <c r="BU65" s="174"/>
      <c r="BV65" s="174"/>
      <c r="BW65" s="174"/>
      <c r="BX65" s="174"/>
      <c r="BY65" s="174"/>
      <c r="BZ65" s="1521"/>
      <c r="CA65" s="1778"/>
      <c r="CB65" s="1779"/>
      <c r="CC65" s="1778"/>
      <c r="CD65" s="1779"/>
      <c r="CE65" s="1778"/>
      <c r="CF65" s="1826"/>
      <c r="CG65" s="174"/>
      <c r="CH65" s="174"/>
      <c r="CI65" s="174"/>
      <c r="CJ65" s="174"/>
      <c r="CK65" s="174"/>
      <c r="CL65" s="174"/>
      <c r="CM65" s="174"/>
      <c r="CN65" s="174"/>
      <c r="CO65" s="174"/>
      <c r="CP65" s="174"/>
      <c r="CQ65" s="174"/>
      <c r="CR65" s="174"/>
      <c r="CS65" s="174"/>
      <c r="CT65" s="174"/>
      <c r="CU65" s="174"/>
      <c r="CV65" s="174"/>
      <c r="CW65" s="174"/>
      <c r="CX65" s="174"/>
      <c r="CY65" s="1714">
        <f>CL67</f>
        <v>0</v>
      </c>
      <c r="CZ65" s="1715"/>
      <c r="DA65" s="1716"/>
      <c r="DB65" s="770"/>
      <c r="DC65" s="767"/>
      <c r="DD65" s="768"/>
      <c r="DE65" s="174"/>
      <c r="DF65" s="174"/>
      <c r="DG65" s="174"/>
      <c r="DH65" s="174"/>
      <c r="DI65" s="770"/>
      <c r="DJ65" s="767"/>
      <c r="DK65" s="768"/>
      <c r="DL65" s="174"/>
      <c r="DM65" s="770"/>
      <c r="DN65" s="767"/>
      <c r="DO65" s="768"/>
      <c r="DP65" s="174"/>
      <c r="DQ65" s="174"/>
      <c r="DR65" s="174"/>
      <c r="DS65" s="177"/>
    </row>
    <row r="66" spans="2:123" ht="9.9499999999999993" customHeight="1" thickBot="1">
      <c r="B66" s="1"/>
      <c r="C66" s="174"/>
      <c r="D66" s="174"/>
      <c r="E66" s="1809"/>
      <c r="F66" s="1457"/>
      <c r="G66" s="1457"/>
      <c r="H66" s="1458"/>
      <c r="I66" s="1774"/>
      <c r="J66" s="1448"/>
      <c r="K66" s="1448"/>
      <c r="L66" s="1448"/>
      <c r="M66" s="1451"/>
      <c r="N66" s="1451"/>
      <c r="O66" s="1451"/>
      <c r="P66" s="1452"/>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809"/>
      <c r="AV66" s="1457"/>
      <c r="AW66" s="1457"/>
      <c r="AX66" s="1458"/>
      <c r="AY66" s="1774"/>
      <c r="AZ66" s="1448"/>
      <c r="BA66" s="1448"/>
      <c r="BB66" s="1448"/>
      <c r="BC66" s="1451"/>
      <c r="BD66" s="1451"/>
      <c r="BE66" s="1451"/>
      <c r="BF66" s="1452"/>
      <c r="BG66" s="174"/>
      <c r="BH66" s="174"/>
      <c r="BI66" s="177"/>
      <c r="BK66" s="174"/>
      <c r="BL66" s="1"/>
      <c r="BM66" s="1531"/>
      <c r="BN66" s="1532"/>
      <c r="BO66" s="1537"/>
      <c r="BP66" s="1792"/>
      <c r="BQ66" s="1792"/>
      <c r="BR66" s="1538"/>
      <c r="BS66" s="1077"/>
      <c r="BT66" s="870"/>
      <c r="BU66" s="870"/>
      <c r="BV66" s="1078"/>
      <c r="BW66" s="1507">
        <f>BR45*(1-BQ65)</f>
        <v>0</v>
      </c>
      <c r="BX66" s="1507"/>
      <c r="BY66" s="174"/>
      <c r="BZ66" s="1521"/>
      <c r="CA66" s="1543">
        <f>EXP(7.0754-0.5569*CE41/1000-0.9044*CC41/1000-1.0258*CA41/1000+0.2795*BM65)</f>
        <v>128.70190441781045</v>
      </c>
      <c r="CB66" s="1543"/>
      <c r="CC66" s="1543">
        <f>EXP(7.0754-0.6758*CE41/1000-1.1556*CC41/1000-0.9049*CA41/1000)</f>
        <v>89.083702028896198</v>
      </c>
      <c r="CD66" s="1543"/>
      <c r="CE66" s="1543">
        <f>EXP(7.0754-1.1864*CE41/1000-1.0813*CC41/1000-0.9479*CA41/1000)</f>
        <v>70.193513045307853</v>
      </c>
      <c r="CF66" s="1545"/>
      <c r="CG66" s="174"/>
      <c r="CH66" s="174"/>
      <c r="CI66" s="174"/>
      <c r="CJ66" s="174"/>
      <c r="CK66" s="174"/>
      <c r="CL66" s="174"/>
      <c r="CM66" s="174"/>
      <c r="CN66" s="174"/>
      <c r="CO66" s="174"/>
      <c r="CP66" s="174"/>
      <c r="CQ66" s="174"/>
      <c r="CR66" s="174"/>
      <c r="CS66" s="174"/>
      <c r="CT66" s="174"/>
      <c r="CU66" s="174"/>
      <c r="CV66" s="174"/>
      <c r="CW66" s="174"/>
      <c r="CX66" s="174"/>
      <c r="CY66" s="1717"/>
      <c r="CZ66" s="1718"/>
      <c r="DA66" s="1719"/>
      <c r="DB66" s="770"/>
      <c r="DC66" s="767"/>
      <c r="DD66" s="768"/>
      <c r="DE66" s="174"/>
      <c r="DF66" s="174"/>
      <c r="DG66" s="174"/>
      <c r="DH66" s="174"/>
      <c r="DI66" s="770"/>
      <c r="DJ66" s="767"/>
      <c r="DK66" s="768"/>
      <c r="DL66" s="174"/>
      <c r="DM66" s="770"/>
      <c r="DN66" s="767"/>
      <c r="DO66" s="768"/>
      <c r="DP66" s="174"/>
      <c r="DQ66" s="174"/>
      <c r="DR66" s="174"/>
      <c r="DS66" s="177"/>
    </row>
    <row r="67" spans="2:123" ht="9.9499999999999993" customHeight="1">
      <c r="B67" s="1"/>
      <c r="C67" s="174"/>
      <c r="D67" s="174"/>
      <c r="E67" s="1809" t="s">
        <v>158</v>
      </c>
      <c r="F67" s="1457"/>
      <c r="G67" s="1457"/>
      <c r="H67" s="1458"/>
      <c r="I67" s="501">
        <f>CK57</f>
        <v>1.616137701620644</v>
      </c>
      <c r="J67" s="1448"/>
      <c r="K67" s="1448"/>
      <c r="L67" s="1448"/>
      <c r="M67" s="1451" t="s">
        <v>55</v>
      </c>
      <c r="N67" s="1451"/>
      <c r="O67" s="1451"/>
      <c r="P67" s="1452"/>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809" t="s">
        <v>158</v>
      </c>
      <c r="AV67" s="1457"/>
      <c r="AW67" s="1457"/>
      <c r="AX67" s="1458"/>
      <c r="AY67" s="501">
        <f>DF47</f>
        <v>3.7800609041482289</v>
      </c>
      <c r="AZ67" s="1448"/>
      <c r="BA67" s="1448"/>
      <c r="BB67" s="1448"/>
      <c r="BC67" s="1451" t="s">
        <v>55</v>
      </c>
      <c r="BD67" s="1451"/>
      <c r="BE67" s="1451"/>
      <c r="BF67" s="1452"/>
      <c r="BG67" s="174"/>
      <c r="BH67" s="174"/>
      <c r="BI67" s="177"/>
      <c r="BK67" s="174"/>
      <c r="BL67" s="1"/>
      <c r="BM67" s="1531"/>
      <c r="BN67" s="1532"/>
      <c r="BO67" s="1537"/>
      <c r="BP67" s="1792"/>
      <c r="BQ67" s="1792"/>
      <c r="BR67" s="1538"/>
      <c r="BS67" s="1077"/>
      <c r="BT67" s="870"/>
      <c r="BU67" s="870"/>
      <c r="BV67" s="1078"/>
      <c r="BW67" s="1507"/>
      <c r="BX67" s="1507"/>
      <c r="BY67" s="174"/>
      <c r="BZ67" s="1521"/>
      <c r="CA67" s="1543"/>
      <c r="CB67" s="1543"/>
      <c r="CC67" s="1543"/>
      <c r="CD67" s="1543"/>
      <c r="CE67" s="1543"/>
      <c r="CF67" s="1545"/>
      <c r="CG67" s="174"/>
      <c r="CH67" s="174"/>
      <c r="CI67" s="174"/>
      <c r="CJ67" s="174"/>
      <c r="CK67" s="174"/>
      <c r="CL67" s="1301">
        <f>NBU_Master</f>
        <v>0</v>
      </c>
      <c r="CM67" s="1302"/>
      <c r="CN67" s="1302"/>
      <c r="CO67" s="1302">
        <f>NBL_Master</f>
        <v>0</v>
      </c>
      <c r="CP67" s="1302"/>
      <c r="CQ67" s="1302"/>
      <c r="CR67" s="1302">
        <f>NBT_Master</f>
        <v>1260</v>
      </c>
      <c r="CS67" s="1302"/>
      <c r="CT67" s="1302"/>
      <c r="CU67" s="1302">
        <f>NBR_Master</f>
        <v>1060</v>
      </c>
      <c r="CV67" s="1302"/>
      <c r="CW67" s="1365"/>
      <c r="CX67" s="174"/>
      <c r="CY67" s="174"/>
      <c r="CZ67" s="174"/>
      <c r="DA67" s="174"/>
      <c r="DB67" s="1378" t="s">
        <v>151</v>
      </c>
      <c r="DC67" s="1379"/>
      <c r="DD67" s="1379"/>
      <c r="DE67" s="1379"/>
      <c r="DF67" s="1379"/>
      <c r="DG67" s="1379"/>
      <c r="DH67" s="1379"/>
      <c r="DI67" s="1379"/>
      <c r="DJ67" s="1379"/>
      <c r="DK67" s="1728"/>
      <c r="DL67" s="1696">
        <v>0.5</v>
      </c>
      <c r="DM67" s="1697"/>
      <c r="DN67" s="1697"/>
      <c r="DO67" s="1698"/>
      <c r="DP67" s="174"/>
      <c r="DQ67" s="174"/>
      <c r="DR67" s="174"/>
      <c r="DS67" s="177"/>
    </row>
    <row r="68" spans="2:123" ht="9.9499999999999993" customHeight="1" thickBot="1">
      <c r="B68" s="1"/>
      <c r="C68" s="174"/>
      <c r="D68" s="174"/>
      <c r="E68" s="1810"/>
      <c r="F68" s="1811"/>
      <c r="G68" s="1811"/>
      <c r="H68" s="1812"/>
      <c r="I68" s="1769"/>
      <c r="J68" s="1450"/>
      <c r="K68" s="1450"/>
      <c r="L68" s="1450"/>
      <c r="M68" s="1453"/>
      <c r="N68" s="1453"/>
      <c r="O68" s="1453"/>
      <c r="P68" s="1454"/>
      <c r="Q68" s="43">
        <f>IF(OR(I63&gt;1,I65&gt;1,I67&gt;1),1,0)</f>
        <v>1</v>
      </c>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810"/>
      <c r="AV68" s="1811"/>
      <c r="AW68" s="1811"/>
      <c r="AX68" s="1812"/>
      <c r="AY68" s="1769"/>
      <c r="AZ68" s="1450"/>
      <c r="BA68" s="1450"/>
      <c r="BB68" s="1450"/>
      <c r="BC68" s="1453"/>
      <c r="BD68" s="1453"/>
      <c r="BE68" s="1453"/>
      <c r="BF68" s="1454"/>
      <c r="BG68" s="43">
        <f>IF(OR(AY63&gt;1,AY65&gt;1,AY67&gt;1),1,0)</f>
        <v>1</v>
      </c>
      <c r="BH68" s="174"/>
      <c r="BI68" s="177"/>
      <c r="BK68" s="174"/>
      <c r="BL68" s="1"/>
      <c r="BM68" s="1533"/>
      <c r="BN68" s="1534"/>
      <c r="BO68" s="1539"/>
      <c r="BP68" s="1793"/>
      <c r="BQ68" s="1793"/>
      <c r="BR68" s="1540"/>
      <c r="BS68" s="1077"/>
      <c r="BT68" s="870"/>
      <c r="BU68" s="1602"/>
      <c r="BV68" s="1763"/>
      <c r="BW68" s="1507"/>
      <c r="BX68" s="1507"/>
      <c r="BY68" s="174"/>
      <c r="BZ68" s="1521"/>
      <c r="CA68" s="1543"/>
      <c r="CB68" s="1543"/>
      <c r="CC68" s="1543"/>
      <c r="CD68" s="1543"/>
      <c r="CE68" s="1543"/>
      <c r="CF68" s="1545"/>
      <c r="CG68" s="174"/>
      <c r="CH68" s="174"/>
      <c r="CI68" s="174"/>
      <c r="CJ68" s="174"/>
      <c r="CK68" s="174"/>
      <c r="CL68" s="1366" t="s">
        <v>99</v>
      </c>
      <c r="CM68" s="1367"/>
      <c r="CN68" s="1367"/>
      <c r="CO68" s="1367" t="s">
        <v>99</v>
      </c>
      <c r="CP68" s="1367"/>
      <c r="CQ68" s="1367"/>
      <c r="CR68" s="1367" t="s">
        <v>99</v>
      </c>
      <c r="CS68" s="1367"/>
      <c r="CT68" s="1367"/>
      <c r="CU68" s="1367" t="s">
        <v>99</v>
      </c>
      <c r="CV68" s="1367"/>
      <c r="CW68" s="1368"/>
      <c r="CX68" s="174"/>
      <c r="CY68" s="174"/>
      <c r="CZ68" s="174"/>
      <c r="DA68" s="174"/>
      <c r="DB68" s="1384"/>
      <c r="DC68" s="1385"/>
      <c r="DD68" s="1385"/>
      <c r="DE68" s="1385"/>
      <c r="DF68" s="1385"/>
      <c r="DG68" s="1385"/>
      <c r="DH68" s="1385"/>
      <c r="DI68" s="1385"/>
      <c r="DJ68" s="1385"/>
      <c r="DK68" s="1752"/>
      <c r="DL68" s="1800"/>
      <c r="DM68" s="1801"/>
      <c r="DN68" s="1801"/>
      <c r="DO68" s="1802"/>
      <c r="DP68" s="174"/>
      <c r="DQ68" s="174"/>
      <c r="DR68" s="174"/>
      <c r="DS68" s="177"/>
    </row>
    <row r="69" spans="2:123" ht="9.9499999999999993" customHeight="1" thickBo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6"/>
      <c r="BT69" s="16"/>
      <c r="BU69" s="1507">
        <f>BR48</f>
        <v>208</v>
      </c>
      <c r="BV69" s="1507"/>
      <c r="BW69" s="174"/>
      <c r="BX69" s="174"/>
      <c r="BY69" s="174"/>
      <c r="BZ69" s="1522"/>
      <c r="CA69" s="1544"/>
      <c r="CB69" s="1544"/>
      <c r="CC69" s="1544"/>
      <c r="CD69" s="1544"/>
      <c r="CE69" s="1544"/>
      <c r="CF69" s="1546"/>
      <c r="CG69" s="174"/>
      <c r="CH69" s="174"/>
      <c r="CI69" s="174"/>
      <c r="CJ69" s="174"/>
      <c r="CK69" s="174"/>
      <c r="CL69" s="1053"/>
      <c r="CM69" s="1054"/>
      <c r="CN69" s="1054"/>
      <c r="CO69" s="1054"/>
      <c r="CP69" s="1054"/>
      <c r="CQ69" s="1054"/>
      <c r="CR69" s="1054"/>
      <c r="CS69" s="1054"/>
      <c r="CT69" s="1054"/>
      <c r="CU69" s="1054"/>
      <c r="CV69" s="1054"/>
      <c r="CW69" s="1058"/>
      <c r="CX69" s="174"/>
      <c r="CY69" s="174"/>
      <c r="CZ69" s="174"/>
      <c r="DA69" s="174"/>
      <c r="DB69" s="1702" t="s">
        <v>157</v>
      </c>
      <c r="DC69" s="1703"/>
      <c r="DD69" s="1703"/>
      <c r="DE69" s="1703"/>
      <c r="DF69" s="1703"/>
      <c r="DG69" s="1703"/>
      <c r="DH69" s="1703"/>
      <c r="DI69" s="1703"/>
      <c r="DJ69" s="1703"/>
      <c r="DK69" s="1704"/>
      <c r="DL69" s="1800">
        <v>0.5</v>
      </c>
      <c r="DM69" s="1801"/>
      <c r="DN69" s="1801"/>
      <c r="DO69" s="1802"/>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6"/>
      <c r="BT70" s="16"/>
      <c r="BU70" s="1507"/>
      <c r="BV70" s="1507"/>
      <c r="BW70" s="16"/>
      <c r="BX70" s="16"/>
      <c r="BY70" s="16"/>
      <c r="BZ70" s="174"/>
      <c r="CA70" s="174"/>
      <c r="CB70" s="174"/>
      <c r="CC70" s="174"/>
      <c r="CD70" s="174"/>
      <c r="CE70" s="174"/>
      <c r="CF70" s="174"/>
      <c r="CG70" s="174"/>
      <c r="CH70" s="174"/>
      <c r="CI70" s="174"/>
      <c r="CJ70" s="174"/>
      <c r="CK70" s="174"/>
      <c r="CL70" s="1053"/>
      <c r="CM70" s="1054"/>
      <c r="CN70" s="1054"/>
      <c r="CO70" s="1054"/>
      <c r="CP70" s="1054"/>
      <c r="CQ70" s="1054"/>
      <c r="CR70" s="1054"/>
      <c r="CS70" s="1054"/>
      <c r="CT70" s="1054"/>
      <c r="CU70" s="1054"/>
      <c r="CV70" s="1054"/>
      <c r="CW70" s="1058"/>
      <c r="CX70" s="174"/>
      <c r="CY70" s="174"/>
      <c r="CZ70" s="174"/>
      <c r="DA70" s="174"/>
      <c r="DB70" s="1381"/>
      <c r="DC70" s="1382"/>
      <c r="DD70" s="1382"/>
      <c r="DE70" s="1382"/>
      <c r="DF70" s="1382"/>
      <c r="DG70" s="1382"/>
      <c r="DH70" s="1382"/>
      <c r="DI70" s="1382"/>
      <c r="DJ70" s="1382"/>
      <c r="DK70" s="1729"/>
      <c r="DL70" s="1699"/>
      <c r="DM70" s="1700"/>
      <c r="DN70" s="1700"/>
      <c r="DO70" s="1701"/>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4"/>
      <c r="BT71" s="4"/>
      <c r="BU71" s="1507"/>
      <c r="BV71" s="1507"/>
      <c r="BW71" s="4"/>
      <c r="BX71" s="4"/>
      <c r="BY71" s="4"/>
      <c r="BZ71" s="174"/>
      <c r="CA71" s="174"/>
      <c r="CB71" s="174"/>
      <c r="CC71" s="174"/>
      <c r="CD71" s="174"/>
      <c r="CE71" s="174"/>
      <c r="CF71" s="174"/>
      <c r="CG71" s="174"/>
      <c r="CH71" s="174"/>
      <c r="CI71" s="174"/>
      <c r="CJ71" s="174"/>
      <c r="CK71" s="174"/>
      <c r="CL71" s="1053"/>
      <c r="CM71" s="1054"/>
      <c r="CN71" s="1054"/>
      <c r="CO71" s="1054"/>
      <c r="CP71" s="1054"/>
      <c r="CQ71" s="1054"/>
      <c r="CR71" s="1054"/>
      <c r="CS71" s="1054"/>
      <c r="CT71" s="1054"/>
      <c r="CU71" s="1054"/>
      <c r="CV71" s="1054"/>
      <c r="CW71" s="1058"/>
      <c r="CX71" s="174"/>
      <c r="CY71" s="174"/>
      <c r="CZ71" s="174"/>
      <c r="DA71" s="174"/>
      <c r="DB71" s="1702" t="s">
        <v>152</v>
      </c>
      <c r="DC71" s="1703"/>
      <c r="DD71" s="1703"/>
      <c r="DE71" s="1703"/>
      <c r="DF71" s="1703"/>
      <c r="DG71" s="1703"/>
      <c r="DH71" s="1703"/>
      <c r="DI71" s="1703"/>
      <c r="DJ71" s="1703"/>
      <c r="DK71" s="1704"/>
      <c r="DL71" s="1708">
        <f>CU67/(CU67+CR67+CO67+CL67)</f>
        <v>0.45689655172413796</v>
      </c>
      <c r="DM71" s="1709"/>
      <c r="DN71" s="1709"/>
      <c r="DO71" s="1710"/>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4"/>
      <c r="BT72" s="4"/>
      <c r="BU72" s="4"/>
      <c r="BV72" s="4"/>
      <c r="BW72" s="4"/>
      <c r="BX72" s="4"/>
      <c r="BY72" s="4"/>
      <c r="BZ72" s="174"/>
      <c r="CA72" s="174"/>
      <c r="CB72" s="174"/>
      <c r="CC72" s="174"/>
      <c r="CD72" s="174"/>
      <c r="CE72" s="174"/>
      <c r="CF72" s="174"/>
      <c r="CG72" s="174"/>
      <c r="CH72" s="174"/>
      <c r="CI72" s="174"/>
      <c r="CJ72" s="174"/>
      <c r="CK72" s="174"/>
      <c r="CL72" s="1116"/>
      <c r="CM72" s="1117"/>
      <c r="CN72" s="1117"/>
      <c r="CO72" s="1117"/>
      <c r="CP72" s="1117"/>
      <c r="CQ72" s="1117"/>
      <c r="CR72" s="1117"/>
      <c r="CS72" s="1117"/>
      <c r="CT72" s="1117"/>
      <c r="CU72" s="1117"/>
      <c r="CV72" s="1117"/>
      <c r="CW72" s="1119"/>
      <c r="CX72" s="12"/>
      <c r="CY72" s="168"/>
      <c r="CZ72" s="168"/>
      <c r="DA72" s="171"/>
      <c r="DB72" s="1705"/>
      <c r="DC72" s="1706"/>
      <c r="DD72" s="1706"/>
      <c r="DE72" s="1706"/>
      <c r="DF72" s="1706"/>
      <c r="DG72" s="1706"/>
      <c r="DH72" s="1706"/>
      <c r="DI72" s="1706"/>
      <c r="DJ72" s="1706"/>
      <c r="DK72" s="1707"/>
      <c r="DL72" s="1711"/>
      <c r="DM72" s="1712"/>
      <c r="DN72" s="1712"/>
      <c r="DO72" s="1713"/>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4"/>
      <c r="BQ73" s="4"/>
      <c r="BR73" s="4"/>
      <c r="BS73" s="4"/>
      <c r="BT73" s="4"/>
      <c r="BU73" s="4"/>
      <c r="BV73" s="4"/>
      <c r="BW73" s="4"/>
      <c r="BX73" s="4"/>
      <c r="BY73" s="4"/>
      <c r="BZ73" s="4"/>
      <c r="CA73" s="4"/>
      <c r="CB73" s="4"/>
      <c r="CC73" s="4"/>
      <c r="CD73" s="4"/>
      <c r="CE73" s="4"/>
      <c r="CF73" s="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302">
    <mergeCell ref="DO38:DR40"/>
    <mergeCell ref="DH25:DI27"/>
    <mergeCell ref="DK25:DL27"/>
    <mergeCell ref="DI22:DL24"/>
    <mergeCell ref="DI18:DJ20"/>
    <mergeCell ref="DG15:DH17"/>
    <mergeCell ref="DM11:DN14"/>
    <mergeCell ref="DN32:DN34"/>
    <mergeCell ref="DO32:DR34"/>
    <mergeCell ref="DO11:DP14"/>
    <mergeCell ref="DQ11:DR14"/>
    <mergeCell ref="DI15:DL17"/>
    <mergeCell ref="DG11:DH13"/>
    <mergeCell ref="DI11:DL13"/>
    <mergeCell ref="DM35:DM37"/>
    <mergeCell ref="DN35:DN37"/>
    <mergeCell ref="DO35:DR37"/>
    <mergeCell ref="DM38:DM40"/>
    <mergeCell ref="BR39:BR41"/>
    <mergeCell ref="CY34:CZ38"/>
    <mergeCell ref="DA34:DB38"/>
    <mergeCell ref="CS20:CT22"/>
    <mergeCell ref="CU20:CY22"/>
    <mergeCell ref="CZ20:CZ22"/>
    <mergeCell ref="DF45:DH46"/>
    <mergeCell ref="DJ57:DM58"/>
    <mergeCell ref="DN57:DQ58"/>
    <mergeCell ref="DO29:DR31"/>
    <mergeCell ref="CY30:CZ33"/>
    <mergeCell ref="DA30:DB33"/>
    <mergeCell ref="DC30:DD33"/>
    <mergeCell ref="DE30:DE38"/>
    <mergeCell ref="DN38:DN40"/>
    <mergeCell ref="DN55:DQ56"/>
    <mergeCell ref="DM29:DM31"/>
    <mergeCell ref="DN29:DN31"/>
    <mergeCell ref="DJ53:DM54"/>
    <mergeCell ref="DN53:DQ54"/>
    <mergeCell ref="DJ55:DM56"/>
    <mergeCell ref="DC55:DE55"/>
    <mergeCell ref="DF55:DH55"/>
    <mergeCell ref="DM32:DM34"/>
    <mergeCell ref="BA10:BD11"/>
    <mergeCell ref="CE41:CF45"/>
    <mergeCell ref="BM42:BP44"/>
    <mergeCell ref="BQ42:BQ44"/>
    <mergeCell ref="BR42:BR44"/>
    <mergeCell ref="BM45:BP47"/>
    <mergeCell ref="BQ45:BQ47"/>
    <mergeCell ref="BR45:BR47"/>
    <mergeCell ref="CA46:CB49"/>
    <mergeCell ref="CC46:CD49"/>
    <mergeCell ref="CE46:CF49"/>
    <mergeCell ref="BM39:BP41"/>
    <mergeCell ref="CC31:CE32"/>
    <mergeCell ref="BM13:BO14"/>
    <mergeCell ref="BR48:BR50"/>
    <mergeCell ref="BW33:BY34"/>
    <mergeCell ref="BW25:BY25"/>
    <mergeCell ref="BZ31:CB32"/>
    <mergeCell ref="BN20:BU20"/>
    <mergeCell ref="BN21:BQ22"/>
    <mergeCell ref="BR21:BU22"/>
    <mergeCell ref="BQ39:BQ41"/>
    <mergeCell ref="BZ41:BZ49"/>
    <mergeCell ref="BW26:BY30"/>
    <mergeCell ref="B1:BI2"/>
    <mergeCell ref="B3:BI4"/>
    <mergeCell ref="C6:J7"/>
    <mergeCell ref="K6:AJ7"/>
    <mergeCell ref="E23:H24"/>
    <mergeCell ref="AU23:AX24"/>
    <mergeCell ref="E18:P20"/>
    <mergeCell ref="AU18:BF20"/>
    <mergeCell ref="E21:H22"/>
    <mergeCell ref="AU21:AX22"/>
    <mergeCell ref="I21:L22"/>
    <mergeCell ref="M21:P22"/>
    <mergeCell ref="AK6:BH7"/>
    <mergeCell ref="AK8:AP9"/>
    <mergeCell ref="AQ8:AV9"/>
    <mergeCell ref="I23:L24"/>
    <mergeCell ref="M23:P24"/>
    <mergeCell ref="AW8:BB9"/>
    <mergeCell ref="BC8:BH9"/>
    <mergeCell ref="C8:J9"/>
    <mergeCell ref="K8:AJ9"/>
    <mergeCell ref="C10:J11"/>
    <mergeCell ref="K10:AJ11"/>
    <mergeCell ref="C12:J13"/>
    <mergeCell ref="E67:H68"/>
    <mergeCell ref="AU67:AX68"/>
    <mergeCell ref="E60:P62"/>
    <mergeCell ref="AU60:BF62"/>
    <mergeCell ref="E63:H64"/>
    <mergeCell ref="AU63:AX64"/>
    <mergeCell ref="DJ59:DQ59"/>
    <mergeCell ref="CZ47:DB48"/>
    <mergeCell ref="DC47:DE48"/>
    <mergeCell ref="DF47:DH48"/>
    <mergeCell ref="BS52:BT54"/>
    <mergeCell ref="BV52:BW54"/>
    <mergeCell ref="DF54:DH54"/>
    <mergeCell ref="DF49:DH53"/>
    <mergeCell ref="BU59:BV61"/>
    <mergeCell ref="CQ59:CX59"/>
    <mergeCell ref="BS62:BV64"/>
    <mergeCell ref="BW62:BX64"/>
    <mergeCell ref="DI61:DK62"/>
    <mergeCell ref="BZ61:BZ69"/>
    <mergeCell ref="CA61:CB65"/>
    <mergeCell ref="CC61:CD65"/>
    <mergeCell ref="CE61:CF65"/>
    <mergeCell ref="CA66:CB69"/>
    <mergeCell ref="E25:H26"/>
    <mergeCell ref="AU25:AX26"/>
    <mergeCell ref="E65:H66"/>
    <mergeCell ref="AU65:AX66"/>
    <mergeCell ref="AS12:AV13"/>
    <mergeCell ref="AW12:AZ13"/>
    <mergeCell ref="I65:L66"/>
    <mergeCell ref="M65:P66"/>
    <mergeCell ref="AY21:BB22"/>
    <mergeCell ref="BA12:BD13"/>
    <mergeCell ref="BC21:BF22"/>
    <mergeCell ref="AY23:BB24"/>
    <mergeCell ref="BC23:BF24"/>
    <mergeCell ref="AY25:BB26"/>
    <mergeCell ref="BC25:BF26"/>
    <mergeCell ref="I25:L26"/>
    <mergeCell ref="M25:P26"/>
    <mergeCell ref="I63:L64"/>
    <mergeCell ref="M63:P64"/>
    <mergeCell ref="AK10:AR13"/>
    <mergeCell ref="AS10:AV11"/>
    <mergeCell ref="AW10:AZ11"/>
    <mergeCell ref="BE10:BH11"/>
    <mergeCell ref="BE12:BH13"/>
    <mergeCell ref="DL69:DO70"/>
    <mergeCell ref="DB71:DK72"/>
    <mergeCell ref="DL71:DO72"/>
    <mergeCell ref="CU67:CW67"/>
    <mergeCell ref="DB67:DK68"/>
    <mergeCell ref="DL67:DO68"/>
    <mergeCell ref="DM63:DO66"/>
    <mergeCell ref="CY62:DA63"/>
    <mergeCell ref="K12:AJ13"/>
    <mergeCell ref="BN23:BQ24"/>
    <mergeCell ref="BR23:BU24"/>
    <mergeCell ref="BN25:BQ26"/>
    <mergeCell ref="BR25:BU26"/>
    <mergeCell ref="BW31:BY32"/>
    <mergeCell ref="BZ54:CC56"/>
    <mergeCell ref="CD54:CD56"/>
    <mergeCell ref="DC45:DE46"/>
    <mergeCell ref="CM51:CN53"/>
    <mergeCell ref="BZ51:CC53"/>
    <mergeCell ref="CD51:CD53"/>
    <mergeCell ref="CE51:CE53"/>
    <mergeCell ref="CF51:CJ53"/>
    <mergeCell ref="CK51:CL53"/>
    <mergeCell ref="DA26:DA28"/>
    <mergeCell ref="DP63:DR64"/>
    <mergeCell ref="BM65:BN68"/>
    <mergeCell ref="BO65:BP68"/>
    <mergeCell ref="BQ65:BR68"/>
    <mergeCell ref="BS66:BV68"/>
    <mergeCell ref="BW66:BX68"/>
    <mergeCell ref="CY65:DA66"/>
    <mergeCell ref="CL67:CN67"/>
    <mergeCell ref="CO67:CQ67"/>
    <mergeCell ref="CR67:CT67"/>
    <mergeCell ref="BM55:BN64"/>
    <mergeCell ref="BO55:BP64"/>
    <mergeCell ref="DM61:DO62"/>
    <mergeCell ref="CQ57:CT58"/>
    <mergeCell ref="BQ55:BR64"/>
    <mergeCell ref="BS55:BV57"/>
    <mergeCell ref="CQ55:CT56"/>
    <mergeCell ref="CK57:CL59"/>
    <mergeCell ref="CM57:CN59"/>
    <mergeCell ref="CK54:CL56"/>
    <mergeCell ref="CE57:CE59"/>
    <mergeCell ref="CF57:CJ59"/>
    <mergeCell ref="CQ53:CT54"/>
    <mergeCell ref="CU53:CX54"/>
    <mergeCell ref="DF63:DH64"/>
    <mergeCell ref="DI63:DK66"/>
    <mergeCell ref="CE54:CE56"/>
    <mergeCell ref="CF54:CJ56"/>
    <mergeCell ref="CM54:CN56"/>
    <mergeCell ref="CU57:CX58"/>
    <mergeCell ref="CC66:CD69"/>
    <mergeCell ref="CE66:CF69"/>
    <mergeCell ref="CZ56:DB59"/>
    <mergeCell ref="DC56:DE59"/>
    <mergeCell ref="DF56:DH59"/>
    <mergeCell ref="BZ57:CC59"/>
    <mergeCell ref="CD57:CD59"/>
    <mergeCell ref="CU55:CX56"/>
    <mergeCell ref="CZ55:DB55"/>
    <mergeCell ref="CL69:CN72"/>
    <mergeCell ref="CO69:CQ72"/>
    <mergeCell ref="CR69:CT72"/>
    <mergeCell ref="CU69:CW72"/>
    <mergeCell ref="DB69:DK70"/>
    <mergeCell ref="CZ54:DB54"/>
    <mergeCell ref="DC54:DE54"/>
    <mergeCell ref="BU69:BV71"/>
    <mergeCell ref="CL68:CN68"/>
    <mergeCell ref="CO68:CQ68"/>
    <mergeCell ref="CR68:CT68"/>
    <mergeCell ref="CU68:CW68"/>
    <mergeCell ref="DB63:DD66"/>
    <mergeCell ref="DB26:DE28"/>
    <mergeCell ref="CQ11:CS11"/>
    <mergeCell ref="CG23:CJ24"/>
    <mergeCell ref="CK23:CN24"/>
    <mergeCell ref="CG25:CJ26"/>
    <mergeCell ref="CZ49:DB53"/>
    <mergeCell ref="DC49:DE53"/>
    <mergeCell ref="DE10:DE18"/>
    <mergeCell ref="CY14:CZ18"/>
    <mergeCell ref="DC10:DD13"/>
    <mergeCell ref="CY10:CZ13"/>
    <mergeCell ref="CU23:CY25"/>
    <mergeCell ref="CZ23:CZ25"/>
    <mergeCell ref="DA23:DA25"/>
    <mergeCell ref="DB23:DE25"/>
    <mergeCell ref="DC14:DD18"/>
    <mergeCell ref="BZ6:CC7"/>
    <mergeCell ref="CH6:CJ9"/>
    <mergeCell ref="CK6:CM9"/>
    <mergeCell ref="CN6:CP9"/>
    <mergeCell ref="CQ6:CS9"/>
    <mergeCell ref="BP8:BY9"/>
    <mergeCell ref="BZ8:CC9"/>
    <mergeCell ref="BZ24:CB24"/>
    <mergeCell ref="CC24:CE24"/>
    <mergeCell ref="BP10:BY11"/>
    <mergeCell ref="BZ10:CC11"/>
    <mergeCell ref="CH10:CJ10"/>
    <mergeCell ref="CK10:CM10"/>
    <mergeCell ref="CN10:CP10"/>
    <mergeCell ref="CQ10:CS10"/>
    <mergeCell ref="BW13:BY14"/>
    <mergeCell ref="BW20:BY23"/>
    <mergeCell ref="BZ20:CB23"/>
    <mergeCell ref="CC20:CE23"/>
    <mergeCell ref="CG20:CN20"/>
    <mergeCell ref="BP16:BR17"/>
    <mergeCell ref="BT16:BV17"/>
    <mergeCell ref="CN11:CP11"/>
    <mergeCell ref="CD15:CF16"/>
    <mergeCell ref="BL1:DS2"/>
    <mergeCell ref="BL3:DS4"/>
    <mergeCell ref="BP6:BY7"/>
    <mergeCell ref="AY63:BB64"/>
    <mergeCell ref="BC63:BF64"/>
    <mergeCell ref="AY65:BB66"/>
    <mergeCell ref="BC65:BF66"/>
    <mergeCell ref="AY67:BB68"/>
    <mergeCell ref="BC67:BF68"/>
    <mergeCell ref="DM15:DN24"/>
    <mergeCell ref="DO15:DP24"/>
    <mergeCell ref="DQ15:DR24"/>
    <mergeCell ref="BP12:BR15"/>
    <mergeCell ref="BT12:BV15"/>
    <mergeCell ref="CA12:CC15"/>
    <mergeCell ref="CD12:CF13"/>
    <mergeCell ref="DC34:DD38"/>
    <mergeCell ref="CG21:CJ22"/>
    <mergeCell ref="CK21:CN22"/>
    <mergeCell ref="CA41:CB45"/>
    <mergeCell ref="CC41:CD45"/>
    <mergeCell ref="CS23:CT25"/>
    <mergeCell ref="CS26:CT28"/>
    <mergeCell ref="CH11:CJ11"/>
    <mergeCell ref="DI8:DJ10"/>
    <mergeCell ref="BM48:BP50"/>
    <mergeCell ref="BQ48:BQ50"/>
    <mergeCell ref="CK25:CN26"/>
    <mergeCell ref="BW24:BY24"/>
    <mergeCell ref="CQ23:CR25"/>
    <mergeCell ref="CQ26:CR28"/>
    <mergeCell ref="CC26:CE30"/>
    <mergeCell ref="I67:L68"/>
    <mergeCell ref="M67:P68"/>
    <mergeCell ref="BZ26:CB30"/>
    <mergeCell ref="DA14:DB18"/>
    <mergeCell ref="DA10:DB13"/>
    <mergeCell ref="DA20:DA22"/>
    <mergeCell ref="DB20:DE22"/>
    <mergeCell ref="CU26:CY28"/>
    <mergeCell ref="CZ26:CZ28"/>
    <mergeCell ref="BZ33:CB34"/>
    <mergeCell ref="CC33:CE34"/>
    <mergeCell ref="CQ20:CR22"/>
    <mergeCell ref="CZ45:DB46"/>
    <mergeCell ref="CK11:CM11"/>
    <mergeCell ref="BZ25:CB25"/>
    <mergeCell ref="CC25:CE25"/>
  </mergeCells>
  <conditionalFormatting sqref="AW10 BE10 AW12 BE12">
    <cfRule type="cellIs" dxfId="65" priority="1" operator="between">
      <formula>0.875</formula>
      <formula>0.99</formula>
    </cfRule>
    <cfRule type="cellIs" dxfId="64" priority="2" operator="between">
      <formula>0.75</formula>
      <formula>0.875</formula>
    </cfRule>
    <cfRule type="cellIs" dxfId="63" priority="3" operator="greaterThan">
      <formula>1</formula>
    </cfRule>
  </conditionalFormatting>
  <conditionalFormatting sqref="CS20 I21 AY21 I23 AY23 CS23 I25 AY25 CS26 BW31 BZ31 CC31 CZ47 DC47 DF47 CK51 CK54 CK57 I63 AY63 I65 AY65 I67 AY67">
    <cfRule type="cellIs" dxfId="62" priority="52" operator="between">
      <formula>0.75</formula>
      <formula>0.875</formula>
    </cfRule>
    <cfRule type="cellIs" dxfId="61" priority="53" operator="between">
      <formula>0.875</formula>
      <formula>1</formula>
    </cfRule>
    <cfRule type="cellIs" dxfId="60" priority="54"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0" tint="-0.249977111117893"/>
  </sheetPr>
  <dimension ref="A1:FD484"/>
  <sheetViews>
    <sheetView showGridLines="0" showRowColHeaders="0" zoomScaleNormal="100" workbookViewId="0">
      <selection activeCell="BP63" sqref="BP63"/>
    </sheetView>
  </sheetViews>
  <sheetFormatPr defaultColWidth="0" defaultRowHeight="12.75"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0" width="1.7109375" hidden="1" customWidth="1"/>
    <col min="161" max="16384" width="0.5703125" hidden="1"/>
  </cols>
  <sheetData>
    <row r="1" spans="2:80" ht="9.9499999999999993" customHeight="1">
      <c r="B1" s="571" t="s">
        <v>159</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MAX(ROUND(U17/CLV_Limit,2),ROUND(AY17/CLV_Limit,2))</f>
        <v>1.41</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74"/>
      <c r="G17" s="174"/>
      <c r="H17" s="29"/>
      <c r="I17" s="28"/>
      <c r="J17" s="28"/>
      <c r="K17" s="28"/>
      <c r="L17" s="28"/>
      <c r="M17" s="28"/>
      <c r="N17" s="28"/>
      <c r="O17" s="28"/>
      <c r="P17" s="28"/>
      <c r="Q17" s="28"/>
      <c r="R17" s="174"/>
      <c r="S17" s="174"/>
      <c r="T17" s="174"/>
      <c r="U17" s="728">
        <f>AI98</f>
        <v>2263.5964912280701</v>
      </c>
      <c r="V17" s="861"/>
      <c r="W17" s="861"/>
      <c r="X17" s="861"/>
      <c r="Y17" s="861"/>
      <c r="Z17" s="861"/>
      <c r="AA17" s="861"/>
      <c r="AB17" s="861"/>
      <c r="AC17" s="861"/>
      <c r="AD17" s="862"/>
      <c r="AE17" s="174"/>
      <c r="AF17" s="174"/>
      <c r="AG17" s="174"/>
      <c r="AH17" s="174"/>
      <c r="AI17" s="174"/>
      <c r="AJ17" s="174"/>
      <c r="AK17" s="174"/>
      <c r="AL17" s="174"/>
      <c r="AM17" s="174"/>
      <c r="AN17" s="174"/>
      <c r="AO17" s="174"/>
      <c r="AP17" s="174"/>
      <c r="AQ17" s="174"/>
      <c r="AR17" s="174"/>
      <c r="AS17" s="174"/>
      <c r="AT17" s="174"/>
      <c r="AU17" s="174"/>
      <c r="AV17" s="174"/>
      <c r="AW17" s="174"/>
      <c r="AX17" s="174"/>
      <c r="AY17" s="728">
        <f>AI75</f>
        <v>1338.6140350877195</v>
      </c>
      <c r="AZ17" s="861"/>
      <c r="BA17" s="861"/>
      <c r="BB17" s="861"/>
      <c r="BC17" s="861"/>
      <c r="BD17" s="861"/>
      <c r="BE17" s="861"/>
      <c r="BF17" s="861"/>
      <c r="BG17" s="861"/>
      <c r="BH17" s="862"/>
      <c r="BI17" s="174"/>
      <c r="BJ17" s="174"/>
      <c r="BK17" s="174"/>
      <c r="BL17" s="29"/>
      <c r="BM17" s="28"/>
      <c r="BN17" s="28"/>
      <c r="BO17" s="28"/>
      <c r="BP17" s="28"/>
      <c r="BQ17" s="28"/>
      <c r="BR17" s="28"/>
      <c r="BS17" s="28"/>
      <c r="BT17" s="28"/>
      <c r="BU17" s="28"/>
      <c r="BV17" s="174"/>
      <c r="BW17" s="174"/>
      <c r="BX17" s="174"/>
      <c r="BY17" s="174"/>
      <c r="BZ17" s="174"/>
      <c r="CA17" s="174"/>
      <c r="CB17" s="177"/>
    </row>
    <row r="18" spans="2:80" ht="9.9499999999999993" customHeight="1">
      <c r="B18" s="1"/>
      <c r="C18" s="174"/>
      <c r="D18" s="174"/>
      <c r="E18" s="174"/>
      <c r="F18" s="174"/>
      <c r="G18" s="174"/>
      <c r="H18" s="28"/>
      <c r="I18" s="28"/>
      <c r="J18" s="28"/>
      <c r="K18" s="28"/>
      <c r="L18" s="28"/>
      <c r="M18" s="28"/>
      <c r="N18" s="28"/>
      <c r="O18" s="28"/>
      <c r="P18" s="28"/>
      <c r="Q18" s="28"/>
      <c r="R18" s="174"/>
      <c r="S18" s="174"/>
      <c r="T18" s="174"/>
      <c r="U18" s="863"/>
      <c r="V18" s="864"/>
      <c r="W18" s="864"/>
      <c r="X18" s="864"/>
      <c r="Y18" s="864"/>
      <c r="Z18" s="864"/>
      <c r="AA18" s="864"/>
      <c r="AB18" s="864"/>
      <c r="AC18" s="864"/>
      <c r="AD18" s="865"/>
      <c r="AE18" s="174"/>
      <c r="AF18" s="174"/>
      <c r="AG18" s="174"/>
      <c r="AH18" s="174"/>
      <c r="AI18" s="174"/>
      <c r="AJ18" s="174"/>
      <c r="AK18" s="174"/>
      <c r="AL18" s="174"/>
      <c r="AM18" s="174"/>
      <c r="AN18" s="174"/>
      <c r="AO18" s="174"/>
      <c r="AP18" s="174"/>
      <c r="AQ18" s="174"/>
      <c r="AR18" s="174"/>
      <c r="AS18" s="174"/>
      <c r="AT18" s="174"/>
      <c r="AU18" s="174"/>
      <c r="AV18" s="174"/>
      <c r="AW18" s="174"/>
      <c r="AX18" s="174"/>
      <c r="AY18" s="863"/>
      <c r="AZ18" s="864"/>
      <c r="BA18" s="864"/>
      <c r="BB18" s="864"/>
      <c r="BC18" s="864"/>
      <c r="BD18" s="864"/>
      <c r="BE18" s="864"/>
      <c r="BF18" s="864"/>
      <c r="BG18" s="864"/>
      <c r="BH18" s="865"/>
      <c r="BI18" s="174"/>
      <c r="BJ18" s="174"/>
      <c r="BK18" s="174"/>
      <c r="BL18" s="28"/>
      <c r="BM18" s="28"/>
      <c r="BN18" s="28"/>
      <c r="BO18" s="28"/>
      <c r="BP18" s="28"/>
      <c r="BQ18" s="28"/>
      <c r="BR18" s="28"/>
      <c r="BS18" s="28"/>
      <c r="BT18" s="28"/>
      <c r="BU18" s="28"/>
      <c r="BV18" s="174"/>
      <c r="BW18" s="174"/>
      <c r="BX18" s="174"/>
      <c r="BY18" s="174"/>
      <c r="BZ18" s="174"/>
      <c r="CA18" s="174"/>
      <c r="CB18" s="177"/>
    </row>
    <row r="19" spans="2:80" ht="9.9499999999999993" customHeight="1" thickBot="1">
      <c r="B19" s="1"/>
      <c r="C19" s="174"/>
      <c r="D19" s="174"/>
      <c r="E19" s="174"/>
      <c r="F19" s="174"/>
      <c r="G19" s="174"/>
      <c r="H19" s="28"/>
      <c r="I19" s="28"/>
      <c r="J19" s="28"/>
      <c r="K19" s="28"/>
      <c r="L19" s="28"/>
      <c r="M19" s="28"/>
      <c r="N19" s="28"/>
      <c r="O19" s="28"/>
      <c r="P19" s="28"/>
      <c r="Q19" s="28"/>
      <c r="R19" s="174"/>
      <c r="S19" s="174"/>
      <c r="T19" s="174"/>
      <c r="U19" s="866"/>
      <c r="V19" s="867"/>
      <c r="W19" s="867"/>
      <c r="X19" s="867"/>
      <c r="Y19" s="867"/>
      <c r="Z19" s="867"/>
      <c r="AA19" s="867"/>
      <c r="AB19" s="867"/>
      <c r="AC19" s="867"/>
      <c r="AD19" s="868"/>
      <c r="AE19" s="174"/>
      <c r="AF19" s="174"/>
      <c r="AG19" s="174"/>
      <c r="AH19" s="174"/>
      <c r="AI19" s="174"/>
      <c r="AJ19" s="174"/>
      <c r="AK19" s="174"/>
      <c r="AL19" s="174"/>
      <c r="AM19" s="174"/>
      <c r="AN19" s="174"/>
      <c r="AO19" s="174"/>
      <c r="AP19" s="174"/>
      <c r="AQ19" s="174"/>
      <c r="AR19" s="174"/>
      <c r="AS19" s="174"/>
      <c r="AT19" s="174"/>
      <c r="AU19" s="174"/>
      <c r="AV19" s="174"/>
      <c r="AW19" s="174"/>
      <c r="AX19" s="174"/>
      <c r="AY19" s="866"/>
      <c r="AZ19" s="867"/>
      <c r="BA19" s="867"/>
      <c r="BB19" s="867"/>
      <c r="BC19" s="867"/>
      <c r="BD19" s="867"/>
      <c r="BE19" s="867"/>
      <c r="BF19" s="867"/>
      <c r="BG19" s="867"/>
      <c r="BH19" s="868"/>
      <c r="BI19" s="174"/>
      <c r="BJ19" s="174"/>
      <c r="BK19" s="174"/>
      <c r="BL19" s="28"/>
      <c r="BM19" s="28"/>
      <c r="BN19" s="28"/>
      <c r="BO19" s="28"/>
      <c r="BP19" s="28"/>
      <c r="BQ19" s="28"/>
      <c r="BR19" s="28"/>
      <c r="BS19" s="28"/>
      <c r="BT19" s="28"/>
      <c r="BU19" s="28"/>
      <c r="BV19" s="174"/>
      <c r="BW19" s="174"/>
      <c r="BX19" s="174"/>
      <c r="BY19" s="174"/>
      <c r="BZ19" s="174"/>
      <c r="CA19" s="174"/>
      <c r="CB19" s="177"/>
    </row>
    <row r="20" spans="2:80" ht="9.9499999999999993" customHeight="1">
      <c r="B20" s="1"/>
      <c r="C20" s="174"/>
      <c r="D20" s="174"/>
      <c r="E20" s="174"/>
      <c r="F20" s="174"/>
      <c r="G20" s="174"/>
      <c r="H20" s="27"/>
      <c r="I20" s="174"/>
      <c r="J20" s="174"/>
      <c r="K20" s="174"/>
      <c r="L20" s="174"/>
      <c r="M20" s="174"/>
      <c r="N20" s="174"/>
      <c r="O20" s="174"/>
      <c r="P20" s="174"/>
      <c r="Q20" s="174"/>
      <c r="R20" s="174"/>
      <c r="S20" s="174"/>
      <c r="T20" s="174"/>
      <c r="U20" s="713">
        <f>ROUND(U17/CLV_Limit,2)</f>
        <v>1.41</v>
      </c>
      <c r="V20" s="714"/>
      <c r="W20" s="714"/>
      <c r="X20" s="714"/>
      <c r="Y20" s="715"/>
      <c r="Z20" s="722" t="s">
        <v>100</v>
      </c>
      <c r="AA20" s="722"/>
      <c r="AB20" s="722"/>
      <c r="AC20" s="722"/>
      <c r="AD20" s="723"/>
      <c r="AE20" s="174"/>
      <c r="AF20" s="174"/>
      <c r="AG20" s="174"/>
      <c r="AH20" s="174"/>
      <c r="AI20" s="174"/>
      <c r="AJ20" s="174"/>
      <c r="AK20" s="174"/>
      <c r="AL20" s="174"/>
      <c r="AM20" s="174"/>
      <c r="AN20" s="174"/>
      <c r="AO20" s="174"/>
      <c r="AP20" s="174"/>
      <c r="AQ20" s="174"/>
      <c r="AR20" s="174"/>
      <c r="AS20" s="174"/>
      <c r="AT20" s="174"/>
      <c r="AU20" s="174"/>
      <c r="AV20" s="174"/>
      <c r="AW20" s="174"/>
      <c r="AX20" s="174"/>
      <c r="AY20" s="713">
        <f>ROUND(AY17/CLV_Limit,2)</f>
        <v>0.84</v>
      </c>
      <c r="AZ20" s="714"/>
      <c r="BA20" s="714"/>
      <c r="BB20" s="714"/>
      <c r="BC20" s="715"/>
      <c r="BD20" s="722" t="s">
        <v>100</v>
      </c>
      <c r="BE20" s="722"/>
      <c r="BF20" s="722"/>
      <c r="BG20" s="722"/>
      <c r="BH20" s="723"/>
      <c r="BI20" s="174"/>
      <c r="BJ20" s="174"/>
      <c r="BK20" s="174"/>
      <c r="BL20" s="27"/>
      <c r="BM20" s="55"/>
      <c r="BN20" s="55"/>
      <c r="BO20" s="55"/>
      <c r="BP20" s="55"/>
      <c r="BQ20" s="55"/>
      <c r="BR20" s="55"/>
      <c r="BS20" s="55"/>
      <c r="BT20" s="55"/>
      <c r="BU20" s="55"/>
      <c r="BV20" s="174"/>
      <c r="BW20" s="174"/>
      <c r="BX20" s="174"/>
      <c r="BY20" s="174"/>
      <c r="BZ20" s="174"/>
      <c r="CA20" s="174"/>
      <c r="CB20" s="177"/>
    </row>
    <row r="21" spans="2:80" ht="9.9499999999999993" customHeight="1">
      <c r="B21" s="1"/>
      <c r="C21" s="174"/>
      <c r="D21" s="174"/>
      <c r="E21" s="174"/>
      <c r="F21" s="174"/>
      <c r="G21" s="174"/>
      <c r="H21" s="174"/>
      <c r="I21" s="174"/>
      <c r="J21" s="174"/>
      <c r="K21" s="174"/>
      <c r="L21" s="174"/>
      <c r="M21" s="174"/>
      <c r="N21" s="174"/>
      <c r="O21" s="174"/>
      <c r="P21" s="174"/>
      <c r="Q21" s="174"/>
      <c r="R21" s="174"/>
      <c r="S21" s="174"/>
      <c r="T21" s="174"/>
      <c r="U21" s="716"/>
      <c r="V21" s="717"/>
      <c r="W21" s="717"/>
      <c r="X21" s="717"/>
      <c r="Y21" s="718"/>
      <c r="Z21" s="724"/>
      <c r="AA21" s="724"/>
      <c r="AB21" s="724"/>
      <c r="AC21" s="724"/>
      <c r="AD21" s="725"/>
      <c r="AE21" s="174"/>
      <c r="AF21" s="174"/>
      <c r="AG21" s="174"/>
      <c r="AH21" s="174"/>
      <c r="AI21" s="174"/>
      <c r="AJ21" s="174"/>
      <c r="AK21" s="174"/>
      <c r="AL21" s="174"/>
      <c r="AM21" s="174"/>
      <c r="AN21" s="174"/>
      <c r="AO21" s="174"/>
      <c r="AP21" s="174"/>
      <c r="AQ21" s="174"/>
      <c r="AR21" s="174"/>
      <c r="AS21" s="174"/>
      <c r="AT21" s="174"/>
      <c r="AU21" s="174"/>
      <c r="AV21" s="174"/>
      <c r="AW21" s="174"/>
      <c r="AX21" s="174"/>
      <c r="AY21" s="716"/>
      <c r="AZ21" s="717"/>
      <c r="BA21" s="717"/>
      <c r="BB21" s="717"/>
      <c r="BC21" s="718"/>
      <c r="BD21" s="724"/>
      <c r="BE21" s="724"/>
      <c r="BF21" s="724"/>
      <c r="BG21" s="724"/>
      <c r="BH21" s="725"/>
      <c r="BI21" s="174"/>
      <c r="BJ21" s="174"/>
      <c r="BK21" s="174"/>
      <c r="BL21" s="55"/>
      <c r="BM21" s="55"/>
      <c r="BN21" s="55"/>
      <c r="BO21" s="55"/>
      <c r="BP21" s="55"/>
      <c r="BQ21" s="55"/>
      <c r="BR21" s="55"/>
      <c r="BS21" s="55"/>
      <c r="BT21" s="55"/>
      <c r="BU21" s="55"/>
      <c r="BV21" s="174"/>
      <c r="BW21" s="174"/>
      <c r="BX21" s="174"/>
      <c r="BY21" s="174"/>
      <c r="BZ21" s="174"/>
      <c r="CA21" s="174"/>
      <c r="CB21" s="177"/>
    </row>
    <row r="22" spans="2:80" ht="9.9499999999999993" customHeight="1" thickBot="1">
      <c r="B22" s="1"/>
      <c r="C22" s="174"/>
      <c r="D22" s="174"/>
      <c r="E22" s="174"/>
      <c r="F22" s="174"/>
      <c r="G22" s="174"/>
      <c r="H22" s="174"/>
      <c r="I22" s="174"/>
      <c r="J22" s="174"/>
      <c r="K22" s="174"/>
      <c r="L22" s="174"/>
      <c r="M22" s="174"/>
      <c r="N22" s="174"/>
      <c r="O22" s="174"/>
      <c r="P22" s="174"/>
      <c r="Q22" s="174"/>
      <c r="R22" s="174"/>
      <c r="S22" s="174"/>
      <c r="T22" s="174"/>
      <c r="U22" s="719"/>
      <c r="V22" s="720"/>
      <c r="W22" s="720"/>
      <c r="X22" s="720"/>
      <c r="Y22" s="721"/>
      <c r="Z22" s="726"/>
      <c r="AA22" s="726"/>
      <c r="AB22" s="726"/>
      <c r="AC22" s="726"/>
      <c r="AD22" s="727"/>
      <c r="AE22" s="174"/>
      <c r="AF22" s="174"/>
      <c r="AG22" s="174"/>
      <c r="AH22" s="174"/>
      <c r="AI22" s="174"/>
      <c r="AJ22" s="174"/>
      <c r="AK22" s="174"/>
      <c r="AL22" s="174"/>
      <c r="AM22" s="174"/>
      <c r="AN22" s="174"/>
      <c r="AO22" s="174"/>
      <c r="AP22" s="174"/>
      <c r="AQ22" s="174"/>
      <c r="AR22" s="174"/>
      <c r="AS22" s="174"/>
      <c r="AT22" s="174"/>
      <c r="AU22" s="174"/>
      <c r="AV22" s="174"/>
      <c r="AW22" s="174"/>
      <c r="AX22" s="174"/>
      <c r="AY22" s="719"/>
      <c r="AZ22" s="720"/>
      <c r="BA22" s="720"/>
      <c r="BB22" s="720"/>
      <c r="BC22" s="721"/>
      <c r="BD22" s="726"/>
      <c r="BE22" s="726"/>
      <c r="BF22" s="726"/>
      <c r="BG22" s="726"/>
      <c r="BH22" s="727"/>
      <c r="BI22" s="174"/>
      <c r="BJ22" s="174"/>
      <c r="BK22" s="174"/>
      <c r="BL22" s="55"/>
      <c r="BM22" s="55"/>
      <c r="BN22" s="55"/>
      <c r="BO22" s="55"/>
      <c r="BP22" s="55"/>
      <c r="BQ22" s="55"/>
      <c r="BR22" s="55"/>
      <c r="BS22" s="55"/>
      <c r="BT22" s="55"/>
      <c r="BU22" s="55"/>
      <c r="BV22" s="174"/>
      <c r="BW22" s="174"/>
      <c r="BX22" s="174"/>
      <c r="BY22" s="174"/>
      <c r="BZ22" s="174"/>
      <c r="CA22" s="174"/>
      <c r="CB22" s="177"/>
    </row>
    <row r="23" spans="2:80"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7"/>
    </row>
    <row r="24" spans="2:80"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7"/>
    </row>
    <row r="25" spans="2:80"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7"/>
    </row>
    <row r="26" spans="2:80"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7"/>
    </row>
    <row r="27" spans="2:80"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168"/>
      <c r="X55" s="705" t="s">
        <v>101</v>
      </c>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159</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763"/>
      <c r="AE62" s="764"/>
      <c r="AF62" s="765"/>
      <c r="AG62" s="769"/>
      <c r="AH62" s="764"/>
      <c r="AI62" s="765"/>
      <c r="AJ62" s="769"/>
      <c r="AK62" s="764"/>
      <c r="AL62" s="771"/>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766"/>
      <c r="AE63" s="767"/>
      <c r="AF63" s="768"/>
      <c r="AG63" s="770"/>
      <c r="AH63" s="767"/>
      <c r="AI63" s="768"/>
      <c r="AJ63" s="770"/>
      <c r="AK63" s="767"/>
      <c r="AL63" s="772"/>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41"/>
      <c r="BQ63" s="19"/>
      <c r="BR63" s="19"/>
      <c r="BS63" s="6"/>
      <c r="BT63" s="6"/>
      <c r="BU63" s="6"/>
      <c r="BV63" s="6"/>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766"/>
      <c r="AE64" s="767"/>
      <c r="AF64" s="768"/>
      <c r="AG64" s="770"/>
      <c r="AH64" s="767"/>
      <c r="AI64" s="768"/>
      <c r="AJ64" s="770"/>
      <c r="AK64" s="767"/>
      <c r="AL64" s="772"/>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41"/>
      <c r="BQ64" s="19"/>
      <c r="BR64" s="19"/>
      <c r="BS64" s="6"/>
      <c r="BT64" s="6"/>
      <c r="BU64" s="6"/>
      <c r="BV64" s="6"/>
      <c r="BW64" s="174"/>
      <c r="BX64" s="174"/>
      <c r="BY64" s="174"/>
      <c r="BZ64" s="174"/>
      <c r="CA64" s="174"/>
      <c r="CB64" s="177"/>
    </row>
    <row r="65" spans="2:80"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766"/>
      <c r="AE65" s="767"/>
      <c r="AF65" s="768"/>
      <c r="AG65" s="770"/>
      <c r="AH65" s="767"/>
      <c r="AI65" s="768"/>
      <c r="AJ65" s="770"/>
      <c r="AK65" s="767"/>
      <c r="AL65" s="772"/>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41"/>
      <c r="BQ65" s="19"/>
      <c r="BR65" s="19"/>
      <c r="BS65" s="6"/>
      <c r="BT65" s="6"/>
      <c r="BU65" s="6"/>
      <c r="BV65" s="6"/>
      <c r="BW65" s="174"/>
      <c r="BX65" s="174"/>
      <c r="BY65" s="174"/>
      <c r="BZ65" s="174"/>
      <c r="CA65" s="174"/>
      <c r="CB65" s="177"/>
    </row>
    <row r="66" spans="2:80"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886" t="s">
        <v>99</v>
      </c>
      <c r="AE66" s="887"/>
      <c r="AF66" s="888"/>
      <c r="AG66" s="889" t="s">
        <v>99</v>
      </c>
      <c r="AH66" s="887"/>
      <c r="AI66" s="888"/>
      <c r="AJ66" s="889" t="s">
        <v>99</v>
      </c>
      <c r="AK66" s="887"/>
      <c r="AL66" s="890"/>
      <c r="AM66" s="174"/>
      <c r="AN66" s="174"/>
      <c r="AO66" s="174"/>
      <c r="AP66" s="174"/>
      <c r="AQ66" s="174"/>
      <c r="AR66" s="174"/>
      <c r="AS66" s="910">
        <v>1</v>
      </c>
      <c r="AT66" s="940">
        <f>WBR_Master</f>
        <v>625</v>
      </c>
      <c r="AU66" s="943" t="s">
        <v>99</v>
      </c>
      <c r="AV66" s="789"/>
      <c r="AW66" s="789"/>
      <c r="AX66" s="789"/>
      <c r="AY66" s="812"/>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891">
        <f>SBR_Master</f>
        <v>0</v>
      </c>
      <c r="AE67" s="892"/>
      <c r="AF67" s="893"/>
      <c r="AG67" s="894">
        <f>SBT_Master</f>
        <v>1447</v>
      </c>
      <c r="AH67" s="892"/>
      <c r="AI67" s="893"/>
      <c r="AJ67" s="894">
        <f>SBL_Master</f>
        <v>607</v>
      </c>
      <c r="AK67" s="892"/>
      <c r="AL67" s="895"/>
      <c r="AM67" s="174"/>
      <c r="AN67" s="174"/>
      <c r="AO67" s="174"/>
      <c r="AP67" s="174"/>
      <c r="AQ67" s="174"/>
      <c r="AR67" s="174"/>
      <c r="AS67" s="911"/>
      <c r="AT67" s="941"/>
      <c r="AU67" s="944"/>
      <c r="AV67" s="791"/>
      <c r="AW67" s="791"/>
      <c r="AX67" s="791"/>
      <c r="AY67" s="813"/>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thickBo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928">
        <v>1</v>
      </c>
      <c r="AE68" s="929"/>
      <c r="AF68" s="929"/>
      <c r="AG68" s="1037">
        <v>3</v>
      </c>
      <c r="AH68" s="1035"/>
      <c r="AI68" s="1035"/>
      <c r="AJ68" s="1035"/>
      <c r="AK68" s="1035"/>
      <c r="AL68" s="1038"/>
      <c r="AM68" s="174"/>
      <c r="AN68" s="174"/>
      <c r="AO68" s="174"/>
      <c r="AP68" s="174"/>
      <c r="AQ68" s="174"/>
      <c r="AR68" s="174"/>
      <c r="AS68" s="912"/>
      <c r="AT68" s="942"/>
      <c r="AU68" s="945"/>
      <c r="AV68" s="793"/>
      <c r="AW68" s="793"/>
      <c r="AX68" s="793"/>
      <c r="AY68" s="814"/>
      <c r="AZ68" s="174"/>
      <c r="BA68" s="174"/>
      <c r="BB68" s="174"/>
      <c r="BC68" s="174"/>
      <c r="BD68" s="174"/>
      <c r="BE68" s="174"/>
      <c r="BF68" s="174"/>
      <c r="BG68" s="174"/>
      <c r="BH68" s="174"/>
      <c r="BI68" s="174"/>
      <c r="BJ68" s="174"/>
      <c r="BK68" s="174"/>
      <c r="BL68" s="174"/>
      <c r="BM68" s="174"/>
      <c r="BN68" s="174"/>
      <c r="BO68" s="174"/>
      <c r="BP68" s="174"/>
      <c r="BQ68" s="174"/>
      <c r="BR68" s="4"/>
      <c r="BS68" s="4"/>
      <c r="BT68" s="4"/>
      <c r="BU68" s="174"/>
      <c r="BV68" s="174"/>
      <c r="BW68" s="174"/>
      <c r="BX68" s="174"/>
      <c r="BY68" s="174"/>
      <c r="BZ68" s="174"/>
      <c r="CA68" s="174"/>
      <c r="CB68" s="177"/>
    </row>
    <row r="69" spans="2:80"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56"/>
      <c r="AH69" s="175"/>
      <c r="AI69" s="175"/>
      <c r="AJ69" s="175"/>
      <c r="AK69" s="175"/>
      <c r="AL69" s="175"/>
      <c r="AM69" s="175"/>
      <c r="AN69" s="175"/>
      <c r="AO69" s="175"/>
      <c r="AP69" s="175"/>
      <c r="AQ69" s="175"/>
      <c r="AR69" s="176"/>
      <c r="AS69" s="951">
        <v>1</v>
      </c>
      <c r="AT69" s="955">
        <f>WBL_Master</f>
        <v>588</v>
      </c>
      <c r="AU69" s="956" t="s">
        <v>99</v>
      </c>
      <c r="AV69" s="816"/>
      <c r="AW69" s="816"/>
      <c r="AX69" s="816"/>
      <c r="AY69" s="822"/>
      <c r="AZ69" s="174"/>
      <c r="BA69" s="174"/>
      <c r="BB69" s="174"/>
      <c r="BC69" s="174"/>
      <c r="BD69" s="174"/>
      <c r="BE69" s="174"/>
      <c r="BF69" s="174"/>
      <c r="BG69" s="174"/>
      <c r="BH69" s="174"/>
      <c r="BI69" s="174"/>
      <c r="BJ69" s="174"/>
      <c r="BK69" s="174"/>
      <c r="BL69" s="174"/>
      <c r="BM69" s="174"/>
      <c r="BN69" s="174"/>
      <c r="BO69" s="174"/>
      <c r="BP69" s="174"/>
      <c r="BQ69" s="174"/>
      <c r="BR69" s="4"/>
      <c r="BS69" s="4"/>
      <c r="BT69" s="4"/>
      <c r="BU69" s="174"/>
      <c r="BV69" s="174"/>
      <c r="BW69" s="174"/>
      <c r="BX69" s="174"/>
      <c r="BY69" s="174"/>
      <c r="BZ69" s="174"/>
      <c r="CA69" s="174"/>
      <c r="CB69" s="177"/>
    </row>
    <row r="70" spans="2:80"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58"/>
      <c r="AH70" s="109"/>
      <c r="AI70" s="109"/>
      <c r="AJ70" s="109"/>
      <c r="AK70" s="109"/>
      <c r="AL70" s="109"/>
      <c r="AM70" s="109"/>
      <c r="AN70" s="109"/>
      <c r="AO70" s="109"/>
      <c r="AP70" s="109"/>
      <c r="AQ70" s="109"/>
      <c r="AR70" s="60"/>
      <c r="AS70" s="911"/>
      <c r="AT70" s="941"/>
      <c r="AU70" s="944"/>
      <c r="AV70" s="791"/>
      <c r="AW70" s="791"/>
      <c r="AX70" s="791"/>
      <c r="AY70" s="813"/>
      <c r="AZ70" s="174"/>
      <c r="BA70" s="174"/>
      <c r="BB70" s="174"/>
      <c r="BC70" s="174"/>
      <c r="BD70" s="174"/>
      <c r="BE70" s="174"/>
      <c r="BF70" s="174"/>
      <c r="BG70" s="174"/>
      <c r="BH70" s="174"/>
      <c r="BI70" s="174"/>
      <c r="BJ70" s="174"/>
      <c r="BK70" s="174"/>
      <c r="BL70" s="174"/>
      <c r="BM70" s="174"/>
      <c r="BN70" s="174"/>
      <c r="BO70" s="174"/>
      <c r="BP70" s="174"/>
      <c r="BQ70" s="174"/>
      <c r="BR70" s="4"/>
      <c r="BS70" s="4"/>
      <c r="BT70" s="4"/>
      <c r="BU70" s="174"/>
      <c r="BV70" s="174"/>
      <c r="BW70" s="174"/>
      <c r="BX70" s="174"/>
      <c r="BY70" s="174"/>
      <c r="BZ70" s="174"/>
      <c r="CA70" s="174"/>
      <c r="CB70" s="177"/>
    </row>
    <row r="71" spans="2:80" ht="9.9499999999999993" customHeight="1" thickBo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58"/>
      <c r="AH71" s="109"/>
      <c r="AI71" s="109"/>
      <c r="AJ71" s="109"/>
      <c r="AK71" s="109"/>
      <c r="AL71" s="109"/>
      <c r="AM71" s="109"/>
      <c r="AN71" s="109"/>
      <c r="AO71" s="109"/>
      <c r="AP71" s="109"/>
      <c r="AQ71" s="109"/>
      <c r="AR71" s="60"/>
      <c r="AS71" s="957"/>
      <c r="AT71" s="966"/>
      <c r="AU71" s="967"/>
      <c r="AV71" s="825"/>
      <c r="AW71" s="825"/>
      <c r="AX71" s="825"/>
      <c r="AY71" s="832"/>
      <c r="AZ71" s="174"/>
      <c r="BA71" s="174"/>
      <c r="BB71" s="174"/>
      <c r="BC71" s="174"/>
      <c r="BD71" s="174"/>
      <c r="BE71" s="174"/>
      <c r="BF71" s="174"/>
      <c r="BG71" s="174"/>
      <c r="BH71" s="174"/>
      <c r="BI71" s="174"/>
      <c r="BJ71" s="174"/>
      <c r="BK71" s="174"/>
      <c r="BL71" s="174"/>
      <c r="BM71" s="174"/>
      <c r="BN71" s="174"/>
      <c r="BO71" s="174"/>
      <c r="BP71" s="174"/>
      <c r="BQ71" s="174"/>
      <c r="BR71" s="4"/>
      <c r="BS71" s="4"/>
      <c r="BT71" s="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58"/>
      <c r="AH72" s="109"/>
      <c r="AI72" s="763"/>
      <c r="AJ72" s="764"/>
      <c r="AK72" s="764"/>
      <c r="AL72" s="764"/>
      <c r="AM72" s="764"/>
      <c r="AN72" s="764"/>
      <c r="AO72" s="764"/>
      <c r="AP72" s="771"/>
      <c r="AQ72" s="109"/>
      <c r="AR72" s="60"/>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6"/>
      <c r="BS72" s="16"/>
      <c r="BT72" s="16"/>
      <c r="BU72" s="174"/>
      <c r="BV72" s="174"/>
      <c r="BW72" s="174"/>
      <c r="BX72" s="174"/>
      <c r="BY72" s="174"/>
      <c r="BZ72" s="174"/>
      <c r="CA72" s="174"/>
      <c r="CB72" s="177"/>
    </row>
    <row r="73" spans="2:80"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58"/>
      <c r="AH73" s="109"/>
      <c r="AI73" s="766"/>
      <c r="AJ73" s="767"/>
      <c r="AK73" s="767"/>
      <c r="AL73" s="767"/>
      <c r="AM73" s="767"/>
      <c r="AN73" s="767"/>
      <c r="AO73" s="767"/>
      <c r="AP73" s="772"/>
      <c r="AQ73" s="109"/>
      <c r="AR73" s="60"/>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22"/>
      <c r="BS73" s="22"/>
      <c r="BT73" s="22"/>
      <c r="BU73" s="174"/>
      <c r="BV73" s="174"/>
      <c r="BW73" s="174"/>
      <c r="BX73" s="174"/>
      <c r="BY73" s="174"/>
      <c r="BZ73" s="174"/>
      <c r="CA73" s="174"/>
      <c r="CB73" s="177"/>
    </row>
    <row r="74" spans="2:80" ht="9.9499999999999993" customHeight="1">
      <c r="B74" s="1"/>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58"/>
      <c r="AH74" s="109"/>
      <c r="AI74" s="766"/>
      <c r="AJ74" s="767"/>
      <c r="AK74" s="767"/>
      <c r="AL74" s="767"/>
      <c r="AM74" s="767"/>
      <c r="AN74" s="767"/>
      <c r="AO74" s="767"/>
      <c r="AP74" s="772"/>
      <c r="AQ74" s="109"/>
      <c r="AR74" s="60"/>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54"/>
      <c r="BS74" s="54"/>
      <c r="BT74" s="54"/>
      <c r="BU74" s="174"/>
      <c r="BV74" s="174"/>
      <c r="BW74" s="174"/>
      <c r="BX74" s="174"/>
      <c r="BY74" s="174"/>
      <c r="BZ74" s="174"/>
      <c r="CA74" s="174"/>
      <c r="CB74" s="177"/>
    </row>
    <row r="75" spans="2:80" ht="9.9499999999999993" customHeight="1">
      <c r="B75" s="1"/>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58"/>
      <c r="AH75" s="109"/>
      <c r="AI75" s="1833">
        <f>MAX((AJ67+AG67)/AG68, AP82/AP81)+(AT69/LTAF/AS69)+(AM82/LTAF/AM81)</f>
        <v>1338.6140350877195</v>
      </c>
      <c r="AJ75" s="1834"/>
      <c r="AK75" s="1834"/>
      <c r="AL75" s="1834"/>
      <c r="AM75" s="1834"/>
      <c r="AN75" s="1834"/>
      <c r="AO75" s="1834"/>
      <c r="AP75" s="1835"/>
      <c r="AQ75" s="109"/>
      <c r="AR75" s="60"/>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54"/>
      <c r="BO75" s="54"/>
      <c r="BP75" s="54"/>
      <c r="BQ75" s="174"/>
      <c r="BR75" s="174"/>
      <c r="BS75" s="174"/>
      <c r="BT75" s="174"/>
      <c r="BU75" s="174"/>
      <c r="BV75" s="174"/>
      <c r="BW75" s="174"/>
      <c r="BX75" s="174"/>
      <c r="BY75" s="174"/>
      <c r="BZ75" s="174"/>
      <c r="CA75" s="174"/>
      <c r="CB75" s="177"/>
    </row>
    <row r="76" spans="2:80" ht="9.9499999999999993" customHeight="1">
      <c r="B76" s="1"/>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58"/>
      <c r="AH76" s="109"/>
      <c r="AI76" s="1833"/>
      <c r="AJ76" s="1834"/>
      <c r="AK76" s="1834"/>
      <c r="AL76" s="1834"/>
      <c r="AM76" s="1834"/>
      <c r="AN76" s="1834"/>
      <c r="AO76" s="1834"/>
      <c r="AP76" s="1835"/>
      <c r="AQ76" s="109"/>
      <c r="AR76" s="60"/>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6"/>
      <c r="BO76" s="16"/>
      <c r="BP76" s="16"/>
      <c r="BQ76" s="6"/>
      <c r="BR76" s="6"/>
      <c r="BS76" s="6"/>
      <c r="BT76" s="6"/>
      <c r="BU76" s="18"/>
      <c r="BV76" s="18"/>
      <c r="BW76" s="24"/>
      <c r="BX76" s="174"/>
      <c r="BY76" s="174"/>
      <c r="BZ76" s="174"/>
      <c r="CA76" s="174"/>
      <c r="CB76" s="177"/>
    </row>
    <row r="77" spans="2:80" ht="9.9499999999999993" customHeight="1" thickBot="1">
      <c r="B77" s="1"/>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58"/>
      <c r="AH77" s="109"/>
      <c r="AI77" s="1836"/>
      <c r="AJ77" s="1837"/>
      <c r="AK77" s="1837"/>
      <c r="AL77" s="1837"/>
      <c r="AM77" s="1837"/>
      <c r="AN77" s="1837"/>
      <c r="AO77" s="1837"/>
      <c r="AP77" s="1838"/>
      <c r="AQ77" s="109"/>
      <c r="AR77" s="60"/>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6"/>
      <c r="BO77" s="16"/>
      <c r="BP77" s="16"/>
      <c r="BQ77" s="6"/>
      <c r="BR77" s="6"/>
      <c r="BS77" s="6"/>
      <c r="BT77" s="6"/>
      <c r="BU77" s="18"/>
      <c r="BV77" s="18"/>
      <c r="BW77" s="24"/>
      <c r="BX77" s="174"/>
      <c r="BY77" s="174"/>
      <c r="BZ77" s="174"/>
      <c r="CA77" s="174"/>
      <c r="CB77" s="177"/>
    </row>
    <row r="78" spans="2:80" ht="9.9499999999999993" customHeight="1">
      <c r="B78" s="1"/>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58"/>
      <c r="AH78" s="109"/>
      <c r="AI78" s="109"/>
      <c r="AJ78" s="109"/>
      <c r="AK78" s="109"/>
      <c r="AL78" s="109"/>
      <c r="AM78" s="109"/>
      <c r="AN78" s="109"/>
      <c r="AO78" s="109"/>
      <c r="AP78" s="109"/>
      <c r="AQ78" s="109"/>
      <c r="AR78" s="60"/>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4"/>
      <c r="BO78" s="4"/>
      <c r="BP78" s="4"/>
      <c r="BQ78" s="6"/>
      <c r="BR78" s="6"/>
      <c r="BS78" s="6"/>
      <c r="BT78" s="6"/>
      <c r="BU78" s="18"/>
      <c r="BV78" s="18"/>
      <c r="BW78" s="24"/>
      <c r="BX78" s="174"/>
      <c r="BY78" s="174"/>
      <c r="BZ78" s="174"/>
      <c r="CA78" s="174"/>
      <c r="CB78" s="177"/>
    </row>
    <row r="79" spans="2:80" ht="9.9499999999999993" customHeight="1">
      <c r="B79" s="1"/>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58"/>
      <c r="AH79" s="109"/>
      <c r="AI79" s="109"/>
      <c r="AJ79" s="109"/>
      <c r="AK79" s="109"/>
      <c r="AL79" s="109"/>
      <c r="AM79" s="109"/>
      <c r="AN79" s="109"/>
      <c r="AO79" s="109"/>
      <c r="AP79" s="109"/>
      <c r="AQ79" s="109"/>
      <c r="AR79" s="60"/>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4"/>
      <c r="BO79" s="4"/>
      <c r="BP79" s="4"/>
      <c r="BQ79" s="41"/>
      <c r="BR79" s="19"/>
      <c r="BS79" s="19"/>
      <c r="BT79" s="6"/>
      <c r="BU79" s="6"/>
      <c r="BV79" s="6"/>
      <c r="BW79" s="6"/>
      <c r="BX79" s="174"/>
      <c r="BY79" s="174"/>
      <c r="BZ79" s="174"/>
      <c r="CA79" s="174"/>
      <c r="CB79" s="177"/>
    </row>
    <row r="80" spans="2:80" ht="9.9499999999999993" customHeight="1" thickBot="1">
      <c r="B80" s="1"/>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61"/>
      <c r="AH80" s="110"/>
      <c r="AI80" s="110"/>
      <c r="AJ80" s="110"/>
      <c r="AK80" s="110"/>
      <c r="AL80" s="110"/>
      <c r="AM80" s="110"/>
      <c r="AN80" s="110"/>
      <c r="AO80" s="110"/>
      <c r="AP80" s="110"/>
      <c r="AQ80" s="110"/>
      <c r="AR80" s="63"/>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4"/>
      <c r="BO80" s="4"/>
      <c r="BP80" s="4"/>
      <c r="BQ80" s="41"/>
      <c r="BR80" s="19"/>
      <c r="BS80" s="19"/>
      <c r="BT80" s="6"/>
      <c r="BU80" s="6"/>
      <c r="BV80" s="6"/>
      <c r="BW80" s="6"/>
      <c r="BX80" s="174"/>
      <c r="BY80" s="174"/>
      <c r="BZ80" s="174"/>
      <c r="CA80" s="174"/>
      <c r="CB80" s="177"/>
    </row>
    <row r="81" spans="2:80" ht="9.9499999999999993" customHeight="1">
      <c r="B81" s="1"/>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968">
        <v>1</v>
      </c>
      <c r="AN81" s="969"/>
      <c r="AO81" s="970"/>
      <c r="AP81" s="971">
        <v>3</v>
      </c>
      <c r="AQ81" s="969"/>
      <c r="AR81" s="970"/>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4"/>
      <c r="BO81" s="4"/>
      <c r="BP81" s="4"/>
      <c r="BQ81" s="41"/>
      <c r="BR81" s="19"/>
      <c r="BS81" s="19"/>
      <c r="BT81" s="6"/>
      <c r="BU81" s="6"/>
      <c r="BV81" s="6"/>
      <c r="BW81" s="6"/>
      <c r="BX81" s="174"/>
      <c r="BY81" s="174"/>
      <c r="BZ81" s="174"/>
      <c r="CA81" s="174"/>
      <c r="CB81" s="177"/>
    </row>
    <row r="82" spans="2:80" ht="9.9499999999999993" customHeight="1">
      <c r="B82" s="1"/>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24"/>
      <c r="AH82" s="18"/>
      <c r="AI82" s="174"/>
      <c r="AJ82" s="174"/>
      <c r="AK82" s="174"/>
      <c r="AL82" s="174"/>
      <c r="AM82" s="973">
        <f>AM105</f>
        <v>0</v>
      </c>
      <c r="AN82" s="974"/>
      <c r="AO82" s="975"/>
      <c r="AP82" s="976">
        <f>AE101+AP105</f>
        <v>2159</v>
      </c>
      <c r="AQ82" s="974"/>
      <c r="AR82" s="975"/>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6"/>
      <c r="BO82" s="6"/>
      <c r="BP82" s="6"/>
      <c r="BQ82" s="6"/>
      <c r="BR82" s="18"/>
      <c r="BS82" s="18"/>
      <c r="BT82" s="24"/>
      <c r="BU82" s="54"/>
      <c r="BV82" s="54"/>
      <c r="BW82" s="54"/>
      <c r="BX82" s="174"/>
      <c r="BY82" s="174"/>
      <c r="BZ82" s="174"/>
      <c r="CA82" s="174"/>
      <c r="CB82" s="177"/>
    </row>
    <row r="83" spans="2:80" ht="9.9499999999999993" customHeight="1">
      <c r="B83" s="1"/>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918" t="s">
        <v>99</v>
      </c>
      <c r="AN83" s="919"/>
      <c r="AO83" s="920"/>
      <c r="AP83" s="921" t="s">
        <v>99</v>
      </c>
      <c r="AQ83" s="919"/>
      <c r="AR83" s="920"/>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6"/>
      <c r="BO83" s="6"/>
      <c r="BP83" s="6"/>
      <c r="BQ83" s="6"/>
      <c r="BR83" s="18"/>
      <c r="BS83" s="18"/>
      <c r="BT83" s="24"/>
      <c r="BU83" s="16"/>
      <c r="BV83" s="16"/>
      <c r="BW83" s="16"/>
      <c r="BX83" s="174"/>
      <c r="BY83" s="174"/>
      <c r="BZ83" s="174"/>
      <c r="CA83" s="174"/>
      <c r="CB83" s="177"/>
    </row>
    <row r="84" spans="2:80" ht="9.9499999999999993" customHeight="1" thickBot="1">
      <c r="B84" s="1"/>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4"/>
      <c r="AM84" s="766"/>
      <c r="AN84" s="767"/>
      <c r="AO84" s="768"/>
      <c r="AP84" s="770"/>
      <c r="AQ84" s="767"/>
      <c r="AR84" s="768"/>
      <c r="AS84" s="4"/>
      <c r="AT84" s="174"/>
      <c r="AU84" s="174"/>
      <c r="AV84" s="174"/>
      <c r="AW84" s="174"/>
      <c r="AX84" s="174"/>
      <c r="AY84" s="174"/>
      <c r="AZ84" s="174"/>
      <c r="BA84" s="174"/>
      <c r="BB84" s="174"/>
      <c r="BC84" s="174"/>
      <c r="BD84" s="174"/>
      <c r="BE84" s="174"/>
      <c r="BF84" s="174"/>
      <c r="BG84" s="174"/>
      <c r="BH84" s="174"/>
      <c r="BI84" s="174"/>
      <c r="BJ84" s="174"/>
      <c r="BK84" s="174"/>
      <c r="BL84" s="174"/>
      <c r="BM84" s="174"/>
      <c r="BN84" s="6"/>
      <c r="BO84" s="6"/>
      <c r="BP84" s="6"/>
      <c r="BQ84" s="6"/>
      <c r="BR84" s="18"/>
      <c r="BS84" s="18"/>
      <c r="BT84" s="24"/>
      <c r="BU84" s="16"/>
      <c r="BV84" s="16"/>
      <c r="BW84" s="16"/>
      <c r="BX84" s="174"/>
      <c r="BY84" s="174"/>
      <c r="BZ84" s="174"/>
      <c r="CA84" s="174"/>
      <c r="CB84" s="177"/>
    </row>
    <row r="85" spans="2:80" ht="9.9499999999999993" customHeight="1">
      <c r="B85" s="1"/>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763"/>
      <c r="AH85" s="764"/>
      <c r="AI85" s="771"/>
      <c r="AJ85" s="769"/>
      <c r="AK85" s="764"/>
      <c r="AL85" s="771"/>
      <c r="AM85" s="766"/>
      <c r="AN85" s="767"/>
      <c r="AO85" s="768"/>
      <c r="AP85" s="770"/>
      <c r="AQ85" s="767"/>
      <c r="AR85" s="768"/>
      <c r="AS85" s="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c r="BP85" s="174"/>
      <c r="BQ85" s="174"/>
      <c r="BR85" s="174"/>
      <c r="BS85" s="174"/>
      <c r="BT85" s="174"/>
      <c r="BU85" s="4"/>
      <c r="BV85" s="4"/>
      <c r="BW85" s="4"/>
      <c r="BX85" s="174"/>
      <c r="BY85" s="174"/>
      <c r="BZ85" s="174"/>
      <c r="CA85" s="174"/>
      <c r="CB85" s="177"/>
    </row>
    <row r="86" spans="2:80" ht="9.9499999999999993" customHeight="1">
      <c r="B86" s="1"/>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766"/>
      <c r="AH86" s="767"/>
      <c r="AI86" s="772"/>
      <c r="AJ86" s="770"/>
      <c r="AK86" s="767"/>
      <c r="AL86" s="772"/>
      <c r="AM86" s="766"/>
      <c r="AN86" s="767"/>
      <c r="AO86" s="768"/>
      <c r="AP86" s="770"/>
      <c r="AQ86" s="767"/>
      <c r="AR86" s="768"/>
      <c r="AS86" s="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4"/>
      <c r="BV86" s="4"/>
      <c r="BW86" s="4"/>
      <c r="BX86" s="174"/>
      <c r="BY86" s="174"/>
      <c r="BZ86" s="174"/>
      <c r="CA86" s="174"/>
      <c r="CB86" s="177"/>
    </row>
    <row r="87" spans="2:80" ht="9.9499999999999993" customHeight="1" thickBot="1">
      <c r="B87" s="1"/>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766"/>
      <c r="AH87" s="767"/>
      <c r="AI87" s="772"/>
      <c r="AJ87" s="770"/>
      <c r="AK87" s="767"/>
      <c r="AL87" s="772"/>
      <c r="AM87" s="849"/>
      <c r="AN87" s="705"/>
      <c r="AO87" s="850"/>
      <c r="AP87" s="851"/>
      <c r="AQ87" s="705"/>
      <c r="AR87" s="850"/>
      <c r="AS87" s="33"/>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4"/>
      <c r="BV87" s="4"/>
      <c r="BW87" s="4"/>
      <c r="BX87" s="174"/>
      <c r="BY87" s="174"/>
      <c r="BZ87" s="174"/>
      <c r="CA87" s="174"/>
      <c r="CB87" s="177"/>
    </row>
    <row r="88" spans="2:80" ht="9.9499999999999993" customHeight="1">
      <c r="B88" s="1"/>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766"/>
      <c r="AH88" s="767"/>
      <c r="AI88" s="772"/>
      <c r="AJ88" s="770"/>
      <c r="AK88" s="767"/>
      <c r="AL88" s="772"/>
      <c r="AM88" s="33"/>
      <c r="AN88" s="33"/>
      <c r="AO88" s="33"/>
      <c r="AP88" s="33"/>
      <c r="AQ88" s="33"/>
      <c r="AR88" s="33"/>
      <c r="AS88" s="33"/>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4"/>
      <c r="BV88" s="4"/>
      <c r="BW88" s="4"/>
      <c r="BX88" s="174"/>
      <c r="BY88" s="174"/>
      <c r="BZ88" s="174"/>
      <c r="CA88" s="174"/>
      <c r="CB88" s="177"/>
    </row>
    <row r="89" spans="2:80" ht="9.9499999999999993" customHeight="1">
      <c r="B89" s="1"/>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918" t="s">
        <v>99</v>
      </c>
      <c r="AH89" s="919"/>
      <c r="AI89" s="922"/>
      <c r="AJ89" s="921" t="s">
        <v>99</v>
      </c>
      <c r="AK89" s="919"/>
      <c r="AL89" s="922"/>
      <c r="AM89" s="33"/>
      <c r="AN89" s="33"/>
      <c r="AO89" s="33"/>
      <c r="AP89" s="33"/>
      <c r="AQ89" s="33"/>
      <c r="AR89" s="33"/>
      <c r="AS89" s="33"/>
      <c r="AT89" s="174"/>
      <c r="AU89" s="174"/>
      <c r="AV89" s="174"/>
      <c r="AW89" s="19"/>
      <c r="AX89" s="41"/>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7"/>
    </row>
    <row r="90" spans="2:80" ht="9.9499999999999993" customHeight="1">
      <c r="B90" s="1"/>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923">
        <f>AG67+AT69</f>
        <v>2035</v>
      </c>
      <c r="AH90" s="924"/>
      <c r="AI90" s="927"/>
      <c r="AJ90" s="926">
        <f>AJ67</f>
        <v>607</v>
      </c>
      <c r="AK90" s="924"/>
      <c r="AL90" s="927"/>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7"/>
    </row>
    <row r="91" spans="2:80" ht="9.9499999999999993" customHeight="1" thickBot="1">
      <c r="B91" s="1"/>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034">
        <v>3</v>
      </c>
      <c r="AH91" s="1035"/>
      <c r="AI91" s="1038"/>
      <c r="AJ91" s="1037">
        <v>1</v>
      </c>
      <c r="AK91" s="1035"/>
      <c r="AL91" s="1038"/>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4"/>
      <c r="CB91" s="177"/>
    </row>
    <row r="92" spans="2:80" ht="9.9499999999999993" customHeight="1">
      <c r="B92" s="1"/>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56"/>
      <c r="AH92" s="175"/>
      <c r="AI92" s="175"/>
      <c r="AJ92" s="175"/>
      <c r="AK92" s="175"/>
      <c r="AL92" s="175"/>
      <c r="AM92" s="175"/>
      <c r="AN92" s="175"/>
      <c r="AO92" s="175"/>
      <c r="AP92" s="175"/>
      <c r="AQ92" s="175"/>
      <c r="AR92" s="176"/>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174"/>
      <c r="CB92" s="177"/>
    </row>
    <row r="93" spans="2:80" ht="9.9499999999999993" customHeight="1">
      <c r="B93" s="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58"/>
      <c r="AH93" s="109"/>
      <c r="AI93" s="109"/>
      <c r="AJ93" s="109"/>
      <c r="AK93" s="109"/>
      <c r="AL93" s="109"/>
      <c r="AM93" s="109"/>
      <c r="AN93" s="109"/>
      <c r="AO93" s="109"/>
      <c r="AP93" s="109"/>
      <c r="AQ93" s="109"/>
      <c r="AR93" s="60"/>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7"/>
    </row>
    <row r="94" spans="2:80" ht="9.9499999999999993" customHeight="1" thickBo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58"/>
      <c r="AH94" s="109"/>
      <c r="AI94" s="109"/>
      <c r="AJ94" s="109"/>
      <c r="AK94" s="109"/>
      <c r="AL94" s="109"/>
      <c r="AM94" s="109"/>
      <c r="AN94" s="109"/>
      <c r="AO94" s="109"/>
      <c r="AP94" s="109"/>
      <c r="AQ94" s="109"/>
      <c r="AR94" s="60"/>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7"/>
    </row>
    <row r="95" spans="2:80" ht="9.9499999999999993" customHeigh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58"/>
      <c r="AH95" s="109"/>
      <c r="AI95" s="763"/>
      <c r="AJ95" s="764"/>
      <c r="AK95" s="764"/>
      <c r="AL95" s="764"/>
      <c r="AM95" s="764"/>
      <c r="AN95" s="764"/>
      <c r="AO95" s="764"/>
      <c r="AP95" s="771"/>
      <c r="AQ95" s="109"/>
      <c r="AR95" s="60"/>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58"/>
      <c r="AH96" s="109"/>
      <c r="AI96" s="766"/>
      <c r="AJ96" s="767"/>
      <c r="AK96" s="767"/>
      <c r="AL96" s="767"/>
      <c r="AM96" s="767"/>
      <c r="AN96" s="767"/>
      <c r="AO96" s="767"/>
      <c r="AP96" s="772"/>
      <c r="AQ96" s="109"/>
      <c r="AR96" s="60"/>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58"/>
      <c r="AH97" s="109"/>
      <c r="AI97" s="766"/>
      <c r="AJ97" s="767"/>
      <c r="AK97" s="767"/>
      <c r="AL97" s="767"/>
      <c r="AM97" s="767"/>
      <c r="AN97" s="767"/>
      <c r="AO97" s="767"/>
      <c r="AP97" s="772"/>
      <c r="AQ97" s="109"/>
      <c r="AR97" s="60"/>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58"/>
      <c r="AH98" s="109"/>
      <c r="AI98" s="1833">
        <f>MAX((AP105+AM105)/AM104, AG90/AG91)+(AJ90/LTAF/AJ91)+(AE101/LTAF/AF101)</f>
        <v>2263.5964912280701</v>
      </c>
      <c r="AJ98" s="1834"/>
      <c r="AK98" s="1834"/>
      <c r="AL98" s="1834"/>
      <c r="AM98" s="1834"/>
      <c r="AN98" s="1834"/>
      <c r="AO98" s="1834"/>
      <c r="AP98" s="1835"/>
      <c r="AQ98" s="109"/>
      <c r="AR98" s="60"/>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7"/>
    </row>
    <row r="99" spans="2:80" ht="9.9499999999999993" customHeigh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58"/>
      <c r="AH99" s="109"/>
      <c r="AI99" s="1833"/>
      <c r="AJ99" s="1834"/>
      <c r="AK99" s="1834"/>
      <c r="AL99" s="1834"/>
      <c r="AM99" s="1834"/>
      <c r="AN99" s="1834"/>
      <c r="AO99" s="1834"/>
      <c r="AP99" s="1835"/>
      <c r="AQ99" s="109"/>
      <c r="AR99" s="60"/>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7"/>
    </row>
    <row r="100" spans="2:80" ht="9.9499999999999993" customHeight="1" thickBo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58"/>
      <c r="AH100" s="109"/>
      <c r="AI100" s="1836"/>
      <c r="AJ100" s="1837"/>
      <c r="AK100" s="1837"/>
      <c r="AL100" s="1837"/>
      <c r="AM100" s="1837"/>
      <c r="AN100" s="1837"/>
      <c r="AO100" s="1837"/>
      <c r="AP100" s="1838"/>
      <c r="AQ100" s="109"/>
      <c r="AR100" s="60"/>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788"/>
      <c r="AA101" s="789"/>
      <c r="AB101" s="789"/>
      <c r="AC101" s="789"/>
      <c r="AD101" s="901" t="s">
        <v>99</v>
      </c>
      <c r="AE101" s="904">
        <f>EBL_Master</f>
        <v>899</v>
      </c>
      <c r="AF101" s="950">
        <v>1</v>
      </c>
      <c r="AG101" s="58"/>
      <c r="AH101" s="109"/>
      <c r="AI101" s="109"/>
      <c r="AJ101" s="109"/>
      <c r="AK101" s="109"/>
      <c r="AL101" s="109"/>
      <c r="AM101" s="109"/>
      <c r="AN101" s="109"/>
      <c r="AO101" s="109"/>
      <c r="AP101" s="109"/>
      <c r="AQ101" s="109"/>
      <c r="AR101" s="60"/>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7"/>
    </row>
    <row r="102" spans="2:80" ht="9.9499999999999993" customHeigh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790"/>
      <c r="AA102" s="791"/>
      <c r="AB102" s="791"/>
      <c r="AC102" s="791"/>
      <c r="AD102" s="902"/>
      <c r="AE102" s="905"/>
      <c r="AF102" s="938"/>
      <c r="AG102" s="58"/>
      <c r="AH102" s="109"/>
      <c r="AI102" s="109"/>
      <c r="AJ102" s="109"/>
      <c r="AK102" s="109"/>
      <c r="AL102" s="109"/>
      <c r="AM102" s="109"/>
      <c r="AN102" s="109"/>
      <c r="AO102" s="109"/>
      <c r="AP102" s="109"/>
      <c r="AQ102" s="109"/>
      <c r="AR102" s="60"/>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7"/>
    </row>
    <row r="103" spans="2:80" ht="9.9499999999999993" customHeight="1" thickBo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792"/>
      <c r="AA103" s="793"/>
      <c r="AB103" s="793"/>
      <c r="AC103" s="793"/>
      <c r="AD103" s="903"/>
      <c r="AE103" s="906"/>
      <c r="AF103" s="939"/>
      <c r="AG103" s="61"/>
      <c r="AH103" s="110"/>
      <c r="AI103" s="110"/>
      <c r="AJ103" s="110"/>
      <c r="AK103" s="110"/>
      <c r="AL103" s="110"/>
      <c r="AM103" s="110"/>
      <c r="AN103" s="110"/>
      <c r="AO103" s="110"/>
      <c r="AP103" s="110"/>
      <c r="AQ103" s="110"/>
      <c r="AR103" s="63"/>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815"/>
      <c r="AA104" s="816"/>
      <c r="AB104" s="816"/>
      <c r="AC104" s="816"/>
      <c r="AD104" s="946" t="s">
        <v>99</v>
      </c>
      <c r="AE104" s="947">
        <f>EBR_Master</f>
        <v>208</v>
      </c>
      <c r="AF104" s="937">
        <v>1</v>
      </c>
      <c r="AG104" s="174"/>
      <c r="AH104" s="174"/>
      <c r="AI104" s="174"/>
      <c r="AJ104" s="174"/>
      <c r="AK104" s="174"/>
      <c r="AL104" s="174"/>
      <c r="AM104" s="968">
        <v>3</v>
      </c>
      <c r="AN104" s="969"/>
      <c r="AO104" s="969"/>
      <c r="AP104" s="969"/>
      <c r="AQ104" s="969"/>
      <c r="AR104" s="970"/>
      <c r="AS104" s="971">
        <v>1</v>
      </c>
      <c r="AT104" s="969"/>
      <c r="AU104" s="972"/>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790"/>
      <c r="AA105" s="791"/>
      <c r="AB105" s="791"/>
      <c r="AC105" s="791"/>
      <c r="AD105" s="902"/>
      <c r="AE105" s="905"/>
      <c r="AF105" s="938"/>
      <c r="AG105" s="174"/>
      <c r="AH105" s="174"/>
      <c r="AI105" s="174"/>
      <c r="AJ105" s="174"/>
      <c r="AK105" s="174"/>
      <c r="AL105" s="174"/>
      <c r="AM105" s="983">
        <f>NBL_Master</f>
        <v>0</v>
      </c>
      <c r="AN105" s="984"/>
      <c r="AO105" s="985"/>
      <c r="AP105" s="986">
        <f>NBT_Master</f>
        <v>1260</v>
      </c>
      <c r="AQ105" s="984"/>
      <c r="AR105" s="985"/>
      <c r="AS105" s="986">
        <f>NBR_Master</f>
        <v>1060</v>
      </c>
      <c r="AT105" s="984"/>
      <c r="AU105" s="987"/>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thickBo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824"/>
      <c r="AA106" s="825"/>
      <c r="AB106" s="825"/>
      <c r="AC106" s="825"/>
      <c r="AD106" s="959"/>
      <c r="AE106" s="960"/>
      <c r="AF106" s="965"/>
      <c r="AG106" s="174"/>
      <c r="AH106" s="174"/>
      <c r="AI106" s="174"/>
      <c r="AJ106" s="174"/>
      <c r="AK106" s="174"/>
      <c r="AL106" s="174"/>
      <c r="AM106" s="886" t="s">
        <v>99</v>
      </c>
      <c r="AN106" s="887"/>
      <c r="AO106" s="888"/>
      <c r="AP106" s="889" t="s">
        <v>99</v>
      </c>
      <c r="AQ106" s="887"/>
      <c r="AR106" s="888"/>
      <c r="AS106" s="889" t="s">
        <v>99</v>
      </c>
      <c r="AT106" s="887"/>
      <c r="AU106" s="890"/>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766"/>
      <c r="AN107" s="767"/>
      <c r="AO107" s="768"/>
      <c r="AP107" s="770"/>
      <c r="AQ107" s="767"/>
      <c r="AR107" s="768"/>
      <c r="AS107" s="770"/>
      <c r="AT107" s="767"/>
      <c r="AU107" s="772"/>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766"/>
      <c r="AN108" s="767"/>
      <c r="AO108" s="768"/>
      <c r="AP108" s="770"/>
      <c r="AQ108" s="767"/>
      <c r="AR108" s="768"/>
      <c r="AS108" s="770"/>
      <c r="AT108" s="767"/>
      <c r="AU108" s="772"/>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766"/>
      <c r="AN109" s="767"/>
      <c r="AO109" s="768"/>
      <c r="AP109" s="770"/>
      <c r="AQ109" s="767"/>
      <c r="AR109" s="768"/>
      <c r="AS109" s="770"/>
      <c r="AT109" s="767"/>
      <c r="AU109" s="772"/>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thickBo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849"/>
      <c r="AN110" s="705"/>
      <c r="AO110" s="850"/>
      <c r="AP110" s="851"/>
      <c r="AQ110" s="705"/>
      <c r="AR110" s="850"/>
      <c r="AS110" s="851"/>
      <c r="AT110" s="705"/>
      <c r="AU110" s="852"/>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84">
    <mergeCell ref="AM107:AO110"/>
    <mergeCell ref="AP107:AR110"/>
    <mergeCell ref="AS107:AU110"/>
    <mergeCell ref="AM104:AR104"/>
    <mergeCell ref="AS104:AU104"/>
    <mergeCell ref="AM105:AO105"/>
    <mergeCell ref="AP105:AR105"/>
    <mergeCell ref="AS105:AU105"/>
    <mergeCell ref="AM106:AO106"/>
    <mergeCell ref="AP106:AR106"/>
    <mergeCell ref="AS106:AU106"/>
    <mergeCell ref="Z101:AC103"/>
    <mergeCell ref="AD101:AD103"/>
    <mergeCell ref="AE101:AE103"/>
    <mergeCell ref="AF101:AF103"/>
    <mergeCell ref="Z104:AC106"/>
    <mergeCell ref="AD104:AD106"/>
    <mergeCell ref="AE104:AE106"/>
    <mergeCell ref="AF104:AF106"/>
    <mergeCell ref="AI98:AP100"/>
    <mergeCell ref="AM84:AO87"/>
    <mergeCell ref="AP84:AR87"/>
    <mergeCell ref="AG85:AI88"/>
    <mergeCell ref="AJ85:AL88"/>
    <mergeCell ref="AG89:AI89"/>
    <mergeCell ref="AJ89:AL89"/>
    <mergeCell ref="AG90:AI90"/>
    <mergeCell ref="AJ90:AL90"/>
    <mergeCell ref="AG91:AI91"/>
    <mergeCell ref="AJ91:AL91"/>
    <mergeCell ref="AI95:AP97"/>
    <mergeCell ref="AM81:AO81"/>
    <mergeCell ref="AP81:AR81"/>
    <mergeCell ref="AM82:AO82"/>
    <mergeCell ref="AP82:AR82"/>
    <mergeCell ref="AM83:AO83"/>
    <mergeCell ref="AP83:AR83"/>
    <mergeCell ref="AI75:AP77"/>
    <mergeCell ref="AS66:AS68"/>
    <mergeCell ref="AT66:AT68"/>
    <mergeCell ref="AS69:AS71"/>
    <mergeCell ref="AT69:AT71"/>
    <mergeCell ref="AI72:AP74"/>
    <mergeCell ref="AJ66:AL66"/>
    <mergeCell ref="U17:AD19"/>
    <mergeCell ref="AY17:BH19"/>
    <mergeCell ref="B57:CB58"/>
    <mergeCell ref="BD8:BI9"/>
    <mergeCell ref="BJ8:BO9"/>
    <mergeCell ref="BP8:BU9"/>
    <mergeCell ref="BV8:CA9"/>
    <mergeCell ref="BD10:BO13"/>
    <mergeCell ref="BP10:CA13"/>
    <mergeCell ref="K8:BC9"/>
    <mergeCell ref="C10:J11"/>
    <mergeCell ref="K10:BC11"/>
    <mergeCell ref="C12:J13"/>
    <mergeCell ref="K12:BC13"/>
    <mergeCell ref="AD67:AF67"/>
    <mergeCell ref="AG67:AI67"/>
    <mergeCell ref="AJ67:AL67"/>
    <mergeCell ref="AU66:AU68"/>
    <mergeCell ref="AV66:AY68"/>
    <mergeCell ref="AD62:AF65"/>
    <mergeCell ref="AG62:AI65"/>
    <mergeCell ref="AJ62:AL65"/>
    <mergeCell ref="AD66:AF66"/>
    <mergeCell ref="AG66:AI66"/>
    <mergeCell ref="AU69:AU71"/>
    <mergeCell ref="AV69:AY71"/>
    <mergeCell ref="B1:CB2"/>
    <mergeCell ref="B3:CB4"/>
    <mergeCell ref="C6:J7"/>
    <mergeCell ref="K6:BC7"/>
    <mergeCell ref="BD6:CA7"/>
    <mergeCell ref="U20:Y22"/>
    <mergeCell ref="Z20:AD22"/>
    <mergeCell ref="AY20:BC22"/>
    <mergeCell ref="BD20:BH22"/>
    <mergeCell ref="X55:BE55"/>
    <mergeCell ref="AD68:AF68"/>
    <mergeCell ref="AG68:AL68"/>
    <mergeCell ref="B59:CB60"/>
    <mergeCell ref="C8:J9"/>
  </mergeCells>
  <conditionalFormatting sqref="U17 AY17 AI75 AI98">
    <cfRule type="cellIs" dxfId="59" priority="15" operator="between">
      <formula>0.75*CLV_Limit</formula>
      <formula>0.875*CLV_Limit-1</formula>
    </cfRule>
    <cfRule type="cellIs" dxfId="58" priority="16" operator="between">
      <formula>0.875*CLV_Limit</formula>
      <formula>CLV_Limit-1</formula>
    </cfRule>
    <cfRule type="cellIs" dxfId="57" priority="17" operator="greaterThan">
      <formula>CLV_Limit</formula>
    </cfRule>
  </conditionalFormatting>
  <conditionalFormatting sqref="BP10 U20 AY20">
    <cfRule type="cellIs" dxfId="56" priority="7" operator="between">
      <formula>0.75</formula>
      <formula>0.875</formula>
    </cfRule>
    <cfRule type="cellIs" dxfId="55" priority="8" operator="between">
      <formula>0.875</formula>
      <formula>1</formula>
    </cfRule>
    <cfRule type="cellIs" dxfId="54" priority="9"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theme="0" tint="-0.249977111117893"/>
  </sheetPr>
  <dimension ref="A1:HL157"/>
  <sheetViews>
    <sheetView showGridLines="0" showRowColHeaders="0" zoomScale="90" zoomScaleNormal="90" zoomScalePageLayoutView="85" workbookViewId="0">
      <selection activeCell="DH25" sqref="DH25:DH27"/>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220" width="1.7109375" hidden="1" customWidth="1"/>
    <col min="221" max="16384" width="9.140625" hidden="1"/>
  </cols>
  <sheetData>
    <row r="1" spans="2:123" ht="9.9499999999999993" customHeight="1">
      <c r="B1" s="571" t="s">
        <v>160</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160</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MAX(ROUND(AS33/CLV_Limit,2),ROUND(AS46/CLV_Limit,2))</f>
        <v>0.57999999999999996</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thickBo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74"/>
      <c r="AI20" s="174"/>
      <c r="AJ20" s="174"/>
      <c r="AK20" s="174"/>
      <c r="AL20" s="174"/>
      <c r="AM20" s="174"/>
      <c r="AN20" s="174"/>
      <c r="AO20" s="174"/>
      <c r="AP20" s="174"/>
      <c r="AQ20" s="174"/>
      <c r="AR20" s="174"/>
      <c r="AS20" s="29"/>
      <c r="AT20" s="28"/>
      <c r="AU20" s="28"/>
      <c r="AV20" s="28"/>
      <c r="AW20" s="28"/>
      <c r="AX20" s="28"/>
      <c r="AY20" s="28"/>
      <c r="AZ20" s="28"/>
      <c r="BA20" s="28"/>
      <c r="BB20" s="28"/>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74"/>
      <c r="AI21" s="174"/>
      <c r="AJ21" s="174"/>
      <c r="AK21" s="174"/>
      <c r="AL21" s="174"/>
      <c r="AM21" s="174"/>
      <c r="AN21" s="174"/>
      <c r="AO21" s="174"/>
      <c r="AP21" s="174"/>
      <c r="AQ21" s="174"/>
      <c r="AR21" s="174"/>
      <c r="AS21" s="28"/>
      <c r="AT21" s="28"/>
      <c r="AU21" s="28"/>
      <c r="AV21" s="28"/>
      <c r="AW21" s="28"/>
      <c r="AX21" s="28"/>
      <c r="AY21" s="28"/>
      <c r="AZ21" s="28"/>
      <c r="BA21" s="28"/>
      <c r="BB21" s="28"/>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763"/>
      <c r="CA21" s="764"/>
      <c r="CB21" s="771"/>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74"/>
      <c r="AI22" s="174"/>
      <c r="AJ22" s="174"/>
      <c r="AK22" s="174"/>
      <c r="AL22" s="174"/>
      <c r="AM22" s="174"/>
      <c r="AN22" s="174"/>
      <c r="AO22" s="174"/>
      <c r="AP22" s="174"/>
      <c r="AQ22" s="174"/>
      <c r="AR22" s="174"/>
      <c r="AS22" s="28"/>
      <c r="AT22" s="28"/>
      <c r="AU22" s="28"/>
      <c r="AV22" s="28"/>
      <c r="AW22" s="28"/>
      <c r="AX22" s="28"/>
      <c r="AY22" s="28"/>
      <c r="AZ22" s="28"/>
      <c r="BA22" s="28"/>
      <c r="BB22" s="28"/>
      <c r="BC22" s="174"/>
      <c r="BD22" s="27"/>
      <c r="BE22" s="27"/>
      <c r="BF22" s="27"/>
      <c r="BG22" s="174"/>
      <c r="BH22" s="174"/>
      <c r="BI22" s="177"/>
      <c r="BK22" s="174"/>
      <c r="BL22" s="1"/>
      <c r="BM22" s="174"/>
      <c r="BN22" s="174"/>
      <c r="BO22" s="174"/>
      <c r="BP22" s="174"/>
      <c r="BQ22" s="174"/>
      <c r="BR22" s="174"/>
      <c r="BS22" s="174"/>
      <c r="BT22" s="174"/>
      <c r="BU22" s="174"/>
      <c r="BV22" s="174"/>
      <c r="BW22" s="174"/>
      <c r="BX22" s="174"/>
      <c r="BY22" s="174"/>
      <c r="BZ22" s="766"/>
      <c r="CA22" s="767"/>
      <c r="CB22" s="772"/>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74"/>
      <c r="AI23" s="174"/>
      <c r="AJ23" s="174"/>
      <c r="AK23" s="174"/>
      <c r="AL23" s="174"/>
      <c r="AM23" s="174"/>
      <c r="AN23" s="174"/>
      <c r="AO23" s="174"/>
      <c r="AP23" s="174"/>
      <c r="AQ23" s="174"/>
      <c r="AR23" s="174"/>
      <c r="AS23" s="27"/>
      <c r="AT23" s="174"/>
      <c r="AU23" s="174"/>
      <c r="AV23" s="174"/>
      <c r="AW23" s="174"/>
      <c r="AX23" s="174"/>
      <c r="AY23" s="174"/>
      <c r="AZ23" s="174"/>
      <c r="BA23" s="174"/>
      <c r="BB23" s="174"/>
      <c r="BC23" s="174"/>
      <c r="BD23" s="174"/>
      <c r="BE23" s="174"/>
      <c r="BF23" s="174"/>
      <c r="BG23" s="14"/>
      <c r="BH23" s="174"/>
      <c r="BI23" s="177"/>
      <c r="BK23" s="174"/>
      <c r="BL23" s="1"/>
      <c r="BM23" s="174"/>
      <c r="BN23" s="174"/>
      <c r="BO23" s="174"/>
      <c r="BP23" s="174"/>
      <c r="BQ23" s="174"/>
      <c r="BR23" s="174"/>
      <c r="BS23" s="174"/>
      <c r="BT23" s="174"/>
      <c r="BU23" s="174"/>
      <c r="BV23" s="174"/>
      <c r="BW23" s="174"/>
      <c r="BX23" s="174"/>
      <c r="BY23" s="174"/>
      <c r="BZ23" s="766"/>
      <c r="CA23" s="767"/>
      <c r="CB23" s="772"/>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4"/>
      <c r="BH24" s="174"/>
      <c r="BI24" s="177"/>
      <c r="BK24" s="174"/>
      <c r="BL24" s="1"/>
      <c r="BM24" s="174"/>
      <c r="BN24" s="174"/>
      <c r="BO24" s="174"/>
      <c r="BP24" s="174"/>
      <c r="BQ24" s="174"/>
      <c r="BR24" s="174"/>
      <c r="BS24" s="174"/>
      <c r="BT24" s="174"/>
      <c r="BU24" s="174"/>
      <c r="BV24" s="174"/>
      <c r="BW24" s="174"/>
      <c r="BX24" s="174"/>
      <c r="BY24" s="174"/>
      <c r="BZ24" s="766"/>
      <c r="CA24" s="767"/>
      <c r="CB24" s="772"/>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7"/>
      <c r="BK25" s="174"/>
      <c r="BL25" s="1"/>
      <c r="BM25" s="174"/>
      <c r="BN25" s="174"/>
      <c r="BO25" s="174"/>
      <c r="BP25" s="174"/>
      <c r="BQ25" s="174"/>
      <c r="BR25" s="174"/>
      <c r="BS25" s="174"/>
      <c r="BT25" s="174"/>
      <c r="BU25" s="174"/>
      <c r="BV25" s="174"/>
      <c r="BW25" s="174"/>
      <c r="BX25" s="174"/>
      <c r="BY25" s="174"/>
      <c r="BZ25" s="886" t="s">
        <v>99</v>
      </c>
      <c r="CA25" s="887"/>
      <c r="CB25" s="890"/>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910">
        <v>1</v>
      </c>
      <c r="DI25" s="940">
        <f>WBR_Master</f>
        <v>625</v>
      </c>
      <c r="DJ25" s="943" t="s">
        <v>99</v>
      </c>
      <c r="DK25" s="789"/>
      <c r="DL25" s="789"/>
      <c r="DM25" s="789"/>
      <c r="DN25" s="812"/>
      <c r="DO25" s="174"/>
      <c r="DP25" s="174"/>
      <c r="DQ25" s="174"/>
      <c r="DR25" s="174"/>
      <c r="DS25" s="177"/>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7"/>
      <c r="BK26" s="174"/>
      <c r="BL26" s="1"/>
      <c r="BM26" s="174"/>
      <c r="BN26" s="174"/>
      <c r="BO26" s="174"/>
      <c r="BP26" s="174"/>
      <c r="BQ26" s="174"/>
      <c r="BR26" s="174"/>
      <c r="BS26" s="174"/>
      <c r="BT26" s="174"/>
      <c r="BU26" s="174"/>
      <c r="BV26" s="174"/>
      <c r="BW26" s="174"/>
      <c r="BX26" s="174"/>
      <c r="BY26" s="174"/>
      <c r="BZ26" s="891">
        <f>SBL_Master</f>
        <v>607</v>
      </c>
      <c r="CA26" s="892"/>
      <c r="CB26" s="895"/>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911"/>
      <c r="DI26" s="941"/>
      <c r="DJ26" s="944"/>
      <c r="DK26" s="791"/>
      <c r="DL26" s="791"/>
      <c r="DM26" s="791"/>
      <c r="DN26" s="813"/>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034">
        <v>2</v>
      </c>
      <c r="CA27" s="1035"/>
      <c r="CB27" s="1038"/>
      <c r="CC27" s="174"/>
      <c r="CD27" s="174"/>
      <c r="CE27" s="174"/>
      <c r="CF27" s="174"/>
      <c r="CG27" s="174"/>
      <c r="CH27" s="174"/>
      <c r="CI27" s="174"/>
      <c r="CJ27" s="174"/>
      <c r="CK27" s="174"/>
      <c r="CL27" s="174"/>
      <c r="CM27" s="174"/>
      <c r="CN27" s="174"/>
      <c r="CO27" s="174"/>
      <c r="CP27" s="174"/>
      <c r="CQ27" s="174"/>
      <c r="CR27" s="174"/>
      <c r="CS27" s="174"/>
      <c r="CT27" s="174"/>
      <c r="CU27" s="174"/>
      <c r="CV27" s="4"/>
      <c r="CW27" s="4"/>
      <c r="CX27" s="174"/>
      <c r="CY27" s="174"/>
      <c r="CZ27" s="174"/>
      <c r="DA27" s="174"/>
      <c r="DB27" s="174"/>
      <c r="DC27" s="174"/>
      <c r="DD27" s="174"/>
      <c r="DE27" s="174"/>
      <c r="DF27" s="174"/>
      <c r="DG27" s="174"/>
      <c r="DH27" s="912"/>
      <c r="DI27" s="942"/>
      <c r="DJ27" s="945"/>
      <c r="DK27" s="793"/>
      <c r="DL27" s="793"/>
      <c r="DM27" s="793"/>
      <c r="DN27" s="81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56"/>
      <c r="CA28" s="175"/>
      <c r="CB28" s="175"/>
      <c r="CC28" s="175"/>
      <c r="CD28" s="175"/>
      <c r="CE28" s="175"/>
      <c r="CF28" s="175"/>
      <c r="CG28" s="175"/>
      <c r="CH28" s="175"/>
      <c r="CI28" s="175"/>
      <c r="CJ28" s="175"/>
      <c r="CK28" s="176"/>
      <c r="CL28" s="910">
        <v>2</v>
      </c>
      <c r="CM28" s="913">
        <f>DI28+DE41</f>
        <v>0</v>
      </c>
      <c r="CN28" s="914" t="s">
        <v>99</v>
      </c>
      <c r="CO28" s="789"/>
      <c r="CP28" s="789"/>
      <c r="CQ28" s="789"/>
      <c r="CR28" s="812"/>
      <c r="CS28" s="174"/>
      <c r="CT28" s="174"/>
      <c r="CU28" s="174"/>
      <c r="CV28" s="56"/>
      <c r="CW28" s="175"/>
      <c r="CX28" s="175"/>
      <c r="CY28" s="175"/>
      <c r="CZ28" s="175"/>
      <c r="DA28" s="175"/>
      <c r="DB28" s="175"/>
      <c r="DC28" s="175"/>
      <c r="DD28" s="175"/>
      <c r="DE28" s="175"/>
      <c r="DF28" s="175"/>
      <c r="DG28" s="176"/>
      <c r="DH28" s="951">
        <v>2</v>
      </c>
      <c r="DI28" s="955">
        <f>WBT_Master</f>
        <v>0</v>
      </c>
      <c r="DJ28" s="956" t="s">
        <v>99</v>
      </c>
      <c r="DK28" s="816"/>
      <c r="DL28" s="816"/>
      <c r="DM28" s="816"/>
      <c r="DN28" s="822"/>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58"/>
      <c r="CA29" s="109"/>
      <c r="CB29" s="109"/>
      <c r="CC29" s="109"/>
      <c r="CD29" s="109"/>
      <c r="CE29" s="109"/>
      <c r="CF29" s="109"/>
      <c r="CG29" s="109"/>
      <c r="CH29" s="109"/>
      <c r="CI29" s="109"/>
      <c r="CJ29" s="109"/>
      <c r="CK29" s="60"/>
      <c r="CL29" s="911"/>
      <c r="CM29" s="1005"/>
      <c r="CN29" s="1007"/>
      <c r="CO29" s="791"/>
      <c r="CP29" s="791"/>
      <c r="CQ29" s="791"/>
      <c r="CR29" s="813"/>
      <c r="CS29" s="174"/>
      <c r="CT29" s="174"/>
      <c r="CU29" s="174"/>
      <c r="CV29" s="58"/>
      <c r="CW29" s="109"/>
      <c r="CX29" s="109"/>
      <c r="CY29" s="109"/>
      <c r="CZ29" s="109"/>
      <c r="DA29" s="109"/>
      <c r="DB29" s="109"/>
      <c r="DC29" s="109"/>
      <c r="DD29" s="109"/>
      <c r="DE29" s="109"/>
      <c r="DF29" s="109"/>
      <c r="DG29" s="60"/>
      <c r="DH29" s="911"/>
      <c r="DI29" s="941"/>
      <c r="DJ29" s="944"/>
      <c r="DK29" s="791"/>
      <c r="DL29" s="791"/>
      <c r="DM29" s="791"/>
      <c r="DN29" s="813"/>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58"/>
      <c r="CA30" s="109"/>
      <c r="CB30" s="109"/>
      <c r="CC30" s="109"/>
      <c r="CD30" s="109"/>
      <c r="CE30" s="109"/>
      <c r="CF30" s="109"/>
      <c r="CG30" s="109"/>
      <c r="CH30" s="109"/>
      <c r="CI30" s="109"/>
      <c r="CJ30" s="109"/>
      <c r="CK30" s="60"/>
      <c r="CL30" s="957"/>
      <c r="CM30" s="1006"/>
      <c r="CN30" s="1008"/>
      <c r="CO30" s="825"/>
      <c r="CP30" s="825"/>
      <c r="CQ30" s="825"/>
      <c r="CR30" s="832"/>
      <c r="CS30" s="174"/>
      <c r="CT30" s="174"/>
      <c r="CU30" s="174"/>
      <c r="CV30" s="58"/>
      <c r="CW30" s="109"/>
      <c r="CX30" s="109"/>
      <c r="CY30" s="109"/>
      <c r="CZ30" s="109"/>
      <c r="DA30" s="109"/>
      <c r="DB30" s="109"/>
      <c r="DC30" s="109"/>
      <c r="DD30" s="109"/>
      <c r="DE30" s="109"/>
      <c r="DF30" s="109"/>
      <c r="DG30" s="60"/>
      <c r="DH30" s="911"/>
      <c r="DI30" s="942"/>
      <c r="DJ30" s="945"/>
      <c r="DK30" s="793"/>
      <c r="DL30" s="793"/>
      <c r="DM30" s="793"/>
      <c r="DN30" s="81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4"/>
      <c r="BH31" s="174"/>
      <c r="BI31" s="177"/>
      <c r="BK31" s="174"/>
      <c r="BL31" s="1"/>
      <c r="BM31" s="174"/>
      <c r="BN31" s="174"/>
      <c r="BO31" s="174"/>
      <c r="BP31" s="174"/>
      <c r="BQ31" s="174"/>
      <c r="BR31" s="174"/>
      <c r="BS31" s="174"/>
      <c r="BT31" s="174"/>
      <c r="BU31" s="174"/>
      <c r="BV31" s="174"/>
      <c r="BW31" s="174"/>
      <c r="BX31" s="174"/>
      <c r="BY31" s="174"/>
      <c r="BZ31" s="58"/>
      <c r="CA31" s="109"/>
      <c r="CB31" s="763"/>
      <c r="CC31" s="764"/>
      <c r="CD31" s="764"/>
      <c r="CE31" s="764"/>
      <c r="CF31" s="764"/>
      <c r="CG31" s="764"/>
      <c r="CH31" s="764"/>
      <c r="CI31" s="771"/>
      <c r="CJ31" s="109"/>
      <c r="CK31" s="60"/>
      <c r="CL31" s="910">
        <v>2</v>
      </c>
      <c r="CM31" s="913">
        <f>DI31</f>
        <v>588</v>
      </c>
      <c r="CN31" s="914" t="s">
        <v>99</v>
      </c>
      <c r="CO31" s="99"/>
      <c r="CP31" s="99"/>
      <c r="CQ31" s="99"/>
      <c r="CR31" s="100"/>
      <c r="CS31" s="174"/>
      <c r="CT31" s="174"/>
      <c r="CU31" s="174"/>
      <c r="CV31" s="58"/>
      <c r="CW31" s="109"/>
      <c r="CX31" s="763"/>
      <c r="CY31" s="764"/>
      <c r="CZ31" s="764"/>
      <c r="DA31" s="764"/>
      <c r="DB31" s="764"/>
      <c r="DC31" s="764"/>
      <c r="DD31" s="764"/>
      <c r="DE31" s="771"/>
      <c r="DF31" s="109"/>
      <c r="DG31" s="60"/>
      <c r="DH31" s="911"/>
      <c r="DI31" s="955">
        <f>WBL_Master</f>
        <v>588</v>
      </c>
      <c r="DJ31" s="956" t="s">
        <v>99</v>
      </c>
      <c r="DK31" s="816"/>
      <c r="DL31" s="816"/>
      <c r="DM31" s="816"/>
      <c r="DN31" s="822"/>
      <c r="DO31" s="174"/>
      <c r="DP31" s="174"/>
      <c r="DQ31" s="174"/>
      <c r="DR31" s="174"/>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58"/>
      <c r="CA32" s="109"/>
      <c r="CB32" s="766"/>
      <c r="CC32" s="767"/>
      <c r="CD32" s="767"/>
      <c r="CE32" s="767"/>
      <c r="CF32" s="767"/>
      <c r="CG32" s="767"/>
      <c r="CH32" s="767"/>
      <c r="CI32" s="772"/>
      <c r="CJ32" s="109"/>
      <c r="CK32" s="60"/>
      <c r="CL32" s="911"/>
      <c r="CM32" s="1005"/>
      <c r="CN32" s="1007"/>
      <c r="CO32" s="101"/>
      <c r="CP32" s="101"/>
      <c r="CQ32" s="101"/>
      <c r="CR32" s="102"/>
      <c r="CS32" s="174"/>
      <c r="CT32" s="174"/>
      <c r="CU32" s="174"/>
      <c r="CV32" s="58"/>
      <c r="CW32" s="109"/>
      <c r="CX32" s="766"/>
      <c r="CY32" s="767"/>
      <c r="CZ32" s="767"/>
      <c r="DA32" s="767"/>
      <c r="DB32" s="767"/>
      <c r="DC32" s="767"/>
      <c r="DD32" s="767"/>
      <c r="DE32" s="772"/>
      <c r="DF32" s="109"/>
      <c r="DG32" s="60"/>
      <c r="DH32" s="911"/>
      <c r="DI32" s="941"/>
      <c r="DJ32" s="944"/>
      <c r="DK32" s="791"/>
      <c r="DL32" s="791"/>
      <c r="DM32" s="791"/>
      <c r="DN32" s="813"/>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728">
        <f>CX34</f>
        <v>767.15789473684208</v>
      </c>
      <c r="AT33" s="861"/>
      <c r="AU33" s="861"/>
      <c r="AV33" s="861"/>
      <c r="AW33" s="861"/>
      <c r="AX33" s="861"/>
      <c r="AY33" s="861"/>
      <c r="AZ33" s="861"/>
      <c r="BA33" s="861"/>
      <c r="BB33" s="862"/>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58"/>
      <c r="CA33" s="109"/>
      <c r="CB33" s="766"/>
      <c r="CC33" s="767"/>
      <c r="CD33" s="767"/>
      <c r="CE33" s="767"/>
      <c r="CF33" s="767"/>
      <c r="CG33" s="767"/>
      <c r="CH33" s="767"/>
      <c r="CI33" s="772"/>
      <c r="CJ33" s="109"/>
      <c r="CK33" s="60"/>
      <c r="CL33" s="957"/>
      <c r="CM33" s="1006"/>
      <c r="CN33" s="1008"/>
      <c r="CO33" s="103"/>
      <c r="CP33" s="103"/>
      <c r="CQ33" s="103"/>
      <c r="CR33" s="104"/>
      <c r="CS33" s="174"/>
      <c r="CT33" s="174"/>
      <c r="CU33" s="174"/>
      <c r="CV33" s="58"/>
      <c r="CW33" s="109"/>
      <c r="CX33" s="766"/>
      <c r="CY33" s="767"/>
      <c r="CZ33" s="767"/>
      <c r="DA33" s="767"/>
      <c r="DB33" s="767"/>
      <c r="DC33" s="767"/>
      <c r="DD33" s="767"/>
      <c r="DE33" s="772"/>
      <c r="DF33" s="109"/>
      <c r="DG33" s="60"/>
      <c r="DH33" s="957"/>
      <c r="DI33" s="966"/>
      <c r="DJ33" s="967"/>
      <c r="DK33" s="825"/>
      <c r="DL33" s="825"/>
      <c r="DM33" s="825"/>
      <c r="DN33" s="832"/>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863"/>
      <c r="AT34" s="864"/>
      <c r="AU34" s="864"/>
      <c r="AV34" s="864"/>
      <c r="AW34" s="864"/>
      <c r="AX34" s="864"/>
      <c r="AY34" s="864"/>
      <c r="AZ34" s="864"/>
      <c r="BA34" s="864"/>
      <c r="BB34" s="865"/>
      <c r="BC34" s="174"/>
      <c r="BD34" s="174"/>
      <c r="BE34" s="174"/>
      <c r="BF34" s="174"/>
      <c r="BG34" s="174"/>
      <c r="BH34" s="174"/>
      <c r="BI34" s="177"/>
      <c r="BK34" s="174"/>
      <c r="BL34" s="1"/>
      <c r="BM34" s="174"/>
      <c r="BN34" s="174"/>
      <c r="BO34" s="174"/>
      <c r="BP34" s="174"/>
      <c r="BQ34" s="174"/>
      <c r="BR34" s="174"/>
      <c r="BS34" s="788"/>
      <c r="BT34" s="789"/>
      <c r="BU34" s="789"/>
      <c r="BV34" s="789"/>
      <c r="BW34" s="901" t="s">
        <v>99</v>
      </c>
      <c r="BX34" s="904">
        <f>EBL_Master</f>
        <v>899</v>
      </c>
      <c r="BY34" s="950">
        <v>3</v>
      </c>
      <c r="BZ34" s="58"/>
      <c r="CA34" s="109"/>
      <c r="CB34" s="1833">
        <f>MAX((BX37+BX34)/BY34, CM28/CL28)+(CM31/LTAF/CL31)+(BZ26/LTAF/BZ27)</f>
        <v>928.61403508771934</v>
      </c>
      <c r="CC34" s="1834"/>
      <c r="CD34" s="1834"/>
      <c r="CE34" s="1834"/>
      <c r="CF34" s="1834"/>
      <c r="CG34" s="1834"/>
      <c r="CH34" s="1834"/>
      <c r="CI34" s="1835"/>
      <c r="CJ34" s="109"/>
      <c r="CK34" s="60"/>
      <c r="CL34" s="174"/>
      <c r="CM34" s="174"/>
      <c r="CN34" s="174"/>
      <c r="CO34" s="788"/>
      <c r="CP34" s="789"/>
      <c r="CQ34" s="789"/>
      <c r="CR34" s="789"/>
      <c r="CS34" s="948" t="s">
        <v>99</v>
      </c>
      <c r="CT34" s="949">
        <f>BX34</f>
        <v>899</v>
      </c>
      <c r="CU34" s="950">
        <v>2</v>
      </c>
      <c r="CV34" s="58"/>
      <c r="CW34" s="109"/>
      <c r="CX34" s="1833">
        <f>MAX((DI28+DI31)/DH28, CT37/CU37)+(DE41/LTAF/DE40)+(CT34/LTAF/CU34)</f>
        <v>767.15789473684208</v>
      </c>
      <c r="CY34" s="1834"/>
      <c r="CZ34" s="1834"/>
      <c r="DA34" s="1834"/>
      <c r="DB34" s="1834"/>
      <c r="DC34" s="1834"/>
      <c r="DD34" s="1834"/>
      <c r="DE34" s="1835"/>
      <c r="DF34" s="109"/>
      <c r="DG34" s="60"/>
      <c r="DH34" s="174"/>
      <c r="DI34" s="174"/>
      <c r="DJ34" s="174"/>
      <c r="DK34" s="174"/>
      <c r="DL34" s="174"/>
      <c r="DM34" s="174"/>
      <c r="DN34" s="174"/>
      <c r="DO34" s="174"/>
      <c r="DP34" s="174"/>
      <c r="DQ34" s="174"/>
      <c r="DR34" s="174"/>
      <c r="DS34" s="177"/>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866"/>
      <c r="AT35" s="867"/>
      <c r="AU35" s="867"/>
      <c r="AV35" s="867"/>
      <c r="AW35" s="867"/>
      <c r="AX35" s="867"/>
      <c r="AY35" s="867"/>
      <c r="AZ35" s="867"/>
      <c r="BA35" s="867"/>
      <c r="BB35" s="868"/>
      <c r="BC35" s="174"/>
      <c r="BD35" s="174"/>
      <c r="BE35" s="174"/>
      <c r="BF35" s="174"/>
      <c r="BG35" s="174"/>
      <c r="BH35" s="174"/>
      <c r="BI35" s="177"/>
      <c r="BK35" s="174"/>
      <c r="BL35" s="1"/>
      <c r="BM35" s="174"/>
      <c r="BN35" s="174"/>
      <c r="BO35" s="174"/>
      <c r="BP35" s="174"/>
      <c r="BQ35" s="174"/>
      <c r="BR35" s="174"/>
      <c r="BS35" s="790"/>
      <c r="BT35" s="791"/>
      <c r="BU35" s="791"/>
      <c r="BV35" s="791"/>
      <c r="BW35" s="902"/>
      <c r="BX35" s="905"/>
      <c r="BY35" s="938"/>
      <c r="BZ35" s="58"/>
      <c r="CA35" s="109"/>
      <c r="CB35" s="1833"/>
      <c r="CC35" s="1834"/>
      <c r="CD35" s="1834"/>
      <c r="CE35" s="1834"/>
      <c r="CF35" s="1834"/>
      <c r="CG35" s="1834"/>
      <c r="CH35" s="1834"/>
      <c r="CI35" s="1835"/>
      <c r="CJ35" s="109"/>
      <c r="CK35" s="60"/>
      <c r="CL35" s="174"/>
      <c r="CM35" s="174"/>
      <c r="CN35" s="174"/>
      <c r="CO35" s="790"/>
      <c r="CP35" s="791"/>
      <c r="CQ35" s="791"/>
      <c r="CR35" s="791"/>
      <c r="CS35" s="932"/>
      <c r="CT35" s="935"/>
      <c r="CU35" s="938"/>
      <c r="CV35" s="58"/>
      <c r="CW35" s="109"/>
      <c r="CX35" s="1833"/>
      <c r="CY35" s="1834"/>
      <c r="CZ35" s="1834"/>
      <c r="DA35" s="1834"/>
      <c r="DB35" s="1834"/>
      <c r="DC35" s="1834"/>
      <c r="DD35" s="1834"/>
      <c r="DE35" s="1835"/>
      <c r="DF35" s="109"/>
      <c r="DG35" s="60"/>
      <c r="DH35" s="174"/>
      <c r="DI35" s="174"/>
      <c r="DJ35" s="174"/>
      <c r="DK35" s="174"/>
      <c r="DL35" s="174"/>
      <c r="DM35" s="174"/>
      <c r="DN35" s="174"/>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713">
        <f>ROUND(AS33/CLV_Limit,2)</f>
        <v>0.48</v>
      </c>
      <c r="AT36" s="714"/>
      <c r="AU36" s="714"/>
      <c r="AV36" s="714"/>
      <c r="AW36" s="715"/>
      <c r="AX36" s="722" t="s">
        <v>100</v>
      </c>
      <c r="AY36" s="722"/>
      <c r="AZ36" s="722"/>
      <c r="BA36" s="722"/>
      <c r="BB36" s="723"/>
      <c r="BC36" s="174"/>
      <c r="BD36" s="174"/>
      <c r="BE36" s="174"/>
      <c r="BF36" s="174"/>
      <c r="BG36" s="174"/>
      <c r="BH36" s="174"/>
      <c r="BI36" s="177"/>
      <c r="BK36" s="174"/>
      <c r="BL36" s="1"/>
      <c r="BM36" s="174"/>
      <c r="BN36" s="174"/>
      <c r="BO36" s="174"/>
      <c r="BP36" s="174"/>
      <c r="BQ36" s="174"/>
      <c r="BR36" s="174"/>
      <c r="BS36" s="792"/>
      <c r="BT36" s="793"/>
      <c r="BU36" s="793"/>
      <c r="BV36" s="793"/>
      <c r="BW36" s="903"/>
      <c r="BX36" s="906"/>
      <c r="BY36" s="938"/>
      <c r="BZ36" s="58"/>
      <c r="CA36" s="109"/>
      <c r="CB36" s="1836"/>
      <c r="CC36" s="1837"/>
      <c r="CD36" s="1837"/>
      <c r="CE36" s="1837"/>
      <c r="CF36" s="1837"/>
      <c r="CG36" s="1837"/>
      <c r="CH36" s="1837"/>
      <c r="CI36" s="1838"/>
      <c r="CJ36" s="109"/>
      <c r="CK36" s="60"/>
      <c r="CL36" s="174"/>
      <c r="CM36" s="174"/>
      <c r="CN36" s="174"/>
      <c r="CO36" s="824"/>
      <c r="CP36" s="825"/>
      <c r="CQ36" s="825"/>
      <c r="CR36" s="825"/>
      <c r="CS36" s="963"/>
      <c r="CT36" s="964"/>
      <c r="CU36" s="965"/>
      <c r="CV36" s="58"/>
      <c r="CW36" s="109"/>
      <c r="CX36" s="1836"/>
      <c r="CY36" s="1837"/>
      <c r="CZ36" s="1837"/>
      <c r="DA36" s="1837"/>
      <c r="DB36" s="1837"/>
      <c r="DC36" s="1837"/>
      <c r="DD36" s="1837"/>
      <c r="DE36" s="1838"/>
      <c r="DF36" s="109"/>
      <c r="DG36" s="60"/>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716"/>
      <c r="AT37" s="717"/>
      <c r="AU37" s="717"/>
      <c r="AV37" s="717"/>
      <c r="AW37" s="718"/>
      <c r="AX37" s="724"/>
      <c r="AY37" s="724"/>
      <c r="AZ37" s="724"/>
      <c r="BA37" s="724"/>
      <c r="BB37" s="725"/>
      <c r="BC37" s="174"/>
      <c r="BD37" s="174"/>
      <c r="BE37" s="174"/>
      <c r="BF37" s="174"/>
      <c r="BG37" s="174"/>
      <c r="BH37" s="174"/>
      <c r="BI37" s="177"/>
      <c r="BK37" s="174"/>
      <c r="BL37" s="1"/>
      <c r="BM37" s="174"/>
      <c r="BN37" s="174"/>
      <c r="BO37" s="174"/>
      <c r="BP37" s="174"/>
      <c r="BQ37" s="174"/>
      <c r="BR37" s="174"/>
      <c r="BS37" s="815"/>
      <c r="BT37" s="816"/>
      <c r="BU37" s="816"/>
      <c r="BV37" s="816"/>
      <c r="BW37" s="946" t="s">
        <v>99</v>
      </c>
      <c r="BX37" s="947">
        <f>EBT_Master</f>
        <v>0</v>
      </c>
      <c r="BY37" s="938"/>
      <c r="BZ37" s="58"/>
      <c r="CA37" s="109"/>
      <c r="CB37" s="109"/>
      <c r="CC37" s="109"/>
      <c r="CD37" s="109"/>
      <c r="CE37" s="109"/>
      <c r="CF37" s="109"/>
      <c r="CG37" s="109"/>
      <c r="CH37" s="109"/>
      <c r="CI37" s="109"/>
      <c r="CJ37" s="109"/>
      <c r="CK37" s="60"/>
      <c r="CL37" s="174"/>
      <c r="CM37" s="174"/>
      <c r="CN37" s="174"/>
      <c r="CO37" s="788"/>
      <c r="CP37" s="789"/>
      <c r="CQ37" s="789"/>
      <c r="CR37" s="789"/>
      <c r="CS37" s="948" t="s">
        <v>99</v>
      </c>
      <c r="CT37" s="949">
        <f>BX37+BZ26</f>
        <v>607</v>
      </c>
      <c r="CU37" s="950">
        <v>3</v>
      </c>
      <c r="CV37" s="58"/>
      <c r="CW37" s="109"/>
      <c r="CX37" s="109"/>
      <c r="CY37" s="109"/>
      <c r="CZ37" s="109"/>
      <c r="DA37" s="109"/>
      <c r="DB37" s="109"/>
      <c r="DC37" s="109"/>
      <c r="DD37" s="109"/>
      <c r="DE37" s="109"/>
      <c r="DF37" s="109"/>
      <c r="DG37" s="60"/>
      <c r="DH37" s="174"/>
      <c r="DI37" s="174"/>
      <c r="DJ37" s="174"/>
      <c r="DK37" s="174"/>
      <c r="DL37" s="174"/>
      <c r="DM37" s="174"/>
      <c r="DN37" s="174"/>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719"/>
      <c r="AT38" s="720"/>
      <c r="AU38" s="720"/>
      <c r="AV38" s="720"/>
      <c r="AW38" s="721"/>
      <c r="AX38" s="726"/>
      <c r="AY38" s="726"/>
      <c r="AZ38" s="726"/>
      <c r="BA38" s="726"/>
      <c r="BB38" s="727"/>
      <c r="BC38" s="174"/>
      <c r="BD38" s="174"/>
      <c r="BE38" s="174"/>
      <c r="BF38" s="174"/>
      <c r="BG38" s="174"/>
      <c r="BH38" s="174"/>
      <c r="BI38" s="177"/>
      <c r="BK38" s="174"/>
      <c r="BL38" s="1"/>
      <c r="BM38" s="174"/>
      <c r="BN38" s="174"/>
      <c r="BO38" s="174"/>
      <c r="BP38" s="174"/>
      <c r="BQ38" s="174"/>
      <c r="BR38" s="174"/>
      <c r="BS38" s="790"/>
      <c r="BT38" s="791"/>
      <c r="BU38" s="791"/>
      <c r="BV38" s="791"/>
      <c r="BW38" s="902"/>
      <c r="BX38" s="905"/>
      <c r="BY38" s="938"/>
      <c r="BZ38" s="58"/>
      <c r="CA38" s="109"/>
      <c r="CB38" s="109"/>
      <c r="CC38" s="109"/>
      <c r="CD38" s="109"/>
      <c r="CE38" s="109"/>
      <c r="CF38" s="109"/>
      <c r="CG38" s="109"/>
      <c r="CH38" s="109"/>
      <c r="CI38" s="109"/>
      <c r="CJ38" s="109"/>
      <c r="CK38" s="60"/>
      <c r="CL38" s="174"/>
      <c r="CM38" s="174"/>
      <c r="CN38" s="174"/>
      <c r="CO38" s="790"/>
      <c r="CP38" s="791"/>
      <c r="CQ38" s="791"/>
      <c r="CR38" s="791"/>
      <c r="CS38" s="932"/>
      <c r="CT38" s="935"/>
      <c r="CU38" s="938"/>
      <c r="CV38" s="58"/>
      <c r="CW38" s="109"/>
      <c r="CX38" s="109"/>
      <c r="CY38" s="109"/>
      <c r="CZ38" s="109"/>
      <c r="DA38" s="109"/>
      <c r="DB38" s="109"/>
      <c r="DC38" s="109"/>
      <c r="DD38" s="109"/>
      <c r="DE38" s="109"/>
      <c r="DF38" s="109"/>
      <c r="DG38" s="60"/>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792"/>
      <c r="BT39" s="793"/>
      <c r="BU39" s="793"/>
      <c r="BV39" s="793"/>
      <c r="BW39" s="903"/>
      <c r="BX39" s="906"/>
      <c r="BY39" s="939"/>
      <c r="BZ39" s="61"/>
      <c r="CA39" s="110"/>
      <c r="CB39" s="110"/>
      <c r="CC39" s="110"/>
      <c r="CD39" s="110"/>
      <c r="CE39" s="110"/>
      <c r="CF39" s="110"/>
      <c r="CG39" s="110"/>
      <c r="CH39" s="110"/>
      <c r="CI39" s="110"/>
      <c r="CJ39" s="110"/>
      <c r="CK39" s="63"/>
      <c r="CL39" s="174"/>
      <c r="CM39" s="174"/>
      <c r="CN39" s="174"/>
      <c r="CO39" s="824"/>
      <c r="CP39" s="825"/>
      <c r="CQ39" s="825"/>
      <c r="CR39" s="825"/>
      <c r="CS39" s="963"/>
      <c r="CT39" s="964"/>
      <c r="CU39" s="965"/>
      <c r="CV39" s="61"/>
      <c r="CW39" s="110"/>
      <c r="CX39" s="110"/>
      <c r="CY39" s="110"/>
      <c r="CZ39" s="110"/>
      <c r="DA39" s="110"/>
      <c r="DB39" s="110"/>
      <c r="DC39" s="110"/>
      <c r="DD39" s="110"/>
      <c r="DE39" s="110"/>
      <c r="DF39" s="110"/>
      <c r="DG39" s="63"/>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74"/>
      <c r="BQ40" s="174"/>
      <c r="BR40" s="174"/>
      <c r="BS40" s="815"/>
      <c r="BT40" s="816"/>
      <c r="BU40" s="816"/>
      <c r="BV40" s="816"/>
      <c r="BW40" s="946" t="s">
        <v>99</v>
      </c>
      <c r="BX40" s="947">
        <f>EBR_Master</f>
        <v>208</v>
      </c>
      <c r="BY40" s="937">
        <v>1</v>
      </c>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968">
        <v>2</v>
      </c>
      <c r="DF40" s="969"/>
      <c r="DG40" s="972"/>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174"/>
      <c r="BN41" s="174"/>
      <c r="BO41" s="174"/>
      <c r="BP41" s="174"/>
      <c r="BQ41" s="174"/>
      <c r="BR41" s="174"/>
      <c r="BS41" s="790"/>
      <c r="BT41" s="791"/>
      <c r="BU41" s="791"/>
      <c r="BV41" s="791"/>
      <c r="BW41" s="902"/>
      <c r="BX41" s="905"/>
      <c r="BY41" s="938"/>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9"/>
      <c r="CX41" s="19"/>
      <c r="CY41" s="19"/>
      <c r="CZ41" s="19"/>
      <c r="DA41" s="19"/>
      <c r="DB41" s="19"/>
      <c r="DC41" s="174"/>
      <c r="DD41" s="174"/>
      <c r="DE41" s="983">
        <f>NBL_Master</f>
        <v>0</v>
      </c>
      <c r="DF41" s="984"/>
      <c r="DG41" s="987"/>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174"/>
      <c r="BQ42" s="174"/>
      <c r="BR42" s="174"/>
      <c r="BS42" s="824"/>
      <c r="BT42" s="825"/>
      <c r="BU42" s="825"/>
      <c r="BV42" s="825"/>
      <c r="BW42" s="959"/>
      <c r="BX42" s="960"/>
      <c r="BY42" s="965"/>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9"/>
      <c r="CX42" s="19"/>
      <c r="CY42" s="19"/>
      <c r="CZ42" s="19"/>
      <c r="DA42" s="19"/>
      <c r="DB42" s="19"/>
      <c r="DC42" s="174"/>
      <c r="DD42" s="174"/>
      <c r="DE42" s="886" t="s">
        <v>99</v>
      </c>
      <c r="DF42" s="887"/>
      <c r="DG42" s="890"/>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33"/>
      <c r="CO43" s="33"/>
      <c r="CP43" s="33"/>
      <c r="CQ43" s="33"/>
      <c r="CR43" s="33"/>
      <c r="CS43" s="174"/>
      <c r="CT43" s="174"/>
      <c r="CU43" s="174"/>
      <c r="CV43" s="174"/>
      <c r="CW43" s="19"/>
      <c r="CX43" s="174"/>
      <c r="CY43" s="174"/>
      <c r="CZ43" s="174"/>
      <c r="DA43" s="174"/>
      <c r="DB43" s="174"/>
      <c r="DC43" s="174"/>
      <c r="DD43" s="174"/>
      <c r="DE43" s="766"/>
      <c r="DF43" s="767"/>
      <c r="DG43" s="772"/>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9"/>
      <c r="CX44" s="174"/>
      <c r="CY44" s="174"/>
      <c r="CZ44" s="174"/>
      <c r="DA44" s="174"/>
      <c r="DB44" s="174"/>
      <c r="DC44" s="174"/>
      <c r="DD44" s="174"/>
      <c r="DE44" s="766"/>
      <c r="DF44" s="767"/>
      <c r="DG44" s="772"/>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9"/>
      <c r="CX45" s="174"/>
      <c r="CY45" s="174"/>
      <c r="CZ45" s="174"/>
      <c r="DA45" s="174"/>
      <c r="DB45" s="174"/>
      <c r="DC45" s="174"/>
      <c r="DD45" s="174"/>
      <c r="DE45" s="766"/>
      <c r="DF45" s="767"/>
      <c r="DG45" s="772"/>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728">
        <f>CB34</f>
        <v>928.61403508771934</v>
      </c>
      <c r="AT46" s="861"/>
      <c r="AU46" s="861"/>
      <c r="AV46" s="861"/>
      <c r="AW46" s="861"/>
      <c r="AX46" s="861"/>
      <c r="AY46" s="861"/>
      <c r="AZ46" s="861"/>
      <c r="BA46" s="861"/>
      <c r="BB46" s="862"/>
      <c r="BC46" s="174"/>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6"/>
      <c r="CN46" s="16"/>
      <c r="CO46" s="174"/>
      <c r="CP46" s="174"/>
      <c r="CQ46" s="174"/>
      <c r="CR46" s="174"/>
      <c r="CS46" s="174"/>
      <c r="CT46" s="174"/>
      <c r="CU46" s="174"/>
      <c r="CV46" s="174"/>
      <c r="CW46" s="174"/>
      <c r="CX46" s="174"/>
      <c r="CY46" s="174"/>
      <c r="CZ46" s="174"/>
      <c r="DA46" s="174"/>
      <c r="DB46" s="174"/>
      <c r="DC46" s="174"/>
      <c r="DD46" s="174"/>
      <c r="DE46" s="849"/>
      <c r="DF46" s="705"/>
      <c r="DG46" s="852"/>
      <c r="DH46" s="174"/>
      <c r="DI46" s="174"/>
      <c r="DJ46" s="174"/>
      <c r="DK46" s="174"/>
      <c r="DL46" s="174"/>
      <c r="DM46" s="174"/>
      <c r="DN46" s="41"/>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863"/>
      <c r="AT47" s="864"/>
      <c r="AU47" s="864"/>
      <c r="AV47" s="864"/>
      <c r="AW47" s="864"/>
      <c r="AX47" s="864"/>
      <c r="AY47" s="864"/>
      <c r="AZ47" s="864"/>
      <c r="BA47" s="864"/>
      <c r="BB47" s="865"/>
      <c r="BC47" s="174"/>
      <c r="BD47" s="174"/>
      <c r="BE47" s="174"/>
      <c r="BF47" s="174"/>
      <c r="BG47" s="174"/>
      <c r="BH47" s="174"/>
      <c r="BI47" s="177"/>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866"/>
      <c r="AT48" s="867"/>
      <c r="AU48" s="867"/>
      <c r="AV48" s="867"/>
      <c r="AW48" s="867"/>
      <c r="AX48" s="867"/>
      <c r="AY48" s="867"/>
      <c r="AZ48" s="867"/>
      <c r="BA48" s="867"/>
      <c r="BB48" s="868"/>
      <c r="BC48" s="174"/>
      <c r="BD48" s="174"/>
      <c r="BE48" s="174"/>
      <c r="BF48" s="174"/>
      <c r="BG48" s="174"/>
      <c r="BH48" s="174"/>
      <c r="BI48" s="177"/>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713">
        <f>ROUND(AS46/CLV_Limit,2)</f>
        <v>0.57999999999999996</v>
      </c>
      <c r="AT49" s="714"/>
      <c r="AU49" s="714"/>
      <c r="AV49" s="714"/>
      <c r="AW49" s="715"/>
      <c r="AX49" s="722" t="s">
        <v>100</v>
      </c>
      <c r="AY49" s="722"/>
      <c r="AZ49" s="722"/>
      <c r="BA49" s="722"/>
      <c r="BB49" s="723"/>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716"/>
      <c r="AT50" s="717"/>
      <c r="AU50" s="717"/>
      <c r="AV50" s="717"/>
      <c r="AW50" s="718"/>
      <c r="AX50" s="724"/>
      <c r="AY50" s="724"/>
      <c r="AZ50" s="724"/>
      <c r="BA50" s="724"/>
      <c r="BB50" s="725"/>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719"/>
      <c r="AT51" s="720"/>
      <c r="AU51" s="720"/>
      <c r="AV51" s="720"/>
      <c r="AW51" s="721"/>
      <c r="AX51" s="726"/>
      <c r="AY51" s="726"/>
      <c r="AZ51" s="726"/>
      <c r="BA51" s="726"/>
      <c r="BB51" s="727"/>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29"/>
      <c r="AT59" s="28"/>
      <c r="AU59" s="28"/>
      <c r="AV59" s="28"/>
      <c r="AW59" s="28"/>
      <c r="AX59" s="28"/>
      <c r="AY59" s="28"/>
      <c r="AZ59" s="28"/>
      <c r="BA59" s="28"/>
      <c r="BB59" s="28"/>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28"/>
      <c r="AT60" s="28"/>
      <c r="AU60" s="28"/>
      <c r="AV60" s="28"/>
      <c r="AW60" s="28"/>
      <c r="AX60" s="28"/>
      <c r="AY60" s="28"/>
      <c r="AZ60" s="28"/>
      <c r="BA60" s="28"/>
      <c r="BB60" s="28"/>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28"/>
      <c r="AT61" s="28"/>
      <c r="AU61" s="28"/>
      <c r="AV61" s="28"/>
      <c r="AW61" s="28"/>
      <c r="AX61" s="28"/>
      <c r="AY61" s="28"/>
      <c r="AZ61" s="28"/>
      <c r="BA61" s="28"/>
      <c r="BB61" s="28"/>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27"/>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75">
    <mergeCell ref="DE43:DG46"/>
    <mergeCell ref="CU37:CU39"/>
    <mergeCell ref="BS40:BV42"/>
    <mergeCell ref="BW40:BW42"/>
    <mergeCell ref="BX40:BX42"/>
    <mergeCell ref="BY40:BY42"/>
    <mergeCell ref="DE40:DG40"/>
    <mergeCell ref="DE41:DG41"/>
    <mergeCell ref="DE42:DG42"/>
    <mergeCell ref="CT37:CT39"/>
    <mergeCell ref="CS37:CS39"/>
    <mergeCell ref="CX34:DE36"/>
    <mergeCell ref="CO34:CR36"/>
    <mergeCell ref="BS37:BV39"/>
    <mergeCell ref="BW37:BW39"/>
    <mergeCell ref="BX37:BX39"/>
    <mergeCell ref="CO37:CR39"/>
    <mergeCell ref="BS34:BV36"/>
    <mergeCell ref="BW34:BW36"/>
    <mergeCell ref="BX34:BX36"/>
    <mergeCell ref="BY34:BY39"/>
    <mergeCell ref="CB34:CI36"/>
    <mergeCell ref="AS49:AW51"/>
    <mergeCell ref="AX49:BB51"/>
    <mergeCell ref="DJ28:DJ30"/>
    <mergeCell ref="DK28:DN30"/>
    <mergeCell ref="CB31:CI33"/>
    <mergeCell ref="CL31:CL33"/>
    <mergeCell ref="CM31:CM33"/>
    <mergeCell ref="CN31:CN33"/>
    <mergeCell ref="CX31:DE33"/>
    <mergeCell ref="DI31:DI33"/>
    <mergeCell ref="DJ31:DJ33"/>
    <mergeCell ref="DK31:DN33"/>
    <mergeCell ref="CL28:CL30"/>
    <mergeCell ref="CM28:CM30"/>
    <mergeCell ref="CN28:CN30"/>
    <mergeCell ref="CO28:CR30"/>
    <mergeCell ref="AS33:BB35"/>
    <mergeCell ref="AS46:BB48"/>
    <mergeCell ref="BL1:DS2"/>
    <mergeCell ref="BL3:DS4"/>
    <mergeCell ref="BZ21:CB24"/>
    <mergeCell ref="BZ25:CB25"/>
    <mergeCell ref="DH25:DH27"/>
    <mergeCell ref="DI25:DI27"/>
    <mergeCell ref="DJ25:DJ27"/>
    <mergeCell ref="AS36:AW38"/>
    <mergeCell ref="AX36:BB38"/>
    <mergeCell ref="DH28:DH33"/>
    <mergeCell ref="DI28:DI30"/>
    <mergeCell ref="CS34:CS36"/>
    <mergeCell ref="CT34:CT36"/>
    <mergeCell ref="CU34:CU36"/>
    <mergeCell ref="AK10:AV13"/>
    <mergeCell ref="AW10:BH13"/>
    <mergeCell ref="DK25:DN27"/>
    <mergeCell ref="BZ26:CB26"/>
    <mergeCell ref="BZ27:CB27"/>
    <mergeCell ref="N74:AW74"/>
    <mergeCell ref="B1:BI2"/>
    <mergeCell ref="B3:BI4"/>
    <mergeCell ref="C6:J7"/>
    <mergeCell ref="K6:AJ7"/>
    <mergeCell ref="AK6:BH7"/>
    <mergeCell ref="C8:J9"/>
    <mergeCell ref="K8:AJ9"/>
    <mergeCell ref="C10:J11"/>
    <mergeCell ref="K10:AJ11"/>
    <mergeCell ref="C12:J13"/>
    <mergeCell ref="K12:AJ13"/>
    <mergeCell ref="AK8:AP9"/>
    <mergeCell ref="AQ8:AV9"/>
    <mergeCell ref="AW8:BB9"/>
    <mergeCell ref="BC8:BH9"/>
  </mergeCells>
  <conditionalFormatting sqref="AS33 CB34 CX34 AS46">
    <cfRule type="cellIs" dxfId="53" priority="22" operator="between">
      <formula>0.75*CLV_Limit</formula>
      <formula>0.875*CLV_Limit-1</formula>
    </cfRule>
    <cfRule type="cellIs" dxfId="52" priority="23" operator="between">
      <formula>0.875*CLV_Limit</formula>
      <formula>CLV_Limit-1</formula>
    </cfRule>
    <cfRule type="cellIs" dxfId="51" priority="25" operator="greaterThan">
      <formula>CLV_Limit</formula>
    </cfRule>
  </conditionalFormatting>
  <conditionalFormatting sqref="AW10 AS36 AS49">
    <cfRule type="cellIs" dxfId="50" priority="7" operator="between">
      <formula>0.75</formula>
      <formula>0.875</formula>
    </cfRule>
    <cfRule type="cellIs" dxfId="49" priority="8" operator="between">
      <formula>0.875</formula>
      <formula>1</formula>
    </cfRule>
    <cfRule type="cellIs" dxfId="48" priority="9"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theme="6" tint="0.39997558519241921"/>
  </sheetPr>
  <dimension ref="A1:HL157"/>
  <sheetViews>
    <sheetView showGridLines="0" showRowColHeaders="0" zoomScale="90" zoomScaleNormal="90" zoomScalePageLayoutView="85" workbookViewId="0">
      <selection activeCell="CH20" sqref="CH20:CJ20"/>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161</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161</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668"/>
      <c r="BM2" s="1669"/>
      <c r="BN2" s="1669"/>
      <c r="BO2" s="1669"/>
      <c r="BP2" s="1669"/>
      <c r="BQ2" s="1669"/>
      <c r="BR2" s="1669"/>
      <c r="BS2" s="1669"/>
      <c r="BT2" s="1669"/>
      <c r="BU2" s="1669"/>
      <c r="BV2" s="1669"/>
      <c r="BW2" s="1669"/>
      <c r="BX2" s="1669"/>
      <c r="BY2" s="1669"/>
      <c r="BZ2" s="1669"/>
      <c r="CA2" s="1669"/>
      <c r="CB2" s="1669"/>
      <c r="CC2" s="1669"/>
      <c r="CD2" s="1669"/>
      <c r="CE2" s="1669"/>
      <c r="CF2" s="1669"/>
      <c r="CG2" s="1669"/>
      <c r="CH2" s="1669"/>
      <c r="CI2" s="1669"/>
      <c r="CJ2" s="1669"/>
      <c r="CK2" s="1669"/>
      <c r="CL2" s="1669"/>
      <c r="CM2" s="1669"/>
      <c r="CN2" s="1669"/>
      <c r="CO2" s="1669"/>
      <c r="CP2" s="1669"/>
      <c r="CQ2" s="1669"/>
      <c r="CR2" s="1669"/>
      <c r="CS2" s="1669"/>
      <c r="CT2" s="1669"/>
      <c r="CU2" s="1669"/>
      <c r="CV2" s="1669"/>
      <c r="CW2" s="1669"/>
      <c r="CX2" s="1669"/>
      <c r="CY2" s="1669"/>
      <c r="CZ2" s="1669"/>
      <c r="DA2" s="1669"/>
      <c r="DB2" s="1669"/>
      <c r="DC2" s="1669"/>
      <c r="DD2" s="1669"/>
      <c r="DE2" s="1669"/>
      <c r="DF2" s="1669"/>
      <c r="DG2" s="1669"/>
      <c r="DH2" s="1669"/>
      <c r="DI2" s="1669"/>
      <c r="DJ2" s="1669"/>
      <c r="DK2" s="1669"/>
      <c r="DL2" s="1669"/>
      <c r="DM2" s="1669"/>
      <c r="DN2" s="1669"/>
      <c r="DO2" s="1669"/>
      <c r="DP2" s="1669"/>
      <c r="DQ2" s="1669"/>
      <c r="DR2" s="1669"/>
      <c r="DS2" s="1670"/>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15" t="s">
        <v>97</v>
      </c>
      <c r="BM3" s="816"/>
      <c r="BN3" s="816"/>
      <c r="BO3" s="816"/>
      <c r="BP3" s="816"/>
      <c r="BQ3" s="816"/>
      <c r="BR3" s="816"/>
      <c r="BS3" s="816"/>
      <c r="BT3" s="816"/>
      <c r="BU3" s="816"/>
      <c r="BV3" s="816"/>
      <c r="BW3" s="816"/>
      <c r="BX3" s="816"/>
      <c r="BY3" s="816"/>
      <c r="BZ3" s="816"/>
      <c r="CA3" s="816"/>
      <c r="CB3" s="816"/>
      <c r="CC3" s="816"/>
      <c r="CD3" s="816"/>
      <c r="CE3" s="816"/>
      <c r="CF3" s="816"/>
      <c r="CG3" s="816"/>
      <c r="CH3" s="816"/>
      <c r="CI3" s="816"/>
      <c r="CJ3" s="816"/>
      <c r="CK3" s="816"/>
      <c r="CL3" s="816"/>
      <c r="CM3" s="816"/>
      <c r="CN3" s="816"/>
      <c r="CO3" s="816"/>
      <c r="CP3" s="816"/>
      <c r="CQ3" s="816"/>
      <c r="CR3" s="816"/>
      <c r="CS3" s="816"/>
      <c r="CT3" s="816"/>
      <c r="CU3" s="816"/>
      <c r="CV3" s="816"/>
      <c r="CW3" s="816"/>
      <c r="CX3" s="816"/>
      <c r="CY3" s="816"/>
      <c r="CZ3" s="816"/>
      <c r="DA3" s="816"/>
      <c r="DB3" s="816"/>
      <c r="DC3" s="816"/>
      <c r="DD3" s="816"/>
      <c r="DE3" s="816"/>
      <c r="DF3" s="816"/>
      <c r="DG3" s="816"/>
      <c r="DH3" s="816"/>
      <c r="DI3" s="816"/>
      <c r="DJ3" s="816"/>
      <c r="DK3" s="816"/>
      <c r="DL3" s="816"/>
      <c r="DM3" s="816"/>
      <c r="DN3" s="816"/>
      <c r="DO3" s="816"/>
      <c r="DP3" s="816"/>
      <c r="DQ3" s="816"/>
      <c r="DR3" s="816"/>
      <c r="DS3" s="822"/>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792"/>
      <c r="BM4" s="793"/>
      <c r="BN4" s="793"/>
      <c r="BO4" s="793"/>
      <c r="BP4" s="793"/>
      <c r="BQ4" s="793"/>
      <c r="BR4" s="793"/>
      <c r="BS4" s="793"/>
      <c r="BT4" s="793"/>
      <c r="BU4" s="793"/>
      <c r="BV4" s="793"/>
      <c r="BW4" s="793"/>
      <c r="BX4" s="793"/>
      <c r="BY4" s="793"/>
      <c r="BZ4" s="793"/>
      <c r="CA4" s="793"/>
      <c r="CB4" s="793"/>
      <c r="CC4" s="793"/>
      <c r="CD4" s="793"/>
      <c r="CE4" s="793"/>
      <c r="CF4" s="793"/>
      <c r="CG4" s="793"/>
      <c r="CH4" s="793"/>
      <c r="CI4" s="793"/>
      <c r="CJ4" s="793"/>
      <c r="CK4" s="793"/>
      <c r="CL4" s="793"/>
      <c r="CM4" s="793"/>
      <c r="CN4" s="793"/>
      <c r="CO4" s="793"/>
      <c r="CP4" s="793"/>
      <c r="CQ4" s="793"/>
      <c r="CR4" s="793"/>
      <c r="CS4" s="793"/>
      <c r="CT4" s="793"/>
      <c r="CU4" s="793"/>
      <c r="CV4" s="793"/>
      <c r="CW4" s="793"/>
      <c r="CX4" s="793"/>
      <c r="CY4" s="793"/>
      <c r="CZ4" s="793"/>
      <c r="DA4" s="793"/>
      <c r="DB4" s="793"/>
      <c r="DC4" s="793"/>
      <c r="DD4" s="793"/>
      <c r="DE4" s="793"/>
      <c r="DF4" s="793"/>
      <c r="DG4" s="793"/>
      <c r="DH4" s="793"/>
      <c r="DI4" s="793"/>
      <c r="DJ4" s="793"/>
      <c r="DK4" s="793"/>
      <c r="DL4" s="793"/>
      <c r="DM4" s="793"/>
      <c r="DN4" s="793"/>
      <c r="DO4" s="793"/>
      <c r="DP4" s="793"/>
      <c r="DQ4" s="793"/>
      <c r="DR4" s="793"/>
      <c r="DS4" s="814"/>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MAX(ROUND(E23/CLV_Limit,2),ROUND(AW65/CLV_Limit,2))</f>
        <v>0.66</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763"/>
      <c r="CI14" s="764"/>
      <c r="CJ14" s="765"/>
      <c r="CK14" s="769"/>
      <c r="CL14" s="764"/>
      <c r="CM14" s="765"/>
      <c r="CN14" s="769"/>
      <c r="CO14" s="764"/>
      <c r="CP14" s="771"/>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766"/>
      <c r="CI15" s="767"/>
      <c r="CJ15" s="768"/>
      <c r="CK15" s="770"/>
      <c r="CL15" s="767"/>
      <c r="CM15" s="768"/>
      <c r="CN15" s="770"/>
      <c r="CO15" s="767"/>
      <c r="CP15" s="772"/>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766"/>
      <c r="CI16" s="767"/>
      <c r="CJ16" s="768"/>
      <c r="CK16" s="770"/>
      <c r="CL16" s="767"/>
      <c r="CM16" s="768"/>
      <c r="CN16" s="770"/>
      <c r="CO16" s="767"/>
      <c r="CP16" s="772"/>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766"/>
      <c r="CI17" s="767"/>
      <c r="CJ17" s="768"/>
      <c r="CK17" s="770"/>
      <c r="CL17" s="767"/>
      <c r="CM17" s="768"/>
      <c r="CN17" s="770"/>
      <c r="CO17" s="767"/>
      <c r="CP17" s="772"/>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886" t="s">
        <v>99</v>
      </c>
      <c r="CI18" s="887"/>
      <c r="CJ18" s="888"/>
      <c r="CK18" s="889" t="s">
        <v>99</v>
      </c>
      <c r="CL18" s="887"/>
      <c r="CM18" s="888"/>
      <c r="CN18" s="889" t="s">
        <v>99</v>
      </c>
      <c r="CO18" s="887"/>
      <c r="CP18" s="890"/>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891">
        <f>SBR_Master</f>
        <v>0</v>
      </c>
      <c r="CI19" s="892"/>
      <c r="CJ19" s="893"/>
      <c r="CK19" s="894">
        <f>SBT_Master</f>
        <v>1447</v>
      </c>
      <c r="CL19" s="892"/>
      <c r="CM19" s="893"/>
      <c r="CN19" s="894">
        <f>SBL_Master</f>
        <v>607</v>
      </c>
      <c r="CO19" s="892"/>
      <c r="CP19" s="895"/>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thickBo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928">
        <v>1</v>
      </c>
      <c r="CI20" s="929"/>
      <c r="CJ20" s="929"/>
      <c r="CK20" s="1037">
        <v>3</v>
      </c>
      <c r="CL20" s="1035"/>
      <c r="CM20" s="1035"/>
      <c r="CN20" s="1035"/>
      <c r="CO20" s="1035"/>
      <c r="CP20" s="1038"/>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56"/>
      <c r="CL21" s="175"/>
      <c r="CM21" s="175"/>
      <c r="CN21" s="175"/>
      <c r="CO21" s="175"/>
      <c r="CP21" s="175"/>
      <c r="CQ21" s="175"/>
      <c r="CR21" s="175"/>
      <c r="CS21" s="175"/>
      <c r="CT21" s="175"/>
      <c r="CU21" s="175"/>
      <c r="CV21" s="176"/>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27"/>
      <c r="P22" s="27"/>
      <c r="Q22" s="174"/>
      <c r="R22" s="174"/>
      <c r="S22" s="174"/>
      <c r="T22" s="174"/>
      <c r="U22" s="174"/>
      <c r="V22" s="174"/>
      <c r="W22" s="174"/>
      <c r="X22" s="174"/>
      <c r="Y22" s="174"/>
      <c r="Z22" s="14"/>
      <c r="AA22" s="14"/>
      <c r="AB22" s="14"/>
      <c r="AC22" s="14"/>
      <c r="AD22" s="14"/>
      <c r="AE22" s="14"/>
      <c r="AF22" s="14"/>
      <c r="AG22" s="14"/>
      <c r="AH22" s="174"/>
      <c r="AI22" s="174"/>
      <c r="AJ22" s="174"/>
      <c r="AK22" s="174"/>
      <c r="AL22" s="174"/>
      <c r="AM22" s="174"/>
      <c r="AN22" s="174"/>
      <c r="AO22" s="174"/>
      <c r="AP22" s="174"/>
      <c r="AQ22" s="174"/>
      <c r="AR22" s="174"/>
      <c r="AS22" s="174"/>
      <c r="AT22" s="174"/>
      <c r="AU22" s="174"/>
      <c r="AV22" s="174"/>
      <c r="AW22" s="29"/>
      <c r="AX22" s="28"/>
      <c r="AY22" s="28"/>
      <c r="AZ22" s="28"/>
      <c r="BA22" s="28"/>
      <c r="BB22" s="28"/>
      <c r="BC22" s="28"/>
      <c r="BD22" s="28"/>
      <c r="BE22" s="28"/>
      <c r="BF22" s="28"/>
      <c r="BG22" s="174"/>
      <c r="BH22" s="174"/>
      <c r="BI22" s="177"/>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58"/>
      <c r="CL22" s="109"/>
      <c r="CM22" s="109"/>
      <c r="CN22" s="109"/>
      <c r="CO22" s="109"/>
      <c r="CP22" s="109"/>
      <c r="CQ22" s="109"/>
      <c r="CR22" s="109"/>
      <c r="CS22" s="109"/>
      <c r="CT22" s="109"/>
      <c r="CU22" s="109"/>
      <c r="CV22" s="60"/>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728">
        <f>CM27</f>
        <v>684.66666666666663</v>
      </c>
      <c r="F23" s="861"/>
      <c r="G23" s="861"/>
      <c r="H23" s="861"/>
      <c r="I23" s="861"/>
      <c r="J23" s="861"/>
      <c r="K23" s="861"/>
      <c r="L23" s="861"/>
      <c r="M23" s="861"/>
      <c r="N23" s="862"/>
      <c r="O23" s="174"/>
      <c r="P23" s="174"/>
      <c r="Q23" s="174"/>
      <c r="R23" s="174"/>
      <c r="S23" s="174"/>
      <c r="T23" s="174"/>
      <c r="U23" s="174"/>
      <c r="V23" s="174"/>
      <c r="W23" s="174"/>
      <c r="X23" s="174"/>
      <c r="Y23" s="174"/>
      <c r="Z23" s="14"/>
      <c r="AA23" s="14"/>
      <c r="AB23" s="14"/>
      <c r="AC23" s="14"/>
      <c r="AD23" s="14"/>
      <c r="AE23" s="14"/>
      <c r="AF23" s="14"/>
      <c r="AG23" s="14"/>
      <c r="AH23" s="174"/>
      <c r="AI23" s="174"/>
      <c r="AJ23" s="174"/>
      <c r="AK23" s="174"/>
      <c r="AL23" s="174"/>
      <c r="AM23" s="174"/>
      <c r="AN23" s="174"/>
      <c r="AO23" s="174"/>
      <c r="AP23" s="174"/>
      <c r="AQ23" s="174"/>
      <c r="AR23" s="174"/>
      <c r="AS23" s="174"/>
      <c r="AT23" s="174"/>
      <c r="AU23" s="174"/>
      <c r="AV23" s="174"/>
      <c r="AW23" s="28"/>
      <c r="AX23" s="28"/>
      <c r="AY23" s="28"/>
      <c r="AZ23" s="28"/>
      <c r="BA23" s="28"/>
      <c r="BB23" s="28"/>
      <c r="BC23" s="28"/>
      <c r="BD23" s="28"/>
      <c r="BE23" s="28"/>
      <c r="BF23" s="28"/>
      <c r="BG23" s="14"/>
      <c r="BH23" s="174"/>
      <c r="BI23" s="177"/>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58"/>
      <c r="CL23" s="109"/>
      <c r="CM23" s="109"/>
      <c r="CN23" s="109"/>
      <c r="CO23" s="109"/>
      <c r="CP23" s="109"/>
      <c r="CQ23" s="109"/>
      <c r="CR23" s="109"/>
      <c r="CS23" s="109"/>
      <c r="CT23" s="109"/>
      <c r="CU23" s="109"/>
      <c r="CV23" s="60"/>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863"/>
      <c r="F24" s="864"/>
      <c r="G24" s="864"/>
      <c r="H24" s="864"/>
      <c r="I24" s="864"/>
      <c r="J24" s="864"/>
      <c r="K24" s="864"/>
      <c r="L24" s="864"/>
      <c r="M24" s="864"/>
      <c r="N24" s="865"/>
      <c r="O24" s="174"/>
      <c r="P24" s="174"/>
      <c r="Q24" s="174"/>
      <c r="R24" s="174"/>
      <c r="S24" s="174"/>
      <c r="T24" s="174"/>
      <c r="U24" s="174"/>
      <c r="V24" s="174"/>
      <c r="W24" s="174"/>
      <c r="X24" s="174"/>
      <c r="Y24" s="174"/>
      <c r="Z24" s="14"/>
      <c r="AA24" s="14"/>
      <c r="AB24" s="14"/>
      <c r="AC24" s="14"/>
      <c r="AD24" s="14"/>
      <c r="AE24" s="14"/>
      <c r="AF24" s="14"/>
      <c r="AG24" s="14"/>
      <c r="AH24" s="174"/>
      <c r="AI24" s="174"/>
      <c r="AJ24" s="174"/>
      <c r="AK24" s="174"/>
      <c r="AL24" s="174"/>
      <c r="AM24" s="174"/>
      <c r="AN24" s="174"/>
      <c r="AO24" s="174"/>
      <c r="AP24" s="174"/>
      <c r="AQ24" s="174"/>
      <c r="AR24" s="174"/>
      <c r="AS24" s="174"/>
      <c r="AT24" s="174"/>
      <c r="AU24" s="174"/>
      <c r="AV24" s="174"/>
      <c r="AW24" s="28"/>
      <c r="AX24" s="28"/>
      <c r="AY24" s="28"/>
      <c r="AZ24" s="28"/>
      <c r="BA24" s="28"/>
      <c r="BB24" s="28"/>
      <c r="BC24" s="28"/>
      <c r="BD24" s="28"/>
      <c r="BE24" s="28"/>
      <c r="BF24" s="28"/>
      <c r="BG24" s="14"/>
      <c r="BH24" s="174"/>
      <c r="BI24" s="177"/>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58"/>
      <c r="CL24" s="109"/>
      <c r="CM24" s="763"/>
      <c r="CN24" s="764"/>
      <c r="CO24" s="764"/>
      <c r="CP24" s="764"/>
      <c r="CQ24" s="764"/>
      <c r="CR24" s="764"/>
      <c r="CS24" s="764"/>
      <c r="CT24" s="771"/>
      <c r="CU24" s="109"/>
      <c r="CV24" s="60"/>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866"/>
      <c r="F25" s="867"/>
      <c r="G25" s="867"/>
      <c r="H25" s="867"/>
      <c r="I25" s="867"/>
      <c r="J25" s="867"/>
      <c r="K25" s="867"/>
      <c r="L25" s="867"/>
      <c r="M25" s="867"/>
      <c r="N25" s="868"/>
      <c r="O25" s="174"/>
      <c r="P25" s="174"/>
      <c r="Q25" s="174"/>
      <c r="R25" s="174"/>
      <c r="S25" s="174"/>
      <c r="T25" s="174"/>
      <c r="U25" s="174"/>
      <c r="V25" s="174"/>
      <c r="W25" s="174"/>
      <c r="X25" s="174"/>
      <c r="Y25" s="174"/>
      <c r="Z25" s="14"/>
      <c r="AA25" s="14"/>
      <c r="AB25" s="14"/>
      <c r="AC25" s="14"/>
      <c r="AD25" s="14"/>
      <c r="AE25" s="14"/>
      <c r="AF25" s="14"/>
      <c r="AG25" s="14"/>
      <c r="AH25" s="174"/>
      <c r="AI25" s="174"/>
      <c r="AJ25" s="174"/>
      <c r="AK25" s="174"/>
      <c r="AL25" s="174"/>
      <c r="AM25" s="174"/>
      <c r="AN25" s="174"/>
      <c r="AO25" s="174"/>
      <c r="AP25" s="174"/>
      <c r="AQ25" s="174"/>
      <c r="AR25" s="174"/>
      <c r="AS25" s="174"/>
      <c r="AT25" s="174"/>
      <c r="AU25" s="174"/>
      <c r="AV25" s="174"/>
      <c r="AW25" s="27"/>
      <c r="AX25" s="174"/>
      <c r="AY25" s="174"/>
      <c r="AZ25" s="174"/>
      <c r="BA25" s="174"/>
      <c r="BB25" s="174"/>
      <c r="BC25" s="174"/>
      <c r="BD25" s="174"/>
      <c r="BE25" s="174"/>
      <c r="BF25" s="174"/>
      <c r="BG25" s="174"/>
      <c r="BH25" s="174"/>
      <c r="BI25" s="177"/>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58"/>
      <c r="CL25" s="109"/>
      <c r="CM25" s="766"/>
      <c r="CN25" s="767"/>
      <c r="CO25" s="767"/>
      <c r="CP25" s="767"/>
      <c r="CQ25" s="767"/>
      <c r="CR25" s="767"/>
      <c r="CS25" s="767"/>
      <c r="CT25" s="772"/>
      <c r="CU25" s="109"/>
      <c r="CV25" s="60"/>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c r="B26" s="1"/>
      <c r="C26" s="174"/>
      <c r="D26" s="174"/>
      <c r="E26" s="713">
        <f>ROUND(E23/CLV_Limit,2)</f>
        <v>0.43</v>
      </c>
      <c r="F26" s="714"/>
      <c r="G26" s="714"/>
      <c r="H26" s="714"/>
      <c r="I26" s="715"/>
      <c r="J26" s="722" t="s">
        <v>100</v>
      </c>
      <c r="K26" s="722"/>
      <c r="L26" s="722"/>
      <c r="M26" s="722"/>
      <c r="N26" s="723"/>
      <c r="O26" s="174"/>
      <c r="P26" s="174"/>
      <c r="Q26" s="174"/>
      <c r="R26" s="174"/>
      <c r="S26" s="174"/>
      <c r="T26" s="174"/>
      <c r="U26" s="174"/>
      <c r="V26" s="174"/>
      <c r="W26" s="174"/>
      <c r="X26" s="174"/>
      <c r="Y26" s="174"/>
      <c r="Z26" s="14"/>
      <c r="AA26" s="14"/>
      <c r="AB26" s="14"/>
      <c r="AC26" s="14"/>
      <c r="AD26" s="14"/>
      <c r="AE26" s="14"/>
      <c r="AF26" s="14"/>
      <c r="AG26" s="1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7"/>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58"/>
      <c r="CL26" s="109"/>
      <c r="CM26" s="766"/>
      <c r="CN26" s="767"/>
      <c r="CO26" s="767"/>
      <c r="CP26" s="767"/>
      <c r="CQ26" s="767"/>
      <c r="CR26" s="767"/>
      <c r="CS26" s="767"/>
      <c r="CT26" s="772"/>
      <c r="CU26" s="109"/>
      <c r="CV26" s="60"/>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716"/>
      <c r="F27" s="717"/>
      <c r="G27" s="717"/>
      <c r="H27" s="717"/>
      <c r="I27" s="718"/>
      <c r="J27" s="724"/>
      <c r="K27" s="724"/>
      <c r="L27" s="724"/>
      <c r="M27" s="724"/>
      <c r="N27" s="725"/>
      <c r="O27" s="174"/>
      <c r="P27" s="174"/>
      <c r="Q27" s="174"/>
      <c r="R27" s="174"/>
      <c r="S27" s="174"/>
      <c r="T27" s="174"/>
      <c r="U27" s="174"/>
      <c r="V27" s="174"/>
      <c r="W27" s="174"/>
      <c r="X27" s="174"/>
      <c r="Y27" s="174"/>
      <c r="Z27" s="14"/>
      <c r="AA27" s="14"/>
      <c r="AB27" s="14"/>
      <c r="AC27" s="14"/>
      <c r="AD27" s="14"/>
      <c r="AE27" s="14"/>
      <c r="AF27" s="14"/>
      <c r="AG27" s="1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58"/>
      <c r="CL27" s="109"/>
      <c r="CM27" s="1833">
        <f>(CK19+CN19)/CK20+CK34/LTAF/CK33</f>
        <v>684.66666666666663</v>
      </c>
      <c r="CN27" s="1834"/>
      <c r="CO27" s="1834"/>
      <c r="CP27" s="1834"/>
      <c r="CQ27" s="1834"/>
      <c r="CR27" s="1834"/>
      <c r="CS27" s="1834"/>
      <c r="CT27" s="1835"/>
      <c r="CU27" s="109"/>
      <c r="CV27" s="60"/>
      <c r="CW27" s="19"/>
      <c r="CX27" s="19"/>
      <c r="CY27" s="19"/>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thickBot="1">
      <c r="B28" s="1"/>
      <c r="C28" s="174"/>
      <c r="D28" s="174"/>
      <c r="E28" s="719"/>
      <c r="F28" s="720"/>
      <c r="G28" s="720"/>
      <c r="H28" s="720"/>
      <c r="I28" s="721"/>
      <c r="J28" s="726"/>
      <c r="K28" s="726"/>
      <c r="L28" s="726"/>
      <c r="M28" s="726"/>
      <c r="N28" s="727"/>
      <c r="O28" s="174"/>
      <c r="P28" s="174"/>
      <c r="Q28" s="174"/>
      <c r="R28" s="174"/>
      <c r="S28" s="174"/>
      <c r="T28" s="174"/>
      <c r="U28" s="174"/>
      <c r="V28" s="174"/>
      <c r="W28" s="174"/>
      <c r="X28" s="174"/>
      <c r="Y28" s="174"/>
      <c r="Z28" s="14"/>
      <c r="AA28" s="14"/>
      <c r="AB28" s="14"/>
      <c r="AC28" s="14"/>
      <c r="AD28" s="14"/>
      <c r="AE28" s="14"/>
      <c r="AF28" s="14"/>
      <c r="AG28" s="1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58"/>
      <c r="CL28" s="109"/>
      <c r="CM28" s="1833"/>
      <c r="CN28" s="1834"/>
      <c r="CO28" s="1834"/>
      <c r="CP28" s="1834"/>
      <c r="CQ28" s="1834"/>
      <c r="CR28" s="1834"/>
      <c r="CS28" s="1834"/>
      <c r="CT28" s="1835"/>
      <c r="CU28" s="109"/>
      <c r="CV28" s="60"/>
      <c r="CW28" s="19"/>
      <c r="CX28" s="19"/>
      <c r="CY28" s="19"/>
      <c r="CZ28" s="174"/>
      <c r="DA28" s="174"/>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58"/>
      <c r="CL29" s="109"/>
      <c r="CM29" s="1836"/>
      <c r="CN29" s="1837"/>
      <c r="CO29" s="1837"/>
      <c r="CP29" s="1837"/>
      <c r="CQ29" s="1837"/>
      <c r="CR29" s="1837"/>
      <c r="CS29" s="1837"/>
      <c r="CT29" s="1838"/>
      <c r="CU29" s="109"/>
      <c r="CV29" s="60"/>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58"/>
      <c r="CL30" s="109"/>
      <c r="CM30" s="109"/>
      <c r="CN30" s="109"/>
      <c r="CO30" s="109"/>
      <c r="CP30" s="109"/>
      <c r="CQ30" s="109"/>
      <c r="CR30" s="109"/>
      <c r="CS30" s="109"/>
      <c r="CT30" s="109"/>
      <c r="CU30" s="109"/>
      <c r="CV30" s="60"/>
      <c r="CW30" s="174"/>
      <c r="CX30" s="174"/>
      <c r="CY30" s="174"/>
      <c r="CZ30" s="174"/>
      <c r="DA30" s="19"/>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58"/>
      <c r="CL31" s="109"/>
      <c r="CM31" s="109"/>
      <c r="CN31" s="109"/>
      <c r="CO31" s="109"/>
      <c r="CP31" s="109"/>
      <c r="CQ31" s="109"/>
      <c r="CR31" s="109"/>
      <c r="CS31" s="109"/>
      <c r="CT31" s="109"/>
      <c r="CU31" s="109"/>
      <c r="CV31" s="60"/>
      <c r="CW31" s="174"/>
      <c r="CX31" s="174"/>
      <c r="CY31" s="174"/>
      <c r="CZ31" s="174"/>
      <c r="DA31" s="19"/>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24"/>
      <c r="CG32" s="18"/>
      <c r="CH32" s="174"/>
      <c r="CI32" s="174"/>
      <c r="CJ32" s="174"/>
      <c r="CK32" s="61"/>
      <c r="CL32" s="110"/>
      <c r="CM32" s="110"/>
      <c r="CN32" s="110"/>
      <c r="CO32" s="110"/>
      <c r="CP32" s="110"/>
      <c r="CQ32" s="110"/>
      <c r="CR32" s="110"/>
      <c r="CS32" s="110"/>
      <c r="CT32" s="110"/>
      <c r="CU32" s="110"/>
      <c r="CV32" s="63"/>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24"/>
      <c r="CG33" s="18"/>
      <c r="CH33" s="174"/>
      <c r="CI33" s="174"/>
      <c r="CJ33" s="4"/>
      <c r="CK33" s="968">
        <v>1</v>
      </c>
      <c r="CL33" s="969"/>
      <c r="CM33" s="972"/>
      <c r="CN33" s="4"/>
      <c r="CO33" s="4"/>
      <c r="CP33" s="4"/>
      <c r="CQ33" s="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74"/>
      <c r="CB34" s="174"/>
      <c r="CC34" s="174"/>
      <c r="CD34" s="174"/>
      <c r="CE34" s="174"/>
      <c r="CF34" s="24"/>
      <c r="CG34" s="18"/>
      <c r="CH34" s="174"/>
      <c r="CI34" s="174"/>
      <c r="CJ34" s="4"/>
      <c r="CK34" s="973">
        <f>CQ57</f>
        <v>0</v>
      </c>
      <c r="CL34" s="974"/>
      <c r="CM34" s="977"/>
      <c r="CN34" s="4"/>
      <c r="CO34" s="4"/>
      <c r="CP34" s="4"/>
      <c r="CQ34" s="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33"/>
      <c r="CK35" s="918" t="s">
        <v>99</v>
      </c>
      <c r="CL35" s="919"/>
      <c r="CM35" s="922"/>
      <c r="CN35" s="33"/>
      <c r="CO35" s="33"/>
      <c r="CP35" s="33"/>
      <c r="CQ35" s="33"/>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33"/>
      <c r="CK36" s="766"/>
      <c r="CL36" s="767"/>
      <c r="CM36" s="772"/>
      <c r="CN36" s="174"/>
      <c r="CO36" s="174"/>
      <c r="CP36" s="33"/>
      <c r="CQ36" s="33"/>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33"/>
      <c r="CK37" s="766"/>
      <c r="CL37" s="767"/>
      <c r="CM37" s="772"/>
      <c r="CN37" s="174"/>
      <c r="CO37" s="174"/>
      <c r="CP37" s="33"/>
      <c r="CQ37" s="33"/>
      <c r="CR37" s="174"/>
      <c r="CS37" s="174"/>
      <c r="CT37" s="763"/>
      <c r="CU37" s="764"/>
      <c r="CV37" s="771"/>
      <c r="CW37" s="174"/>
      <c r="CX37" s="174"/>
      <c r="CY37" s="174"/>
      <c r="CZ37" s="174"/>
      <c r="DA37" s="174"/>
      <c r="DB37" s="174"/>
      <c r="DC37" s="174"/>
      <c r="DD37" s="174"/>
      <c r="DE37" s="174"/>
      <c r="DF37" s="174"/>
      <c r="DG37" s="174"/>
      <c r="DH37" s="174"/>
      <c r="DI37" s="6"/>
      <c r="DJ37" s="6"/>
      <c r="DK37" s="6"/>
      <c r="DL37" s="6"/>
      <c r="DM37" s="18"/>
      <c r="DN37" s="18"/>
      <c r="DO37" s="2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766"/>
      <c r="CL38" s="767"/>
      <c r="CM38" s="772"/>
      <c r="CN38" s="174"/>
      <c r="CO38" s="174"/>
      <c r="CP38" s="174"/>
      <c r="CQ38" s="174"/>
      <c r="CR38" s="174"/>
      <c r="CS38" s="174"/>
      <c r="CT38" s="766"/>
      <c r="CU38" s="767"/>
      <c r="CV38" s="772"/>
      <c r="CW38" s="174"/>
      <c r="CX38" s="174"/>
      <c r="CY38" s="174"/>
      <c r="CZ38" s="174"/>
      <c r="DA38" s="174"/>
      <c r="DB38" s="174"/>
      <c r="DC38" s="174"/>
      <c r="DD38" s="174"/>
      <c r="DE38" s="174"/>
      <c r="DF38" s="174"/>
      <c r="DG38" s="174"/>
      <c r="DH38" s="174"/>
      <c r="DI38" s="6"/>
      <c r="DJ38" s="6"/>
      <c r="DK38" s="6"/>
      <c r="DL38" s="6"/>
      <c r="DM38" s="18"/>
      <c r="DN38" s="18"/>
      <c r="DO38" s="2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849"/>
      <c r="CL39" s="705"/>
      <c r="CM39" s="852"/>
      <c r="CN39" s="174"/>
      <c r="CO39" s="174"/>
      <c r="CP39" s="174"/>
      <c r="CQ39" s="174"/>
      <c r="CR39" s="174"/>
      <c r="CS39" s="174"/>
      <c r="CT39" s="766"/>
      <c r="CU39" s="767"/>
      <c r="CV39" s="772"/>
      <c r="CW39" s="174"/>
      <c r="CX39" s="174"/>
      <c r="CY39" s="174"/>
      <c r="CZ39" s="174"/>
      <c r="DA39" s="174"/>
      <c r="DB39" s="174"/>
      <c r="DC39" s="174"/>
      <c r="DD39" s="174"/>
      <c r="DE39" s="174"/>
      <c r="DF39" s="174"/>
      <c r="DG39" s="174"/>
      <c r="DH39" s="174"/>
      <c r="DI39" s="6"/>
      <c r="DJ39" s="6"/>
      <c r="DK39" s="6"/>
      <c r="DL39" s="6"/>
      <c r="DM39" s="18"/>
      <c r="DN39" s="18"/>
      <c r="DO39" s="2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766"/>
      <c r="CU40" s="767"/>
      <c r="CV40" s="772"/>
      <c r="CW40" s="174"/>
      <c r="CX40" s="174"/>
      <c r="CY40" s="174"/>
      <c r="CZ40" s="174"/>
      <c r="DA40" s="174"/>
      <c r="DB40" s="174"/>
      <c r="DC40" s="174"/>
      <c r="DD40" s="174"/>
      <c r="DE40" s="174"/>
      <c r="DF40" s="174"/>
      <c r="DG40" s="174"/>
      <c r="DH40" s="174"/>
      <c r="DI40" s="41"/>
      <c r="DJ40" s="19"/>
      <c r="DK40" s="19"/>
      <c r="DL40" s="6"/>
      <c r="DM40" s="6"/>
      <c r="DN40" s="6"/>
      <c r="DO40" s="6"/>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8"/>
      <c r="CH41" s="16"/>
      <c r="CI41" s="16"/>
      <c r="CJ41" s="16"/>
      <c r="CK41" s="174"/>
      <c r="CL41" s="174"/>
      <c r="CM41" s="174"/>
      <c r="CN41" s="174"/>
      <c r="CO41" s="174"/>
      <c r="CP41" s="174"/>
      <c r="CQ41" s="174"/>
      <c r="CR41" s="174"/>
      <c r="CS41" s="174"/>
      <c r="CT41" s="918" t="s">
        <v>99</v>
      </c>
      <c r="CU41" s="919"/>
      <c r="CV41" s="922"/>
      <c r="CW41" s="174"/>
      <c r="CX41" s="174"/>
      <c r="CY41" s="174"/>
      <c r="CZ41" s="174"/>
      <c r="DA41" s="174"/>
      <c r="DB41" s="174"/>
      <c r="DC41" s="174"/>
      <c r="DD41" s="174"/>
      <c r="DE41" s="174"/>
      <c r="DF41" s="174"/>
      <c r="DG41" s="174"/>
      <c r="DH41" s="174"/>
      <c r="DI41" s="41"/>
      <c r="DJ41" s="19"/>
      <c r="DK41" s="19"/>
      <c r="DL41" s="6"/>
      <c r="DM41" s="6"/>
      <c r="DN41" s="6"/>
      <c r="DO41" s="6"/>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8"/>
      <c r="CH42" s="174"/>
      <c r="CI42" s="174"/>
      <c r="CJ42" s="174"/>
      <c r="CK42" s="174"/>
      <c r="CL42" s="174"/>
      <c r="CM42" s="174"/>
      <c r="CN42" s="174"/>
      <c r="CO42" s="174"/>
      <c r="CP42" s="174"/>
      <c r="CQ42" s="174"/>
      <c r="CR42" s="174"/>
      <c r="CS42" s="174"/>
      <c r="CT42" s="923">
        <f>CN19</f>
        <v>607</v>
      </c>
      <c r="CU42" s="924"/>
      <c r="CV42" s="927"/>
      <c r="CW42" s="174"/>
      <c r="CX42" s="174"/>
      <c r="CY42" s="174"/>
      <c r="CZ42" s="174"/>
      <c r="DA42" s="174"/>
      <c r="DB42" s="174"/>
      <c r="DC42" s="174"/>
      <c r="DD42" s="174"/>
      <c r="DE42" s="174"/>
      <c r="DF42" s="174"/>
      <c r="DG42" s="174"/>
      <c r="DH42" s="174"/>
      <c r="DI42" s="41"/>
      <c r="DJ42" s="19"/>
      <c r="DK42" s="19"/>
      <c r="DL42" s="6"/>
      <c r="DM42" s="6"/>
      <c r="DN42" s="6"/>
      <c r="DO42" s="6"/>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8"/>
      <c r="CH43" s="174"/>
      <c r="CI43" s="174"/>
      <c r="CJ43" s="174"/>
      <c r="CK43" s="174"/>
      <c r="CL43" s="174"/>
      <c r="CM43" s="174"/>
      <c r="CN43" s="174"/>
      <c r="CO43" s="174"/>
      <c r="CP43" s="174"/>
      <c r="CQ43" s="174"/>
      <c r="CR43" s="174"/>
      <c r="CS43" s="174"/>
      <c r="CT43" s="1034">
        <v>1</v>
      </c>
      <c r="CU43" s="1035"/>
      <c r="CV43" s="1038"/>
      <c r="CW43" s="174"/>
      <c r="CX43" s="174"/>
      <c r="CY43" s="174"/>
      <c r="CZ43" s="174"/>
      <c r="DA43" s="174"/>
      <c r="DB43" s="174"/>
      <c r="DC43" s="174"/>
      <c r="DD43" s="174"/>
      <c r="DE43" s="174"/>
      <c r="DF43" s="174"/>
      <c r="DG43" s="174"/>
      <c r="DH43" s="174"/>
      <c r="DI43" s="41"/>
      <c r="DJ43" s="19"/>
      <c r="DK43" s="19"/>
      <c r="DL43" s="6"/>
      <c r="DM43" s="6"/>
      <c r="DN43" s="6"/>
      <c r="DO43" s="6"/>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56"/>
      <c r="CL44" s="175"/>
      <c r="CM44" s="175"/>
      <c r="CN44" s="175"/>
      <c r="CO44" s="175"/>
      <c r="CP44" s="175"/>
      <c r="CQ44" s="175"/>
      <c r="CR44" s="175"/>
      <c r="CS44" s="175"/>
      <c r="CT44" s="175"/>
      <c r="CU44" s="175"/>
      <c r="CV44" s="176"/>
      <c r="CW44" s="174"/>
      <c r="CX44" s="174"/>
      <c r="CY44" s="174"/>
      <c r="CZ44" s="174"/>
      <c r="DA44" s="174"/>
      <c r="DB44" s="174"/>
      <c r="DC44" s="174"/>
      <c r="DD44" s="174"/>
      <c r="DE44" s="174"/>
      <c r="DF44" s="174"/>
      <c r="DG44" s="174"/>
      <c r="DH44" s="174"/>
      <c r="DI44" s="41"/>
      <c r="DJ44" s="19"/>
      <c r="DK44" s="19"/>
      <c r="DL44" s="6"/>
      <c r="DM44" s="6"/>
      <c r="DN44" s="6"/>
      <c r="DO44" s="6"/>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58"/>
      <c r="CL45" s="109"/>
      <c r="CM45" s="109"/>
      <c r="CN45" s="109"/>
      <c r="CO45" s="109"/>
      <c r="CP45" s="109"/>
      <c r="CQ45" s="109"/>
      <c r="CR45" s="109"/>
      <c r="CS45" s="109"/>
      <c r="CT45" s="109"/>
      <c r="CU45" s="109"/>
      <c r="CV45" s="60"/>
      <c r="CW45" s="174"/>
      <c r="CX45" s="174"/>
      <c r="CY45" s="174"/>
      <c r="CZ45" s="174"/>
      <c r="DA45" s="174"/>
      <c r="DB45" s="174"/>
      <c r="DC45" s="174"/>
      <c r="DD45" s="174"/>
      <c r="DE45" s="174"/>
      <c r="DF45" s="174"/>
      <c r="DG45" s="174"/>
      <c r="DH45" s="174"/>
      <c r="DI45" s="41"/>
      <c r="DJ45" s="19"/>
      <c r="DK45" s="19"/>
      <c r="DL45" s="6"/>
      <c r="DM45" s="6"/>
      <c r="DN45" s="6"/>
      <c r="DO45" s="6"/>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58"/>
      <c r="CL46" s="109"/>
      <c r="CM46" s="109"/>
      <c r="CN46" s="109"/>
      <c r="CO46" s="109"/>
      <c r="CP46" s="109"/>
      <c r="CQ46" s="109"/>
      <c r="CR46" s="109"/>
      <c r="CS46" s="109"/>
      <c r="CT46" s="109"/>
      <c r="CU46" s="109"/>
      <c r="CV46" s="60"/>
      <c r="CW46" s="174"/>
      <c r="CX46" s="174"/>
      <c r="CY46" s="174"/>
      <c r="CZ46" s="174"/>
      <c r="DA46" s="174"/>
      <c r="DB46" s="174"/>
      <c r="DC46" s="174"/>
      <c r="DD46" s="174"/>
      <c r="DE46" s="174"/>
      <c r="DF46" s="174"/>
      <c r="DG46" s="174"/>
      <c r="DH46" s="174"/>
      <c r="DI46" s="6"/>
      <c r="DJ46" s="6"/>
      <c r="DK46" s="6"/>
      <c r="DL46" s="6"/>
      <c r="DM46" s="18"/>
      <c r="DN46" s="18"/>
      <c r="DO46" s="2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58"/>
      <c r="CL47" s="109"/>
      <c r="CM47" s="763"/>
      <c r="CN47" s="764"/>
      <c r="CO47" s="764"/>
      <c r="CP47" s="764"/>
      <c r="CQ47" s="764"/>
      <c r="CR47" s="764"/>
      <c r="CS47" s="764"/>
      <c r="CT47" s="771"/>
      <c r="CU47" s="109"/>
      <c r="CV47" s="60"/>
      <c r="CW47" s="174"/>
      <c r="CX47" s="174"/>
      <c r="CY47" s="174"/>
      <c r="CZ47" s="174"/>
      <c r="DA47" s="174"/>
      <c r="DB47" s="174"/>
      <c r="DC47" s="174"/>
      <c r="DD47" s="174"/>
      <c r="DE47" s="174"/>
      <c r="DF47" s="174"/>
      <c r="DG47" s="174"/>
      <c r="DH47" s="174"/>
      <c r="DI47" s="6"/>
      <c r="DJ47" s="6"/>
      <c r="DK47" s="6"/>
      <c r="DL47" s="6"/>
      <c r="DM47" s="18"/>
      <c r="DN47" s="18"/>
      <c r="DO47" s="2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58"/>
      <c r="CL48" s="109"/>
      <c r="CM48" s="766"/>
      <c r="CN48" s="767"/>
      <c r="CO48" s="767"/>
      <c r="CP48" s="767"/>
      <c r="CQ48" s="767"/>
      <c r="CR48" s="767"/>
      <c r="CS48" s="767"/>
      <c r="CT48" s="772"/>
      <c r="CU48" s="109"/>
      <c r="CV48" s="60"/>
      <c r="CW48" s="174"/>
      <c r="CX48" s="174"/>
      <c r="CY48" s="174"/>
      <c r="CZ48" s="174"/>
      <c r="DA48" s="174"/>
      <c r="DB48" s="174"/>
      <c r="DC48" s="174"/>
      <c r="DD48" s="174"/>
      <c r="DE48" s="174"/>
      <c r="DF48" s="174"/>
      <c r="DG48" s="174"/>
      <c r="DH48" s="174"/>
      <c r="DI48" s="6"/>
      <c r="DJ48" s="6"/>
      <c r="DK48" s="6"/>
      <c r="DL48" s="6"/>
      <c r="DM48" s="18"/>
      <c r="DN48" s="18"/>
      <c r="DO48" s="2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58"/>
      <c r="CL49" s="109"/>
      <c r="CM49" s="766"/>
      <c r="CN49" s="767"/>
      <c r="CO49" s="767"/>
      <c r="CP49" s="767"/>
      <c r="CQ49" s="767"/>
      <c r="CR49" s="767"/>
      <c r="CS49" s="767"/>
      <c r="CT49" s="772"/>
      <c r="CU49" s="109"/>
      <c r="CV49" s="60"/>
      <c r="CW49" s="174"/>
      <c r="CX49" s="174"/>
      <c r="CY49" s="174"/>
      <c r="CZ49" s="174"/>
      <c r="DA49" s="174"/>
      <c r="DB49" s="174"/>
      <c r="DC49" s="174"/>
      <c r="DD49" s="174"/>
      <c r="DE49" s="174"/>
      <c r="DF49" s="174"/>
      <c r="DG49" s="174"/>
      <c r="DH49" s="174"/>
      <c r="DI49" s="174"/>
      <c r="DJ49" s="54"/>
      <c r="DK49" s="54"/>
      <c r="DL49" s="54"/>
      <c r="DM49" s="4"/>
      <c r="DN49" s="4"/>
      <c r="DO49" s="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58"/>
      <c r="CL50" s="109"/>
      <c r="CM50" s="1833">
        <f>(CQ57+CT57)/CQ56 +(CT42/LTAF/CT43)</f>
        <v>1058.9473684210527</v>
      </c>
      <c r="CN50" s="1834"/>
      <c r="CO50" s="1834"/>
      <c r="CP50" s="1834"/>
      <c r="CQ50" s="1834"/>
      <c r="CR50" s="1834"/>
      <c r="CS50" s="1834"/>
      <c r="CT50" s="1835"/>
      <c r="CU50" s="109"/>
      <c r="CV50" s="60"/>
      <c r="CW50" s="174"/>
      <c r="CX50" s="174"/>
      <c r="CY50" s="174"/>
      <c r="CZ50" s="174"/>
      <c r="DA50" s="174"/>
      <c r="DB50" s="174"/>
      <c r="DC50" s="174"/>
      <c r="DD50" s="174"/>
      <c r="DE50" s="174"/>
      <c r="DF50" s="174"/>
      <c r="DG50" s="174"/>
      <c r="DH50" s="174"/>
      <c r="DI50" s="174"/>
      <c r="DJ50" s="16"/>
      <c r="DK50" s="16"/>
      <c r="DL50" s="16"/>
      <c r="DM50" s="4"/>
      <c r="DN50" s="4"/>
      <c r="DO50" s="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58"/>
      <c r="CL51" s="109"/>
      <c r="CM51" s="1833"/>
      <c r="CN51" s="1834"/>
      <c r="CO51" s="1834"/>
      <c r="CP51" s="1834"/>
      <c r="CQ51" s="1834"/>
      <c r="CR51" s="1834"/>
      <c r="CS51" s="1834"/>
      <c r="CT51" s="1835"/>
      <c r="CU51" s="109"/>
      <c r="CV51" s="60"/>
      <c r="CW51" s="174"/>
      <c r="CX51" s="174"/>
      <c r="CY51" s="174"/>
      <c r="CZ51" s="174"/>
      <c r="DA51" s="174"/>
      <c r="DB51" s="174"/>
      <c r="DC51" s="174"/>
      <c r="DD51" s="174"/>
      <c r="DE51" s="174"/>
      <c r="DF51" s="174"/>
      <c r="DG51" s="174"/>
      <c r="DH51" s="174"/>
      <c r="DI51" s="174"/>
      <c r="DJ51" s="16"/>
      <c r="DK51" s="16"/>
      <c r="DL51" s="16"/>
      <c r="DM51" s="4"/>
      <c r="DN51" s="4"/>
      <c r="DO51" s="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58"/>
      <c r="CL52" s="109"/>
      <c r="CM52" s="1836"/>
      <c r="CN52" s="1837"/>
      <c r="CO52" s="1837"/>
      <c r="CP52" s="1837"/>
      <c r="CQ52" s="1837"/>
      <c r="CR52" s="1837"/>
      <c r="CS52" s="1837"/>
      <c r="CT52" s="1838"/>
      <c r="CU52" s="109"/>
      <c r="CV52" s="60"/>
      <c r="CW52" s="174"/>
      <c r="CX52" s="174"/>
      <c r="CY52" s="174"/>
      <c r="CZ52" s="174"/>
      <c r="DA52" s="174"/>
      <c r="DB52" s="174"/>
      <c r="DC52" s="174"/>
      <c r="DD52" s="174"/>
      <c r="DE52" s="174"/>
      <c r="DF52" s="174"/>
      <c r="DG52" s="174"/>
      <c r="DH52" s="174"/>
      <c r="DI52" s="174"/>
      <c r="DJ52" s="4"/>
      <c r="DK52" s="4"/>
      <c r="DL52" s="4"/>
      <c r="DM52" s="4"/>
      <c r="DN52" s="4"/>
      <c r="DO52" s="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58"/>
      <c r="CL53" s="109"/>
      <c r="CM53" s="109"/>
      <c r="CN53" s="109"/>
      <c r="CO53" s="109"/>
      <c r="CP53" s="109"/>
      <c r="CQ53" s="109"/>
      <c r="CR53" s="109"/>
      <c r="CS53" s="109"/>
      <c r="CT53" s="109"/>
      <c r="CU53" s="109"/>
      <c r="CV53" s="60"/>
      <c r="CW53" s="174"/>
      <c r="CX53" s="174"/>
      <c r="CY53" s="174"/>
      <c r="CZ53" s="174"/>
      <c r="DA53" s="174"/>
      <c r="DB53" s="174"/>
      <c r="DC53" s="174"/>
      <c r="DD53" s="174"/>
      <c r="DE53" s="174"/>
      <c r="DF53" s="174"/>
      <c r="DG53" s="174"/>
      <c r="DH53" s="174"/>
      <c r="DI53" s="174"/>
      <c r="DJ53" s="4"/>
      <c r="DK53" s="4"/>
      <c r="DL53" s="4"/>
      <c r="DM53" s="16"/>
      <c r="DN53" s="16"/>
      <c r="DO53" s="16"/>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58"/>
      <c r="CL54" s="109"/>
      <c r="CM54" s="109"/>
      <c r="CN54" s="109"/>
      <c r="CO54" s="109"/>
      <c r="CP54" s="109"/>
      <c r="CQ54" s="109"/>
      <c r="CR54" s="109"/>
      <c r="CS54" s="109"/>
      <c r="CT54" s="109"/>
      <c r="CU54" s="109"/>
      <c r="CV54" s="60"/>
      <c r="CW54" s="174"/>
      <c r="CX54" s="174"/>
      <c r="CY54" s="174"/>
      <c r="CZ54" s="174"/>
      <c r="DA54" s="174"/>
      <c r="DB54" s="174"/>
      <c r="DC54" s="174"/>
      <c r="DD54" s="174"/>
      <c r="DE54" s="174"/>
      <c r="DF54" s="174"/>
      <c r="DG54" s="174"/>
      <c r="DH54" s="174"/>
      <c r="DI54" s="174"/>
      <c r="DJ54" s="4"/>
      <c r="DK54" s="4"/>
      <c r="DL54" s="4"/>
      <c r="DM54" s="22"/>
      <c r="DN54" s="22"/>
      <c r="DO54" s="22"/>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61"/>
      <c r="CL55" s="110"/>
      <c r="CM55" s="110"/>
      <c r="CN55" s="110"/>
      <c r="CO55" s="110"/>
      <c r="CP55" s="110"/>
      <c r="CQ55" s="110"/>
      <c r="CR55" s="110"/>
      <c r="CS55" s="110"/>
      <c r="CT55" s="110"/>
      <c r="CU55" s="110"/>
      <c r="CV55" s="63"/>
      <c r="CW55" s="174"/>
      <c r="CX55" s="174"/>
      <c r="CY55" s="174"/>
      <c r="CZ55" s="174"/>
      <c r="DA55" s="174"/>
      <c r="DB55" s="174"/>
      <c r="DC55" s="174"/>
      <c r="DD55" s="174"/>
      <c r="DE55" s="174"/>
      <c r="DF55" s="174"/>
      <c r="DG55" s="174"/>
      <c r="DH55" s="174"/>
      <c r="DI55" s="174"/>
      <c r="DJ55" s="4"/>
      <c r="DK55" s="4"/>
      <c r="DL55" s="4"/>
      <c r="DM55" s="54"/>
      <c r="DN55" s="54"/>
      <c r="DO55" s="5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968">
        <v>3</v>
      </c>
      <c r="CR56" s="969"/>
      <c r="CS56" s="969"/>
      <c r="CT56" s="969"/>
      <c r="CU56" s="969"/>
      <c r="CV56" s="970"/>
      <c r="CW56" s="971">
        <v>1</v>
      </c>
      <c r="CX56" s="969"/>
      <c r="CY56" s="972"/>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983">
        <f>NBL_Master</f>
        <v>0</v>
      </c>
      <c r="CR57" s="984"/>
      <c r="CS57" s="985"/>
      <c r="CT57" s="986">
        <f>NBT_Master</f>
        <v>1260</v>
      </c>
      <c r="CU57" s="984"/>
      <c r="CV57" s="985"/>
      <c r="CW57" s="986">
        <f>NBR_Master</f>
        <v>1060</v>
      </c>
      <c r="CX57" s="984"/>
      <c r="CY57" s="987"/>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886" t="s">
        <v>99</v>
      </c>
      <c r="CR58" s="887"/>
      <c r="CS58" s="888"/>
      <c r="CT58" s="889" t="s">
        <v>99</v>
      </c>
      <c r="CU58" s="887"/>
      <c r="CV58" s="888"/>
      <c r="CW58" s="889" t="s">
        <v>99</v>
      </c>
      <c r="CX58" s="887"/>
      <c r="CY58" s="890"/>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766"/>
      <c r="CR59" s="767"/>
      <c r="CS59" s="768"/>
      <c r="CT59" s="770"/>
      <c r="CU59" s="767"/>
      <c r="CV59" s="768"/>
      <c r="CW59" s="770"/>
      <c r="CX59" s="767"/>
      <c r="CY59" s="772"/>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766"/>
      <c r="CR60" s="767"/>
      <c r="CS60" s="768"/>
      <c r="CT60" s="770"/>
      <c r="CU60" s="767"/>
      <c r="CV60" s="768"/>
      <c r="CW60" s="770"/>
      <c r="CX60" s="767"/>
      <c r="CY60" s="772"/>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766"/>
      <c r="CR61" s="767"/>
      <c r="CS61" s="768"/>
      <c r="CT61" s="770"/>
      <c r="CU61" s="767"/>
      <c r="CV61" s="768"/>
      <c r="CW61" s="770"/>
      <c r="CX61" s="767"/>
      <c r="CY61" s="772"/>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849"/>
      <c r="CR62" s="705"/>
      <c r="CS62" s="850"/>
      <c r="CT62" s="851"/>
      <c r="CU62" s="705"/>
      <c r="CV62" s="850"/>
      <c r="CW62" s="851"/>
      <c r="CX62" s="705"/>
      <c r="CY62" s="852"/>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29"/>
      <c r="E64" s="29"/>
      <c r="F64" s="29"/>
      <c r="G64" s="29"/>
      <c r="H64" s="29"/>
      <c r="I64" s="29"/>
      <c r="J64" s="29"/>
      <c r="K64" s="29"/>
      <c r="L64" s="29"/>
      <c r="M64" s="29"/>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29"/>
      <c r="E65" s="29"/>
      <c r="F65" s="29"/>
      <c r="G65" s="29"/>
      <c r="H65" s="29"/>
      <c r="I65" s="29"/>
      <c r="J65" s="29"/>
      <c r="K65" s="29"/>
      <c r="L65" s="29"/>
      <c r="M65" s="29"/>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728">
        <f>CM50</f>
        <v>1058.9473684210527</v>
      </c>
      <c r="AX65" s="861"/>
      <c r="AY65" s="861"/>
      <c r="AZ65" s="861"/>
      <c r="BA65" s="861"/>
      <c r="BB65" s="861"/>
      <c r="BC65" s="861"/>
      <c r="BD65" s="861"/>
      <c r="BE65" s="861"/>
      <c r="BF65" s="862"/>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29"/>
      <c r="E66" s="29"/>
      <c r="F66" s="29"/>
      <c r="G66" s="29"/>
      <c r="H66" s="29"/>
      <c r="I66" s="29"/>
      <c r="J66" s="29"/>
      <c r="K66" s="29"/>
      <c r="L66" s="29"/>
      <c r="M66" s="29"/>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863"/>
      <c r="AX66" s="864"/>
      <c r="AY66" s="864"/>
      <c r="AZ66" s="864"/>
      <c r="BA66" s="864"/>
      <c r="BB66" s="864"/>
      <c r="BC66" s="864"/>
      <c r="BD66" s="864"/>
      <c r="BE66" s="864"/>
      <c r="BF66" s="865"/>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thickBot="1">
      <c r="B67" s="1"/>
      <c r="C67" s="174"/>
      <c r="D67" s="27"/>
      <c r="E67" s="27"/>
      <c r="F67" s="27"/>
      <c r="G67" s="27"/>
      <c r="H67" s="27"/>
      <c r="I67" s="27"/>
      <c r="J67" s="27"/>
      <c r="K67" s="27"/>
      <c r="L67" s="27"/>
      <c r="M67" s="27"/>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866"/>
      <c r="AX67" s="867"/>
      <c r="AY67" s="867"/>
      <c r="AZ67" s="867"/>
      <c r="BA67" s="867"/>
      <c r="BB67" s="867"/>
      <c r="BC67" s="867"/>
      <c r="BD67" s="867"/>
      <c r="BE67" s="867"/>
      <c r="BF67" s="868"/>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27"/>
      <c r="E68" s="27"/>
      <c r="F68" s="27"/>
      <c r="G68" s="27"/>
      <c r="H68" s="27"/>
      <c r="I68" s="27"/>
      <c r="J68" s="27"/>
      <c r="K68" s="27"/>
      <c r="L68" s="27"/>
      <c r="M68" s="27"/>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713">
        <f>ROUND(AW65/CLV_Limit,2)</f>
        <v>0.66</v>
      </c>
      <c r="AX68" s="714"/>
      <c r="AY68" s="714"/>
      <c r="AZ68" s="714"/>
      <c r="BA68" s="715"/>
      <c r="BB68" s="722" t="s">
        <v>100</v>
      </c>
      <c r="BC68" s="722"/>
      <c r="BD68" s="722"/>
      <c r="BE68" s="722"/>
      <c r="BF68" s="723"/>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27"/>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716"/>
      <c r="AX69" s="717"/>
      <c r="AY69" s="717"/>
      <c r="AZ69" s="717"/>
      <c r="BA69" s="718"/>
      <c r="BB69" s="724"/>
      <c r="BC69" s="724"/>
      <c r="BD69" s="724"/>
      <c r="BE69" s="724"/>
      <c r="BF69" s="725"/>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thickBo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719"/>
      <c r="AX70" s="720"/>
      <c r="AY70" s="720"/>
      <c r="AZ70" s="720"/>
      <c r="BA70" s="721"/>
      <c r="BB70" s="726"/>
      <c r="BC70" s="726"/>
      <c r="BD70" s="726"/>
      <c r="BE70" s="726"/>
      <c r="BF70" s="727"/>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27"/>
      <c r="F72" s="27"/>
      <c r="G72" s="27"/>
      <c r="H72" s="27"/>
      <c r="I72" s="27"/>
      <c r="J72" s="27"/>
      <c r="K72" s="27"/>
      <c r="L72" s="27"/>
      <c r="M72" s="27"/>
      <c r="N72" s="27"/>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60">
    <mergeCell ref="CW59:CY62"/>
    <mergeCell ref="CW56:CY56"/>
    <mergeCell ref="CQ57:CS57"/>
    <mergeCell ref="CT57:CV57"/>
    <mergeCell ref="CW57:CY57"/>
    <mergeCell ref="CQ58:CS58"/>
    <mergeCell ref="CT58:CV58"/>
    <mergeCell ref="CW58:CY58"/>
    <mergeCell ref="CQ56:CV56"/>
    <mergeCell ref="CT43:CV43"/>
    <mergeCell ref="CM47:CT49"/>
    <mergeCell ref="CM50:CT52"/>
    <mergeCell ref="CQ59:CS62"/>
    <mergeCell ref="CT59:CV62"/>
    <mergeCell ref="CK35:CM35"/>
    <mergeCell ref="CK36:CM39"/>
    <mergeCell ref="CT37:CV40"/>
    <mergeCell ref="CT41:CV41"/>
    <mergeCell ref="CT42:CV42"/>
    <mergeCell ref="CH20:CJ20"/>
    <mergeCell ref="CK20:CP20"/>
    <mergeCell ref="CM27:CT29"/>
    <mergeCell ref="CK33:CM33"/>
    <mergeCell ref="CK34:CM34"/>
    <mergeCell ref="CK18:CM18"/>
    <mergeCell ref="CN18:CP18"/>
    <mergeCell ref="CH19:CJ19"/>
    <mergeCell ref="CK19:CM19"/>
    <mergeCell ref="CN19:CP19"/>
    <mergeCell ref="C12:J13"/>
    <mergeCell ref="K12:AJ13"/>
    <mergeCell ref="E23:N25"/>
    <mergeCell ref="AW65:BF67"/>
    <mergeCell ref="BL1:DS2"/>
    <mergeCell ref="AK8:AP9"/>
    <mergeCell ref="AQ8:AV9"/>
    <mergeCell ref="AW8:BB9"/>
    <mergeCell ref="BC8:BH9"/>
    <mergeCell ref="AK10:AV13"/>
    <mergeCell ref="AW10:BH13"/>
    <mergeCell ref="CM24:CT26"/>
    <mergeCell ref="CH14:CJ17"/>
    <mergeCell ref="CK14:CM17"/>
    <mergeCell ref="CN14:CP17"/>
    <mergeCell ref="CH18:CJ18"/>
    <mergeCell ref="BL3:DS4"/>
    <mergeCell ref="C8:J9"/>
    <mergeCell ref="K8:AJ9"/>
    <mergeCell ref="C10:J11"/>
    <mergeCell ref="K10:AJ11"/>
    <mergeCell ref="B1:BI2"/>
    <mergeCell ref="B3:BI4"/>
    <mergeCell ref="C6:J7"/>
    <mergeCell ref="K6:AJ7"/>
    <mergeCell ref="AK6:BH7"/>
    <mergeCell ref="E26:I28"/>
    <mergeCell ref="J26:N28"/>
    <mergeCell ref="AW68:BA70"/>
    <mergeCell ref="BB68:BF70"/>
    <mergeCell ref="O74:AV74"/>
  </mergeCells>
  <conditionalFormatting sqref="E23 CM27 CM50 AW65">
    <cfRule type="cellIs" dxfId="47" priority="22" operator="between">
      <formula>0.75*CLV_Limit</formula>
      <formula>0.875*CLV_Limit-1</formula>
    </cfRule>
    <cfRule type="cellIs" dxfId="46" priority="23" operator="between">
      <formula>0.875*CLV_Limit</formula>
      <formula>CLV_Limit-1</formula>
    </cfRule>
    <cfRule type="cellIs" dxfId="45" priority="25" operator="greaterThan">
      <formula>CLV_Limit</formula>
    </cfRule>
  </conditionalFormatting>
  <conditionalFormatting sqref="AW10 E26 AW68">
    <cfRule type="cellIs" dxfId="44" priority="7" operator="between">
      <formula>0.75</formula>
      <formula>0.875</formula>
    </cfRule>
    <cfRule type="cellIs" dxfId="43" priority="8" operator="between">
      <formula>0.875</formula>
      <formula>1</formula>
    </cfRule>
    <cfRule type="cellIs" dxfId="42" priority="9"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249977111117893"/>
  </sheetPr>
  <dimension ref="A1:BDD104"/>
  <sheetViews>
    <sheetView showGridLines="0" showRowColHeaders="0" zoomScale="110" zoomScaleNormal="110" zoomScaleSheetLayoutView="100" zoomScalePageLayoutView="85" workbookViewId="0">
      <selection activeCell="AI30" sqref="AI30:AP31"/>
    </sheetView>
  </sheetViews>
  <sheetFormatPr defaultColWidth="0" defaultRowHeight="13.15" zeroHeight="1"/>
  <cols>
    <col min="1" max="1" width="0.5703125" customWidth="1"/>
    <col min="2" max="60" width="1.7109375" customWidth="1"/>
    <col min="61" max="61" width="1.7109375" style="2" customWidth="1"/>
    <col min="62" max="62" width="0.5703125" customWidth="1"/>
    <col min="63" max="158" width="1.7109375" hidden="1" customWidth="1"/>
    <col min="159" max="16384" width="9.140625" hidden="1"/>
  </cols>
  <sheetData>
    <row r="1" spans="1:1460" s="95" customFormat="1" ht="9.9499999999999993" customHeight="1">
      <c r="A1" s="92"/>
      <c r="B1" s="178" t="s">
        <v>0</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98"/>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c r="LB1" s="93"/>
      <c r="LC1" s="9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c r="ME1" s="93"/>
      <c r="MF1" s="93"/>
      <c r="MG1" s="93"/>
      <c r="MH1" s="93"/>
      <c r="MI1" s="93"/>
      <c r="MJ1" s="93"/>
      <c r="MK1" s="93"/>
      <c r="ML1" s="93"/>
      <c r="MM1" s="93"/>
      <c r="MN1" s="93"/>
      <c r="MO1" s="93"/>
      <c r="MP1" s="93"/>
      <c r="MQ1" s="93"/>
      <c r="MR1" s="93"/>
      <c r="MS1" s="93"/>
      <c r="MT1" s="93"/>
      <c r="MU1" s="93"/>
      <c r="MV1" s="93"/>
      <c r="MW1" s="93"/>
      <c r="MX1" s="93"/>
      <c r="MY1" s="93"/>
      <c r="MZ1" s="93"/>
      <c r="NA1" s="93"/>
      <c r="NB1" s="93"/>
      <c r="NC1" s="93"/>
      <c r="ND1" s="93"/>
      <c r="NE1" s="93"/>
      <c r="NF1" s="93"/>
      <c r="NG1" s="93"/>
      <c r="NH1" s="93"/>
      <c r="NI1" s="93"/>
      <c r="NJ1" s="93"/>
      <c r="NK1" s="93"/>
      <c r="NL1" s="93"/>
      <c r="NM1" s="93"/>
      <c r="NN1" s="93"/>
      <c r="NO1" s="93"/>
      <c r="NP1" s="93"/>
      <c r="NQ1" s="93"/>
      <c r="NR1" s="93"/>
      <c r="NS1" s="93"/>
      <c r="NT1" s="93"/>
      <c r="NU1" s="93"/>
      <c r="NV1" s="93"/>
      <c r="NW1" s="93"/>
      <c r="NX1" s="93"/>
      <c r="NY1" s="93"/>
      <c r="NZ1" s="93"/>
      <c r="OA1" s="93"/>
      <c r="OB1" s="93"/>
      <c r="OC1" s="93"/>
      <c r="OD1" s="93"/>
      <c r="OE1" s="93"/>
      <c r="OF1" s="93"/>
      <c r="OG1" s="93"/>
      <c r="OH1" s="93"/>
      <c r="OI1" s="93"/>
      <c r="OJ1" s="93"/>
      <c r="OK1" s="93"/>
      <c r="OL1" s="93"/>
      <c r="OM1" s="93"/>
      <c r="ON1" s="93"/>
      <c r="OO1" s="93"/>
      <c r="OP1" s="93"/>
      <c r="OQ1" s="93"/>
      <c r="OR1" s="93"/>
      <c r="OS1" s="93"/>
      <c r="OT1" s="93"/>
      <c r="OU1" s="93"/>
      <c r="OV1" s="93"/>
      <c r="OW1" s="93"/>
      <c r="OX1" s="93"/>
      <c r="OY1" s="93"/>
      <c r="OZ1" s="93"/>
      <c r="PA1" s="93"/>
      <c r="PB1" s="93"/>
      <c r="PC1" s="93"/>
      <c r="PD1" s="93"/>
      <c r="PE1" s="93"/>
      <c r="PF1" s="93"/>
      <c r="PG1" s="93"/>
      <c r="PH1" s="93"/>
      <c r="PI1" s="93"/>
      <c r="PJ1" s="93"/>
      <c r="PK1" s="93"/>
      <c r="PL1" s="93"/>
      <c r="PM1" s="93"/>
      <c r="PN1" s="93"/>
      <c r="PO1" s="93"/>
      <c r="PP1" s="93"/>
      <c r="PQ1" s="93"/>
      <c r="PR1" s="93"/>
      <c r="PS1" s="93"/>
      <c r="PT1" s="93"/>
      <c r="PU1" s="93"/>
      <c r="PV1" s="93"/>
      <c r="PW1" s="93"/>
      <c r="PX1" s="93"/>
      <c r="PY1" s="93"/>
      <c r="PZ1" s="93"/>
      <c r="QA1" s="93"/>
      <c r="QB1" s="93"/>
      <c r="QC1" s="93"/>
      <c r="QD1" s="93"/>
      <c r="QE1" s="93"/>
      <c r="QF1" s="93"/>
      <c r="QG1" s="93"/>
      <c r="QH1" s="93"/>
      <c r="QI1" s="93"/>
      <c r="QJ1" s="93"/>
      <c r="QK1" s="93"/>
      <c r="QL1" s="93"/>
      <c r="QM1" s="93"/>
      <c r="QN1" s="93"/>
      <c r="QO1" s="93"/>
      <c r="QP1" s="93"/>
      <c r="QQ1" s="93"/>
      <c r="QR1" s="93"/>
      <c r="QS1" s="93"/>
      <c r="QT1" s="93"/>
      <c r="QU1" s="93"/>
      <c r="QV1" s="93"/>
      <c r="QW1" s="93"/>
      <c r="QX1" s="93"/>
      <c r="QY1" s="93"/>
      <c r="QZ1" s="93"/>
      <c r="RA1" s="93"/>
      <c r="RB1" s="93"/>
      <c r="RC1" s="93"/>
      <c r="RD1" s="93"/>
      <c r="RE1" s="93"/>
      <c r="RF1" s="93"/>
      <c r="RG1" s="93"/>
      <c r="RH1" s="93"/>
      <c r="RI1" s="93"/>
      <c r="RJ1" s="93"/>
      <c r="RK1" s="93"/>
      <c r="RL1" s="93"/>
      <c r="RM1" s="93"/>
      <c r="RN1" s="93"/>
      <c r="RO1" s="93"/>
      <c r="RP1" s="93"/>
      <c r="RQ1" s="93"/>
      <c r="RR1" s="93"/>
      <c r="RS1" s="93"/>
      <c r="RT1" s="93"/>
      <c r="RU1" s="93"/>
      <c r="RV1" s="93"/>
      <c r="RW1" s="93"/>
      <c r="RX1" s="93"/>
      <c r="RY1" s="93"/>
      <c r="RZ1" s="93"/>
      <c r="SA1" s="93"/>
      <c r="SB1" s="93"/>
      <c r="SC1" s="93"/>
      <c r="SD1" s="93"/>
      <c r="SE1" s="93"/>
      <c r="SF1" s="93"/>
      <c r="SG1" s="93"/>
      <c r="SH1" s="93"/>
      <c r="SI1" s="93"/>
      <c r="SJ1" s="93"/>
      <c r="SK1" s="93"/>
      <c r="SL1" s="93"/>
      <c r="SM1" s="93"/>
      <c r="SN1" s="93"/>
      <c r="SO1" s="93"/>
      <c r="SP1" s="93"/>
      <c r="SQ1" s="93"/>
      <c r="SR1" s="93"/>
      <c r="SS1" s="93"/>
      <c r="ST1" s="93"/>
      <c r="SU1" s="93"/>
      <c r="SV1" s="93"/>
      <c r="SW1" s="93"/>
      <c r="SX1" s="93"/>
      <c r="SY1" s="93"/>
      <c r="SZ1" s="93"/>
      <c r="TA1" s="93"/>
      <c r="TB1" s="93"/>
      <c r="TC1" s="93"/>
      <c r="TD1" s="93"/>
      <c r="TE1" s="93"/>
      <c r="TF1" s="93"/>
      <c r="TG1" s="93"/>
      <c r="TH1" s="93"/>
      <c r="TI1" s="93"/>
      <c r="TJ1" s="93"/>
      <c r="TK1" s="93"/>
      <c r="TL1" s="93"/>
      <c r="TM1" s="93"/>
      <c r="TN1" s="93"/>
      <c r="TO1" s="93"/>
      <c r="TP1" s="93"/>
      <c r="TQ1" s="93"/>
      <c r="TR1" s="93"/>
      <c r="TS1" s="93"/>
      <c r="TT1" s="93"/>
      <c r="TU1" s="93"/>
      <c r="TV1" s="93"/>
      <c r="TW1" s="93"/>
      <c r="TX1" s="93"/>
      <c r="TY1" s="93"/>
      <c r="TZ1" s="93"/>
      <c r="UA1" s="93"/>
      <c r="UB1" s="93"/>
      <c r="UC1" s="93"/>
      <c r="UD1" s="93"/>
      <c r="UE1" s="93"/>
      <c r="UF1" s="93"/>
      <c r="UG1" s="93"/>
      <c r="UH1" s="93"/>
      <c r="UI1" s="93"/>
      <c r="UJ1" s="93"/>
      <c r="UK1" s="93"/>
      <c r="UL1" s="93"/>
      <c r="UM1" s="93"/>
      <c r="UN1" s="93"/>
      <c r="UO1" s="93"/>
      <c r="UP1" s="93"/>
      <c r="UQ1" s="93"/>
      <c r="UR1" s="93"/>
      <c r="US1" s="93"/>
      <c r="UT1" s="93"/>
      <c r="UU1" s="93"/>
      <c r="UV1" s="93"/>
      <c r="UW1" s="93"/>
      <c r="UX1" s="93"/>
      <c r="UY1" s="93"/>
      <c r="UZ1" s="93"/>
      <c r="VA1" s="93"/>
      <c r="VB1" s="93"/>
      <c r="VC1" s="93"/>
      <c r="VD1" s="93"/>
      <c r="VE1" s="93"/>
      <c r="VF1" s="93"/>
      <c r="VG1" s="93"/>
      <c r="VH1" s="93"/>
      <c r="VI1" s="93"/>
      <c r="VJ1" s="93"/>
      <c r="VK1" s="93"/>
      <c r="VL1" s="93"/>
      <c r="VM1" s="93"/>
      <c r="VN1" s="93"/>
      <c r="VO1" s="93"/>
      <c r="VP1" s="93"/>
      <c r="VQ1" s="93"/>
      <c r="VR1" s="93"/>
      <c r="VS1" s="93"/>
      <c r="VT1" s="93"/>
      <c r="VU1" s="93"/>
      <c r="VV1" s="93"/>
      <c r="VW1" s="93"/>
      <c r="VX1" s="93"/>
      <c r="VY1" s="93"/>
      <c r="VZ1" s="93"/>
      <c r="WA1" s="93"/>
      <c r="WB1" s="93"/>
      <c r="WC1" s="93"/>
      <c r="WD1" s="93"/>
      <c r="WE1" s="93"/>
      <c r="WF1" s="93"/>
      <c r="WG1" s="93"/>
      <c r="WH1" s="93"/>
      <c r="WI1" s="93"/>
      <c r="WJ1" s="93"/>
      <c r="WK1" s="93"/>
      <c r="WL1" s="93"/>
      <c r="WM1" s="93"/>
      <c r="WN1" s="93"/>
      <c r="WO1" s="93"/>
      <c r="WP1" s="93"/>
      <c r="WQ1" s="93"/>
      <c r="WR1" s="93"/>
      <c r="WS1" s="93"/>
      <c r="WT1" s="93"/>
      <c r="WU1" s="93"/>
      <c r="WV1" s="93"/>
      <c r="WW1" s="93"/>
      <c r="WX1" s="93"/>
      <c r="WY1" s="93"/>
      <c r="WZ1" s="93"/>
      <c r="XA1" s="93"/>
      <c r="XB1" s="93"/>
      <c r="XC1" s="93"/>
      <c r="XD1" s="93"/>
      <c r="XE1" s="93"/>
      <c r="XF1" s="93"/>
      <c r="XG1" s="93"/>
      <c r="XH1" s="93"/>
      <c r="XI1" s="93"/>
      <c r="XJ1" s="93"/>
      <c r="XK1" s="93"/>
      <c r="XL1" s="93"/>
      <c r="XM1" s="93"/>
      <c r="XN1" s="93"/>
      <c r="XO1" s="93"/>
      <c r="XP1" s="93"/>
      <c r="XQ1" s="93"/>
      <c r="XR1" s="93"/>
      <c r="XS1" s="93"/>
      <c r="XT1" s="93"/>
      <c r="XU1" s="93"/>
      <c r="XV1" s="93"/>
      <c r="XW1" s="93"/>
      <c r="XX1" s="93"/>
      <c r="XY1" s="93"/>
      <c r="XZ1" s="93"/>
      <c r="YA1" s="93"/>
      <c r="YB1" s="93"/>
      <c r="YC1" s="93"/>
      <c r="YD1" s="93"/>
      <c r="YE1" s="93"/>
      <c r="YF1" s="93"/>
      <c r="YG1" s="93"/>
      <c r="YH1" s="93"/>
      <c r="YI1" s="93"/>
      <c r="YJ1" s="93"/>
      <c r="YK1" s="93"/>
      <c r="YL1" s="93"/>
      <c r="YM1" s="93"/>
      <c r="YN1" s="93"/>
      <c r="YO1" s="93"/>
      <c r="YP1" s="93"/>
      <c r="YQ1" s="93"/>
      <c r="YR1" s="93"/>
      <c r="YS1" s="93"/>
      <c r="YT1" s="93"/>
      <c r="YU1" s="93"/>
      <c r="YV1" s="93"/>
      <c r="YW1" s="93"/>
      <c r="YX1" s="93"/>
      <c r="YY1" s="93"/>
      <c r="YZ1" s="93"/>
      <c r="ZA1" s="93"/>
      <c r="ZB1" s="93"/>
      <c r="ZC1" s="93"/>
      <c r="ZD1" s="93"/>
      <c r="ZE1" s="93"/>
      <c r="ZF1" s="93"/>
      <c r="ZG1" s="93"/>
      <c r="ZH1" s="93"/>
      <c r="ZI1" s="93"/>
      <c r="ZJ1" s="93"/>
      <c r="ZK1" s="93"/>
      <c r="ZL1" s="93"/>
      <c r="ZM1" s="93"/>
      <c r="ZN1" s="93"/>
      <c r="ZO1" s="93"/>
      <c r="ZP1" s="93"/>
      <c r="ZQ1" s="93"/>
      <c r="ZR1" s="93"/>
      <c r="ZS1" s="93"/>
      <c r="ZT1" s="93"/>
      <c r="ZU1" s="93"/>
      <c r="ZV1" s="93"/>
      <c r="ZW1" s="93"/>
      <c r="ZX1" s="93"/>
      <c r="ZY1" s="93"/>
      <c r="ZZ1" s="93"/>
      <c r="AAA1" s="93"/>
      <c r="AAB1" s="93"/>
      <c r="AAC1" s="93"/>
      <c r="AAD1" s="93"/>
      <c r="AAE1" s="93"/>
      <c r="AAF1" s="93"/>
      <c r="AAG1" s="93"/>
      <c r="AAH1" s="93"/>
      <c r="AAI1" s="93"/>
      <c r="AAJ1" s="93"/>
      <c r="AAK1" s="93"/>
      <c r="AAL1" s="93"/>
      <c r="AAM1" s="93"/>
      <c r="AAN1" s="93"/>
      <c r="AAO1" s="93"/>
      <c r="AAP1" s="93"/>
      <c r="AAQ1" s="93"/>
      <c r="AAR1" s="93"/>
      <c r="AAS1" s="93"/>
      <c r="AAT1" s="93"/>
      <c r="AAU1" s="93"/>
      <c r="AAV1" s="93"/>
      <c r="AAW1" s="93"/>
      <c r="AAX1" s="93"/>
      <c r="AAY1" s="93"/>
      <c r="AAZ1" s="93"/>
      <c r="ABA1" s="93"/>
      <c r="ABB1" s="93"/>
      <c r="ABC1" s="93"/>
      <c r="ABD1" s="93"/>
      <c r="ABE1" s="93"/>
      <c r="ABF1" s="93"/>
      <c r="ABG1" s="93"/>
      <c r="ABH1" s="93"/>
      <c r="ABI1" s="93"/>
      <c r="ABJ1" s="93"/>
      <c r="ABK1" s="93"/>
      <c r="ABL1" s="93"/>
      <c r="ABM1" s="93"/>
      <c r="ABN1" s="93"/>
      <c r="ABO1" s="93"/>
      <c r="ABP1" s="93"/>
      <c r="ABQ1" s="93"/>
      <c r="ABR1" s="93"/>
      <c r="ABS1" s="93"/>
      <c r="ABT1" s="93"/>
      <c r="ABU1" s="93"/>
      <c r="ABV1" s="93"/>
      <c r="ABW1" s="93"/>
      <c r="ABX1" s="93"/>
      <c r="ABY1" s="93"/>
      <c r="ABZ1" s="93"/>
      <c r="ACA1" s="93"/>
      <c r="ACB1" s="93"/>
      <c r="ACC1" s="93"/>
      <c r="ACD1" s="93"/>
      <c r="ACE1" s="93"/>
      <c r="ACF1" s="93"/>
      <c r="ACG1" s="93"/>
      <c r="ACH1" s="93"/>
      <c r="ACI1" s="93"/>
      <c r="ACJ1" s="93"/>
      <c r="ACK1" s="93"/>
      <c r="ACL1" s="93"/>
      <c r="ACM1" s="93"/>
      <c r="ACN1" s="93"/>
      <c r="ACO1" s="93"/>
      <c r="ACP1" s="93"/>
      <c r="ACQ1" s="93"/>
      <c r="ACR1" s="93"/>
      <c r="ACS1" s="93"/>
      <c r="ACT1" s="93"/>
      <c r="ACU1" s="93"/>
      <c r="ACV1" s="93"/>
      <c r="ACW1" s="93"/>
      <c r="ACX1" s="93"/>
      <c r="ACY1" s="93"/>
      <c r="ACZ1" s="93"/>
      <c r="ADA1" s="93"/>
      <c r="ADB1" s="93"/>
      <c r="ADC1" s="93"/>
      <c r="ADD1" s="93"/>
      <c r="ADE1" s="93"/>
      <c r="ADF1" s="93"/>
      <c r="ADG1" s="93"/>
      <c r="ADH1" s="93"/>
      <c r="ADI1" s="93"/>
      <c r="ADJ1" s="93"/>
      <c r="ADK1" s="93"/>
      <c r="ADL1" s="93"/>
      <c r="ADM1" s="93"/>
      <c r="ADN1" s="93"/>
      <c r="ADO1" s="93"/>
      <c r="ADP1" s="93"/>
      <c r="ADQ1" s="93"/>
      <c r="ADR1" s="93"/>
      <c r="ADS1" s="93"/>
      <c r="ADT1" s="93"/>
      <c r="ADU1" s="93"/>
      <c r="ADV1" s="93"/>
      <c r="ADW1" s="93"/>
      <c r="ADX1" s="93"/>
      <c r="ADY1" s="93"/>
      <c r="ADZ1" s="93"/>
      <c r="AEA1" s="93"/>
      <c r="AEB1" s="93"/>
      <c r="AEC1" s="93"/>
      <c r="AED1" s="93"/>
      <c r="AEE1" s="93"/>
      <c r="AEF1" s="93"/>
      <c r="AEG1" s="93"/>
      <c r="AEH1" s="93"/>
      <c r="AEI1" s="93"/>
      <c r="AEJ1" s="93"/>
      <c r="AEK1" s="93"/>
      <c r="AEL1" s="93"/>
      <c r="AEM1" s="93"/>
      <c r="AEN1" s="93"/>
      <c r="AEO1" s="93"/>
      <c r="AEP1" s="93"/>
      <c r="AEQ1" s="93"/>
      <c r="AER1" s="93"/>
      <c r="AES1" s="93"/>
      <c r="AET1" s="93"/>
      <c r="AEU1" s="93"/>
      <c r="AEV1" s="93"/>
      <c r="AEW1" s="93"/>
      <c r="AEX1" s="93"/>
      <c r="AEY1" s="93"/>
      <c r="AEZ1" s="93"/>
      <c r="AFA1" s="93"/>
      <c r="AFB1" s="93"/>
      <c r="AFC1" s="93"/>
      <c r="AFD1" s="93"/>
      <c r="AFE1" s="93"/>
      <c r="AFF1" s="93"/>
      <c r="AFG1" s="93"/>
      <c r="AFH1" s="93"/>
      <c r="AFI1" s="93"/>
      <c r="AFJ1" s="93"/>
      <c r="AFK1" s="93"/>
      <c r="AFL1" s="93"/>
      <c r="AFM1" s="93"/>
      <c r="AFN1" s="93"/>
      <c r="AFO1" s="93"/>
      <c r="AFP1" s="93"/>
      <c r="AFQ1" s="93"/>
      <c r="AFR1" s="93"/>
      <c r="AFS1" s="93"/>
      <c r="AFT1" s="93"/>
      <c r="AFU1" s="93"/>
      <c r="AFV1" s="93"/>
      <c r="AFW1" s="93"/>
      <c r="AFX1" s="93"/>
      <c r="AFY1" s="93"/>
      <c r="AFZ1" s="93"/>
      <c r="AGA1" s="93"/>
      <c r="AGB1" s="93"/>
      <c r="AGC1" s="93"/>
      <c r="AGD1" s="93"/>
      <c r="AGE1" s="93"/>
      <c r="AGF1" s="93"/>
      <c r="AGG1" s="93"/>
      <c r="AGH1" s="93"/>
      <c r="AGI1" s="93"/>
      <c r="AGJ1" s="93"/>
      <c r="AGK1" s="93"/>
      <c r="AGL1" s="93"/>
      <c r="AGM1" s="93"/>
      <c r="AGN1" s="93"/>
      <c r="AGO1" s="93"/>
      <c r="AGP1" s="93"/>
      <c r="AGQ1" s="93"/>
      <c r="AGR1" s="93"/>
      <c r="AGS1" s="93"/>
      <c r="AGT1" s="93"/>
      <c r="AGU1" s="93"/>
      <c r="AGV1" s="93"/>
      <c r="AGW1" s="93"/>
      <c r="AGX1" s="93"/>
      <c r="AGY1" s="93"/>
      <c r="AGZ1" s="93"/>
      <c r="AHA1" s="93"/>
      <c r="AHB1" s="93"/>
      <c r="AHC1" s="93"/>
      <c r="AHD1" s="93"/>
      <c r="AHE1" s="93"/>
      <c r="AHF1" s="93"/>
      <c r="AHG1" s="93"/>
      <c r="AHH1" s="93"/>
      <c r="AHI1" s="93"/>
      <c r="AHJ1" s="93"/>
      <c r="AHK1" s="93"/>
      <c r="AHL1" s="93"/>
      <c r="AHM1" s="93"/>
      <c r="AHN1" s="93"/>
      <c r="AHO1" s="93"/>
      <c r="AHP1" s="93"/>
      <c r="AHQ1" s="93"/>
      <c r="AHR1" s="93"/>
      <c r="AHS1" s="93"/>
      <c r="AHT1" s="93"/>
      <c r="AHU1" s="93"/>
      <c r="AHV1" s="93"/>
      <c r="AHW1" s="93"/>
      <c r="AHX1" s="93"/>
      <c r="AHY1" s="93"/>
      <c r="AHZ1" s="93"/>
      <c r="AIA1" s="93"/>
      <c r="AIB1" s="93"/>
      <c r="AIC1" s="93"/>
      <c r="AID1" s="93"/>
      <c r="AIE1" s="93"/>
      <c r="AIF1" s="93"/>
      <c r="AIG1" s="93"/>
      <c r="AIH1" s="93"/>
      <c r="AII1" s="93"/>
      <c r="AIJ1" s="93"/>
      <c r="AIK1" s="93"/>
      <c r="AIL1" s="93"/>
      <c r="AIM1" s="93"/>
      <c r="AIN1" s="93"/>
      <c r="AIO1" s="93"/>
      <c r="AIP1" s="93"/>
      <c r="AIQ1" s="93"/>
      <c r="AIR1" s="93"/>
      <c r="AIS1" s="93"/>
      <c r="AIT1" s="93"/>
      <c r="AIU1" s="93"/>
      <c r="AIV1" s="93"/>
      <c r="AIW1" s="93"/>
      <c r="AIX1" s="93"/>
      <c r="AIY1" s="93"/>
      <c r="AIZ1" s="93"/>
      <c r="AJA1" s="93"/>
      <c r="AJB1" s="93"/>
      <c r="AJC1" s="93"/>
      <c r="AJD1" s="93"/>
      <c r="AJE1" s="93"/>
      <c r="AJF1" s="93"/>
      <c r="AJG1" s="93"/>
      <c r="AJH1" s="93"/>
      <c r="AJI1" s="93"/>
      <c r="AJJ1" s="93"/>
      <c r="AJK1" s="93"/>
      <c r="AJL1" s="93"/>
      <c r="AJM1" s="93"/>
      <c r="AJN1" s="93"/>
      <c r="AJO1" s="93"/>
      <c r="AJP1" s="93"/>
      <c r="AJQ1" s="93"/>
      <c r="AJR1" s="93"/>
      <c r="AJS1" s="93"/>
      <c r="AJT1" s="93"/>
      <c r="AJU1" s="93"/>
      <c r="AJV1" s="93"/>
      <c r="AJW1" s="93"/>
      <c r="AJX1" s="93"/>
      <c r="AJY1" s="93"/>
      <c r="AJZ1" s="93"/>
      <c r="AKA1" s="93"/>
      <c r="AKB1" s="93"/>
      <c r="AKC1" s="93"/>
      <c r="AKD1" s="93"/>
      <c r="AKE1" s="93"/>
      <c r="AKF1" s="93"/>
      <c r="AKG1" s="93"/>
      <c r="AKH1" s="93"/>
      <c r="AKI1" s="93"/>
      <c r="AKJ1" s="93"/>
      <c r="AKK1" s="93"/>
      <c r="AKL1" s="93"/>
      <c r="AKM1" s="93"/>
      <c r="AKN1" s="93"/>
      <c r="AKO1" s="93"/>
      <c r="AKP1" s="93"/>
      <c r="AKQ1" s="93"/>
      <c r="AKR1" s="93"/>
      <c r="AKS1" s="93"/>
      <c r="AKT1" s="93"/>
      <c r="AKU1" s="93"/>
      <c r="AKV1" s="93"/>
      <c r="AKW1" s="93"/>
      <c r="AKX1" s="93"/>
      <c r="AKY1" s="93"/>
      <c r="AKZ1" s="93"/>
      <c r="ALA1" s="93"/>
      <c r="ALB1" s="93"/>
      <c r="ALC1" s="93"/>
      <c r="ALD1" s="93"/>
      <c r="ALE1" s="93"/>
      <c r="ALF1" s="93"/>
      <c r="ALG1" s="93"/>
      <c r="ALH1" s="93"/>
      <c r="ALI1" s="93"/>
      <c r="ALJ1" s="93"/>
      <c r="ALK1" s="93"/>
      <c r="ALL1" s="93"/>
      <c r="ALM1" s="93"/>
      <c r="ALN1" s="93"/>
      <c r="ALO1" s="93"/>
      <c r="ALP1" s="93"/>
      <c r="ALQ1" s="93"/>
      <c r="ALR1" s="93"/>
      <c r="ALS1" s="93"/>
      <c r="ALT1" s="93"/>
      <c r="ALU1" s="93"/>
      <c r="ALV1" s="93"/>
      <c r="ALW1" s="93"/>
      <c r="ALX1" s="93"/>
      <c r="ALY1" s="93"/>
      <c r="ALZ1" s="93"/>
      <c r="AMA1" s="93"/>
      <c r="AMB1" s="93"/>
      <c r="AMC1" s="93"/>
      <c r="AMD1" s="93"/>
      <c r="AME1" s="93"/>
      <c r="AMF1" s="93"/>
      <c r="AMG1" s="93"/>
      <c r="AMH1" s="93"/>
      <c r="AMI1" s="93"/>
      <c r="AMJ1" s="93"/>
      <c r="AMK1" s="93"/>
      <c r="AML1" s="93"/>
      <c r="AMM1" s="93"/>
      <c r="AMN1" s="93"/>
      <c r="AMO1" s="93"/>
      <c r="AMP1" s="93"/>
      <c r="AMQ1" s="93"/>
      <c r="AMR1" s="93"/>
      <c r="AMS1" s="93"/>
      <c r="AMT1" s="93"/>
      <c r="AMU1" s="93"/>
      <c r="AMV1" s="93"/>
      <c r="AMW1" s="93"/>
      <c r="AMX1" s="93"/>
      <c r="AMY1" s="93"/>
      <c r="AMZ1" s="93"/>
      <c r="ANA1" s="93"/>
      <c r="ANB1" s="93"/>
      <c r="ANC1" s="93"/>
      <c r="AND1" s="93"/>
      <c r="ANE1" s="93"/>
      <c r="ANF1" s="93"/>
      <c r="ANG1" s="93"/>
      <c r="ANH1" s="93"/>
      <c r="ANI1" s="93"/>
      <c r="ANJ1" s="93"/>
      <c r="ANK1" s="93"/>
      <c r="ANL1" s="93"/>
      <c r="ANM1" s="93"/>
      <c r="ANN1" s="93"/>
      <c r="ANO1" s="93"/>
      <c r="ANP1" s="93"/>
      <c r="ANQ1" s="93"/>
      <c r="ANR1" s="93"/>
      <c r="ANS1" s="93"/>
      <c r="ANT1" s="93"/>
      <c r="ANU1" s="93"/>
      <c r="ANV1" s="93"/>
      <c r="ANW1" s="93"/>
      <c r="ANX1" s="93"/>
      <c r="ANY1" s="93"/>
      <c r="ANZ1" s="93"/>
      <c r="AOA1" s="93"/>
      <c r="AOB1" s="93"/>
      <c r="AOC1" s="93"/>
      <c r="AOD1" s="93"/>
      <c r="AOE1" s="93"/>
      <c r="AOF1" s="93"/>
      <c r="AOG1" s="93"/>
      <c r="AOH1" s="93"/>
      <c r="AOI1" s="93"/>
      <c r="AOJ1" s="93"/>
      <c r="AOK1" s="93"/>
      <c r="AOL1" s="93"/>
      <c r="AOM1" s="93"/>
      <c r="AON1" s="93"/>
      <c r="AOO1" s="93"/>
      <c r="AOP1" s="93"/>
      <c r="AOQ1" s="93"/>
      <c r="AOR1" s="93"/>
      <c r="AOS1" s="93"/>
      <c r="AOT1" s="93"/>
      <c r="AOU1" s="93"/>
      <c r="AOV1" s="93"/>
      <c r="AOW1" s="93"/>
      <c r="AOX1" s="93"/>
      <c r="AOY1" s="93"/>
      <c r="AOZ1" s="93"/>
      <c r="APA1" s="93"/>
      <c r="APB1" s="93"/>
      <c r="APC1" s="93"/>
      <c r="APD1" s="93"/>
      <c r="APE1" s="93"/>
      <c r="APF1" s="93"/>
      <c r="APG1" s="93"/>
      <c r="APH1" s="93"/>
      <c r="API1" s="93"/>
      <c r="APJ1" s="93"/>
      <c r="APK1" s="93"/>
      <c r="APL1" s="93"/>
      <c r="APM1" s="93"/>
      <c r="APN1" s="93"/>
      <c r="APO1" s="93"/>
      <c r="APP1" s="93"/>
      <c r="APQ1" s="93"/>
      <c r="APR1" s="93"/>
      <c r="APS1" s="93"/>
      <c r="APT1" s="93"/>
      <c r="APU1" s="93"/>
      <c r="APV1" s="93"/>
      <c r="APW1" s="93"/>
      <c r="APX1" s="93"/>
      <c r="APY1" s="93"/>
      <c r="APZ1" s="93"/>
      <c r="AQA1" s="93"/>
      <c r="AQB1" s="93"/>
      <c r="AQC1" s="93"/>
      <c r="AQD1" s="93"/>
      <c r="AQE1" s="93"/>
      <c r="AQF1" s="93"/>
      <c r="AQG1" s="93"/>
      <c r="AQH1" s="93"/>
      <c r="AQI1" s="93"/>
      <c r="AQJ1" s="93"/>
      <c r="AQK1" s="93"/>
      <c r="AQL1" s="93"/>
      <c r="AQM1" s="93"/>
      <c r="AQN1" s="93"/>
      <c r="AQO1" s="93"/>
      <c r="AQP1" s="93"/>
      <c r="AQQ1" s="93"/>
      <c r="AQR1" s="93"/>
      <c r="AQS1" s="93"/>
      <c r="AQT1" s="93"/>
      <c r="AQU1" s="93"/>
      <c r="AQV1" s="93"/>
      <c r="AQW1" s="93"/>
      <c r="AQX1" s="93"/>
      <c r="AQY1" s="93"/>
      <c r="AQZ1" s="93"/>
      <c r="ARA1" s="93"/>
      <c r="ARB1" s="93"/>
      <c r="ARC1" s="93"/>
      <c r="ARD1" s="93"/>
      <c r="ARE1" s="93"/>
      <c r="ARF1" s="93"/>
      <c r="ARG1" s="93"/>
      <c r="ARH1" s="93"/>
      <c r="ARI1" s="93"/>
      <c r="ARJ1" s="93"/>
      <c r="ARK1" s="93"/>
      <c r="ARL1" s="93"/>
      <c r="ARM1" s="93"/>
      <c r="ARN1" s="93"/>
      <c r="ARO1" s="93"/>
      <c r="ARP1" s="93"/>
      <c r="ARQ1" s="93"/>
      <c r="ARR1" s="93"/>
      <c r="ARS1" s="93"/>
      <c r="ART1" s="93"/>
      <c r="ARU1" s="93"/>
      <c r="ARV1" s="93"/>
      <c r="ARW1" s="93"/>
      <c r="ARX1" s="93"/>
      <c r="ARY1" s="93"/>
      <c r="ARZ1" s="93"/>
      <c r="ASA1" s="93"/>
      <c r="ASB1" s="93"/>
      <c r="ASC1" s="93"/>
      <c r="ASD1" s="93"/>
      <c r="ASE1" s="93"/>
      <c r="ASF1" s="93"/>
      <c r="ASG1" s="93"/>
      <c r="ASH1" s="93"/>
      <c r="ASI1" s="93"/>
      <c r="ASJ1" s="93"/>
      <c r="ASK1" s="93"/>
      <c r="ASL1" s="93"/>
      <c r="ASM1" s="93"/>
      <c r="ASN1" s="93"/>
      <c r="ASO1" s="93"/>
      <c r="ASP1" s="93"/>
      <c r="ASQ1" s="93"/>
      <c r="ASR1" s="93"/>
      <c r="ASS1" s="93"/>
      <c r="AST1" s="93"/>
      <c r="ASU1" s="93"/>
      <c r="ASV1" s="93"/>
      <c r="ASW1" s="93"/>
      <c r="ASX1" s="93"/>
      <c r="ASY1" s="93"/>
      <c r="ASZ1" s="93"/>
      <c r="ATA1" s="93"/>
      <c r="ATB1" s="93"/>
      <c r="ATC1" s="93"/>
      <c r="ATD1" s="93"/>
      <c r="ATE1" s="93"/>
      <c r="ATF1" s="93"/>
      <c r="ATG1" s="93"/>
      <c r="ATH1" s="93"/>
      <c r="ATI1" s="93"/>
      <c r="ATJ1" s="93"/>
      <c r="ATK1" s="93"/>
      <c r="ATL1" s="93"/>
      <c r="ATM1" s="93"/>
      <c r="ATN1" s="93"/>
      <c r="ATO1" s="93"/>
      <c r="ATP1" s="93"/>
      <c r="ATQ1" s="93"/>
      <c r="ATR1" s="93"/>
      <c r="ATS1" s="93"/>
      <c r="ATT1" s="93"/>
      <c r="ATU1" s="93"/>
      <c r="ATV1" s="93"/>
      <c r="ATW1" s="93"/>
      <c r="ATX1" s="93"/>
      <c r="ATY1" s="93"/>
      <c r="ATZ1" s="93"/>
      <c r="AUA1" s="93"/>
      <c r="AUB1" s="93"/>
      <c r="AUC1" s="93"/>
      <c r="AUD1" s="93"/>
      <c r="AUE1" s="93"/>
      <c r="AUF1" s="93"/>
      <c r="AUG1" s="93"/>
      <c r="AUH1" s="93"/>
      <c r="AUI1" s="93"/>
      <c r="AUJ1" s="93"/>
      <c r="AUK1" s="93"/>
      <c r="AUL1" s="93"/>
      <c r="AUM1" s="93"/>
      <c r="AUN1" s="93"/>
      <c r="AUO1" s="93"/>
      <c r="AUP1" s="93"/>
      <c r="AUQ1" s="93"/>
      <c r="AUR1" s="93"/>
      <c r="AUS1" s="93"/>
      <c r="AUT1" s="93"/>
      <c r="AUU1" s="93"/>
      <c r="AUV1" s="93"/>
      <c r="AUW1" s="93"/>
      <c r="AUX1" s="93"/>
      <c r="AUY1" s="93"/>
      <c r="AUZ1" s="93"/>
      <c r="AVA1" s="93"/>
      <c r="AVB1" s="93"/>
      <c r="AVC1" s="93"/>
      <c r="AVD1" s="93"/>
      <c r="AVE1" s="93"/>
      <c r="AVF1" s="93"/>
      <c r="AVG1" s="93"/>
      <c r="AVH1" s="93"/>
      <c r="AVI1" s="93"/>
      <c r="AVJ1" s="93"/>
      <c r="AVK1" s="93"/>
      <c r="AVL1" s="93"/>
      <c r="AVM1" s="93"/>
      <c r="AVN1" s="93"/>
      <c r="AVO1" s="93"/>
      <c r="AVP1" s="93"/>
      <c r="AVQ1" s="93"/>
      <c r="AVR1" s="93"/>
      <c r="AVS1" s="93"/>
      <c r="AVT1" s="93"/>
      <c r="AVU1" s="93"/>
      <c r="AVV1" s="93"/>
      <c r="AVW1" s="93"/>
      <c r="AVX1" s="93"/>
      <c r="AVY1" s="93"/>
      <c r="AVZ1" s="93"/>
      <c r="AWA1" s="93"/>
      <c r="AWB1" s="93"/>
      <c r="AWC1" s="93"/>
      <c r="AWD1" s="93"/>
      <c r="AWE1" s="93"/>
      <c r="AWF1" s="93"/>
      <c r="AWG1" s="93"/>
      <c r="AWH1" s="93"/>
      <c r="AWI1" s="93"/>
      <c r="AWJ1" s="93"/>
      <c r="AWK1" s="93"/>
      <c r="AWL1" s="93"/>
      <c r="AWM1" s="93"/>
      <c r="AWN1" s="93"/>
      <c r="AWO1" s="93"/>
      <c r="AWP1" s="93"/>
      <c r="AWQ1" s="93"/>
      <c r="AWR1" s="93"/>
      <c r="AWS1" s="93"/>
      <c r="AWT1" s="93"/>
      <c r="AWU1" s="93"/>
      <c r="AWV1" s="93"/>
      <c r="AWW1" s="93"/>
      <c r="AWX1" s="93"/>
      <c r="AWY1" s="93"/>
      <c r="AWZ1" s="93"/>
      <c r="AXA1" s="93"/>
      <c r="AXB1" s="93"/>
      <c r="AXC1" s="93"/>
      <c r="AXD1" s="93"/>
      <c r="AXE1" s="93"/>
      <c r="AXF1" s="93"/>
      <c r="AXG1" s="93"/>
      <c r="AXH1" s="93"/>
      <c r="AXI1" s="93"/>
      <c r="AXJ1" s="93"/>
      <c r="AXK1" s="93"/>
      <c r="AXL1" s="93"/>
      <c r="AXM1" s="93"/>
      <c r="AXN1" s="93"/>
      <c r="AXO1" s="93"/>
      <c r="AXP1" s="93"/>
      <c r="AXQ1" s="93"/>
      <c r="AXR1" s="93"/>
      <c r="AXS1" s="93"/>
      <c r="AXT1" s="93"/>
      <c r="AXU1" s="93"/>
      <c r="AXV1" s="93"/>
      <c r="AXW1" s="93"/>
      <c r="AXX1" s="93"/>
      <c r="AXY1" s="93"/>
      <c r="AXZ1" s="93"/>
      <c r="AYA1" s="93"/>
      <c r="AYB1" s="93"/>
      <c r="AYC1" s="93"/>
      <c r="AYD1" s="93"/>
      <c r="AYE1" s="93"/>
      <c r="AYF1" s="93"/>
      <c r="AYG1" s="93"/>
      <c r="AYH1" s="93"/>
      <c r="AYI1" s="93"/>
      <c r="AYJ1" s="93"/>
      <c r="AYK1" s="93"/>
      <c r="AYL1" s="93"/>
      <c r="AYM1" s="93"/>
      <c r="AYN1" s="93"/>
      <c r="AYO1" s="93"/>
      <c r="AYP1" s="93"/>
      <c r="AYQ1" s="93"/>
      <c r="AYR1" s="93"/>
      <c r="AYS1" s="93"/>
      <c r="AYT1" s="93"/>
      <c r="AYU1" s="93"/>
      <c r="AYV1" s="93"/>
      <c r="AYW1" s="93"/>
      <c r="AYX1" s="93"/>
      <c r="AYY1" s="93"/>
      <c r="AYZ1" s="93"/>
      <c r="AZA1" s="93"/>
      <c r="AZB1" s="93"/>
      <c r="AZC1" s="93"/>
      <c r="AZD1" s="93"/>
      <c r="AZE1" s="93"/>
      <c r="AZF1" s="93"/>
      <c r="AZG1" s="93"/>
      <c r="AZH1" s="93"/>
      <c r="AZI1" s="93"/>
      <c r="AZJ1" s="93"/>
      <c r="AZK1" s="93"/>
      <c r="AZL1" s="93"/>
      <c r="AZM1" s="93"/>
      <c r="AZN1" s="93"/>
      <c r="AZO1" s="93"/>
      <c r="AZP1" s="93"/>
      <c r="AZQ1" s="93"/>
      <c r="AZR1" s="93"/>
      <c r="AZS1" s="93"/>
      <c r="AZT1" s="93"/>
      <c r="AZU1" s="93"/>
      <c r="AZV1" s="93"/>
      <c r="AZW1" s="93"/>
      <c r="AZX1" s="93"/>
      <c r="AZY1" s="93"/>
      <c r="AZZ1" s="93"/>
      <c r="BAA1" s="93"/>
      <c r="BAB1" s="93"/>
      <c r="BAC1" s="93"/>
      <c r="BAD1" s="93"/>
      <c r="BAE1" s="93"/>
      <c r="BAF1" s="93"/>
      <c r="BAG1" s="93"/>
      <c r="BAH1" s="93"/>
      <c r="BAI1" s="93"/>
      <c r="BAJ1" s="93"/>
      <c r="BAK1" s="93"/>
      <c r="BAL1" s="93"/>
      <c r="BAM1" s="93"/>
      <c r="BAN1" s="93"/>
      <c r="BAO1" s="93"/>
      <c r="BAP1" s="93"/>
      <c r="BAQ1" s="93"/>
      <c r="BAR1" s="93"/>
      <c r="BAS1" s="93"/>
      <c r="BAT1" s="93"/>
      <c r="BAU1" s="93"/>
      <c r="BAV1" s="93"/>
      <c r="BAW1" s="93"/>
      <c r="BAX1" s="93"/>
      <c r="BAY1" s="93"/>
      <c r="BAZ1" s="93"/>
      <c r="BBA1" s="93"/>
      <c r="BBB1" s="93"/>
      <c r="BBC1" s="93"/>
      <c r="BBD1" s="93"/>
      <c r="BBE1" s="93"/>
      <c r="BBF1" s="93"/>
      <c r="BBG1" s="93"/>
      <c r="BBH1" s="93"/>
      <c r="BBI1" s="93"/>
      <c r="BBJ1" s="93"/>
      <c r="BBK1" s="93"/>
      <c r="BBL1" s="93"/>
      <c r="BBM1" s="93"/>
      <c r="BBN1" s="93"/>
      <c r="BBO1" s="93"/>
      <c r="BBP1" s="93"/>
      <c r="BBQ1" s="93"/>
      <c r="BBR1" s="93"/>
      <c r="BBS1" s="93"/>
      <c r="BBT1" s="93"/>
      <c r="BBU1" s="93"/>
      <c r="BBV1" s="93"/>
      <c r="BBW1" s="93"/>
      <c r="BBX1" s="93"/>
      <c r="BBY1" s="93"/>
      <c r="BBZ1" s="93"/>
      <c r="BCA1" s="93"/>
      <c r="BCB1" s="93"/>
      <c r="BCC1" s="93"/>
      <c r="BCD1" s="93"/>
      <c r="BCE1" s="93"/>
      <c r="BCF1" s="93"/>
      <c r="BCG1" s="93"/>
      <c r="BCH1" s="93"/>
      <c r="BCI1" s="93"/>
      <c r="BCJ1" s="93"/>
      <c r="BCK1" s="93"/>
      <c r="BCL1" s="93"/>
      <c r="BCM1" s="93"/>
      <c r="BCN1" s="93"/>
      <c r="BCO1" s="93"/>
      <c r="BCP1" s="93"/>
      <c r="BCQ1" s="93"/>
      <c r="BCR1" s="93"/>
      <c r="BCS1" s="93"/>
      <c r="BCT1" s="93"/>
      <c r="BCU1" s="93"/>
      <c r="BCV1" s="93"/>
      <c r="BCW1" s="93"/>
      <c r="BCX1" s="93"/>
      <c r="BCY1" s="93"/>
      <c r="BCZ1" s="93"/>
      <c r="BDA1" s="93"/>
      <c r="BDB1" s="93"/>
      <c r="BDC1" s="93"/>
      <c r="BDD1" s="93"/>
    </row>
    <row r="2" spans="1:1460" s="96" customFormat="1" ht="9.9499999999999993" customHeight="1">
      <c r="A2" s="92"/>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c r="KN2" s="92"/>
      <c r="KO2" s="92"/>
      <c r="KP2" s="92"/>
      <c r="KQ2" s="92"/>
      <c r="KR2" s="92"/>
      <c r="KS2" s="92"/>
      <c r="KT2" s="92"/>
      <c r="KU2" s="92"/>
      <c r="KV2" s="92"/>
      <c r="KW2" s="92"/>
      <c r="KX2" s="92"/>
      <c r="KY2" s="92"/>
      <c r="KZ2" s="92"/>
      <c r="LA2" s="92"/>
      <c r="LB2" s="92"/>
      <c r="LC2" s="92"/>
      <c r="LD2" s="92"/>
      <c r="LE2" s="92"/>
      <c r="LF2" s="92"/>
      <c r="LG2" s="92"/>
      <c r="LH2" s="92"/>
      <c r="LI2" s="92"/>
      <c r="LJ2" s="92"/>
      <c r="LK2" s="9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92"/>
      <c r="PZ2" s="92"/>
      <c r="QA2" s="92"/>
      <c r="QB2" s="92"/>
      <c r="QC2" s="92"/>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92"/>
      <c r="SH2" s="92"/>
      <c r="SI2" s="92"/>
      <c r="SJ2" s="92"/>
      <c r="SK2" s="92"/>
      <c r="SL2" s="92"/>
      <c r="SM2" s="92"/>
      <c r="SN2" s="92"/>
      <c r="SO2" s="92"/>
      <c r="SP2" s="92"/>
      <c r="SQ2" s="92"/>
      <c r="SR2" s="92"/>
      <c r="SS2" s="92"/>
      <c r="ST2" s="92"/>
      <c r="SU2" s="92"/>
      <c r="SV2" s="92"/>
      <c r="SW2" s="92"/>
      <c r="SX2" s="92"/>
      <c r="SY2" s="92"/>
      <c r="SZ2" s="92"/>
      <c r="TA2" s="92"/>
      <c r="TB2" s="92"/>
      <c r="TC2" s="92"/>
      <c r="TD2" s="92"/>
      <c r="TE2" s="92"/>
      <c r="TF2" s="92"/>
      <c r="TG2" s="92"/>
      <c r="TH2" s="92"/>
      <c r="TI2" s="92"/>
      <c r="TJ2" s="92"/>
      <c r="TK2" s="92"/>
      <c r="TL2" s="92"/>
      <c r="TM2" s="92"/>
      <c r="TN2" s="92"/>
      <c r="TO2" s="92"/>
      <c r="TP2" s="92"/>
      <c r="TQ2" s="92"/>
      <c r="TR2" s="92"/>
      <c r="TS2" s="92"/>
      <c r="TT2" s="92"/>
      <c r="TU2" s="92"/>
      <c r="TV2" s="92"/>
      <c r="TW2" s="92"/>
      <c r="TX2" s="92"/>
      <c r="TY2" s="92"/>
      <c r="TZ2" s="92"/>
      <c r="UA2" s="92"/>
      <c r="UB2" s="92"/>
      <c r="UC2" s="92"/>
      <c r="UD2" s="92"/>
      <c r="UE2" s="92"/>
      <c r="UF2" s="92"/>
      <c r="UG2" s="92"/>
      <c r="UH2" s="92"/>
      <c r="UI2" s="92"/>
      <c r="UJ2" s="92"/>
      <c r="UK2" s="92"/>
      <c r="UL2" s="92"/>
      <c r="UM2" s="92"/>
      <c r="UN2" s="92"/>
      <c r="UO2" s="92"/>
      <c r="UP2" s="92"/>
      <c r="UQ2" s="92"/>
      <c r="UR2" s="92"/>
      <c r="US2" s="92"/>
      <c r="UT2" s="92"/>
      <c r="UU2" s="92"/>
      <c r="UV2" s="92"/>
      <c r="UW2" s="92"/>
      <c r="UX2" s="92"/>
      <c r="UY2" s="92"/>
      <c r="UZ2" s="92"/>
      <c r="VA2" s="92"/>
      <c r="VB2" s="92"/>
      <c r="VC2" s="92"/>
      <c r="VD2" s="92"/>
      <c r="VE2" s="92"/>
      <c r="VF2" s="92"/>
      <c r="VG2" s="92"/>
      <c r="VH2" s="92"/>
      <c r="VI2" s="92"/>
      <c r="VJ2" s="92"/>
      <c r="VK2" s="92"/>
      <c r="VL2" s="92"/>
      <c r="VM2" s="92"/>
      <c r="VN2" s="92"/>
      <c r="VO2" s="92"/>
      <c r="VP2" s="92"/>
      <c r="VQ2" s="92"/>
      <c r="VR2" s="92"/>
      <c r="VS2" s="92"/>
      <c r="VT2" s="92"/>
      <c r="VU2" s="92"/>
      <c r="VV2" s="92"/>
      <c r="VW2" s="92"/>
      <c r="VX2" s="92"/>
      <c r="VY2" s="92"/>
      <c r="VZ2" s="92"/>
      <c r="WA2" s="92"/>
      <c r="WB2" s="92"/>
      <c r="WC2" s="92"/>
      <c r="WD2" s="92"/>
      <c r="WE2" s="92"/>
      <c r="WF2" s="92"/>
      <c r="WG2" s="92"/>
      <c r="WH2" s="92"/>
      <c r="WI2" s="92"/>
      <c r="WJ2" s="92"/>
      <c r="WK2" s="92"/>
      <c r="WL2" s="92"/>
      <c r="WM2" s="92"/>
      <c r="WN2" s="92"/>
      <c r="WO2" s="92"/>
      <c r="WP2" s="92"/>
      <c r="WQ2" s="92"/>
      <c r="WR2" s="92"/>
      <c r="WS2" s="92"/>
      <c r="WT2" s="92"/>
      <c r="WU2" s="92"/>
      <c r="WV2" s="92"/>
      <c r="WW2" s="92"/>
      <c r="WX2" s="92"/>
      <c r="WY2" s="92"/>
      <c r="WZ2" s="92"/>
      <c r="XA2" s="92"/>
      <c r="XB2" s="92"/>
      <c r="XC2" s="92"/>
      <c r="XD2" s="92"/>
      <c r="XE2" s="92"/>
      <c r="XF2" s="92"/>
      <c r="XG2" s="92"/>
      <c r="XH2" s="92"/>
      <c r="XI2" s="92"/>
      <c r="XJ2" s="92"/>
      <c r="XK2" s="92"/>
      <c r="XL2" s="92"/>
      <c r="XM2" s="92"/>
      <c r="XN2" s="92"/>
      <c r="XO2" s="92"/>
      <c r="XP2" s="92"/>
      <c r="XQ2" s="92"/>
      <c r="XR2" s="92"/>
      <c r="XS2" s="92"/>
      <c r="XT2" s="92"/>
      <c r="XU2" s="92"/>
      <c r="XV2" s="92"/>
      <c r="XW2" s="92"/>
      <c r="XX2" s="92"/>
      <c r="XY2" s="92"/>
      <c r="XZ2" s="92"/>
      <c r="YA2" s="92"/>
      <c r="YB2" s="92"/>
      <c r="YC2" s="92"/>
      <c r="YD2" s="92"/>
      <c r="YE2" s="92"/>
      <c r="YF2" s="92"/>
      <c r="YG2" s="92"/>
      <c r="YH2" s="92"/>
      <c r="YI2" s="92"/>
      <c r="YJ2" s="92"/>
      <c r="YK2" s="92"/>
      <c r="YL2" s="92"/>
      <c r="YM2" s="92"/>
      <c r="YN2" s="92"/>
      <c r="YO2" s="92"/>
      <c r="YP2" s="92"/>
      <c r="YQ2" s="92"/>
      <c r="YR2" s="92"/>
      <c r="YS2" s="92"/>
      <c r="YT2" s="92"/>
      <c r="YU2" s="92"/>
      <c r="YV2" s="92"/>
      <c r="YW2" s="92"/>
      <c r="YX2" s="92"/>
      <c r="YY2" s="92"/>
      <c r="YZ2" s="92"/>
      <c r="ZA2" s="92"/>
      <c r="ZB2" s="92"/>
      <c r="ZC2" s="92"/>
      <c r="ZD2" s="92"/>
      <c r="ZE2" s="92"/>
      <c r="ZF2" s="92"/>
      <c r="ZG2" s="92"/>
      <c r="ZH2" s="92"/>
      <c r="ZI2" s="92"/>
      <c r="ZJ2" s="92"/>
      <c r="ZK2" s="92"/>
      <c r="ZL2" s="92"/>
      <c r="ZM2" s="92"/>
      <c r="ZN2" s="92"/>
      <c r="ZO2" s="92"/>
      <c r="ZP2" s="92"/>
      <c r="ZQ2" s="92"/>
      <c r="ZR2" s="92"/>
      <c r="ZS2" s="92"/>
      <c r="ZT2" s="92"/>
      <c r="ZU2" s="92"/>
      <c r="ZV2" s="92"/>
      <c r="ZW2" s="92"/>
      <c r="ZX2" s="92"/>
      <c r="ZY2" s="92"/>
      <c r="ZZ2" s="92"/>
      <c r="AAA2" s="92"/>
      <c r="AAB2" s="92"/>
      <c r="AAC2" s="92"/>
      <c r="AAD2" s="92"/>
      <c r="AAE2" s="92"/>
      <c r="AAF2" s="92"/>
      <c r="AAG2" s="92"/>
      <c r="AAH2" s="92"/>
      <c r="AAI2" s="92"/>
      <c r="AAJ2" s="92"/>
      <c r="AAK2" s="92"/>
      <c r="AAL2" s="92"/>
      <c r="AAM2" s="92"/>
      <c r="AAN2" s="92"/>
      <c r="AAO2" s="92"/>
      <c r="AAP2" s="92"/>
      <c r="AAQ2" s="92"/>
      <c r="AAR2" s="92"/>
      <c r="AAS2" s="92"/>
      <c r="AAT2" s="92"/>
      <c r="AAU2" s="92"/>
      <c r="AAV2" s="92"/>
      <c r="AAW2" s="92"/>
      <c r="AAX2" s="92"/>
      <c r="AAY2" s="92"/>
      <c r="AAZ2" s="92"/>
      <c r="ABA2" s="92"/>
      <c r="ABB2" s="92"/>
      <c r="ABC2" s="92"/>
      <c r="ABD2" s="92"/>
      <c r="ABE2" s="92"/>
      <c r="ABF2" s="92"/>
      <c r="ABG2" s="92"/>
      <c r="ABH2" s="92"/>
      <c r="ABI2" s="92"/>
      <c r="ABJ2" s="92"/>
      <c r="ABK2" s="92"/>
      <c r="ABL2" s="92"/>
      <c r="ABM2" s="92"/>
      <c r="ABN2" s="92"/>
      <c r="ABO2" s="92"/>
      <c r="ABP2" s="92"/>
      <c r="ABQ2" s="92"/>
      <c r="ABR2" s="92"/>
      <c r="ABS2" s="92"/>
      <c r="ABT2" s="92"/>
      <c r="ABU2" s="92"/>
      <c r="ABV2" s="92"/>
      <c r="ABW2" s="92"/>
      <c r="ABX2" s="92"/>
      <c r="ABY2" s="92"/>
      <c r="ABZ2" s="92"/>
      <c r="ACA2" s="92"/>
      <c r="ACB2" s="92"/>
      <c r="ACC2" s="92"/>
      <c r="ACD2" s="92"/>
      <c r="ACE2" s="92"/>
      <c r="ACF2" s="92"/>
      <c r="ACG2" s="92"/>
      <c r="ACH2" s="92"/>
      <c r="ACI2" s="92"/>
      <c r="ACJ2" s="92"/>
      <c r="ACK2" s="92"/>
      <c r="ACL2" s="92"/>
      <c r="ACM2" s="92"/>
      <c r="ACN2" s="92"/>
      <c r="ACO2" s="92"/>
      <c r="ACP2" s="92"/>
      <c r="ACQ2" s="92"/>
      <c r="ACR2" s="92"/>
      <c r="ACS2" s="92"/>
      <c r="ACT2" s="92"/>
      <c r="ACU2" s="92"/>
      <c r="ACV2" s="92"/>
      <c r="ACW2" s="92"/>
      <c r="ACX2" s="92"/>
      <c r="ACY2" s="92"/>
      <c r="ACZ2" s="92"/>
      <c r="ADA2" s="92"/>
      <c r="ADB2" s="92"/>
      <c r="ADC2" s="92"/>
      <c r="ADD2" s="92"/>
      <c r="ADE2" s="92"/>
      <c r="ADF2" s="92"/>
      <c r="ADG2" s="92"/>
      <c r="ADH2" s="92"/>
      <c r="ADI2" s="92"/>
      <c r="ADJ2" s="92"/>
      <c r="ADK2" s="92"/>
      <c r="ADL2" s="92"/>
      <c r="ADM2" s="92"/>
      <c r="ADN2" s="92"/>
      <c r="ADO2" s="92"/>
      <c r="ADP2" s="92"/>
      <c r="ADQ2" s="92"/>
      <c r="ADR2" s="92"/>
      <c r="ADS2" s="92"/>
      <c r="ADT2" s="92"/>
      <c r="ADU2" s="92"/>
      <c r="ADV2" s="92"/>
      <c r="ADW2" s="92"/>
      <c r="ADX2" s="92"/>
      <c r="ADY2" s="92"/>
      <c r="ADZ2" s="92"/>
      <c r="AEA2" s="92"/>
      <c r="AEB2" s="92"/>
      <c r="AEC2" s="92"/>
      <c r="AED2" s="92"/>
      <c r="AEE2" s="92"/>
      <c r="AEF2" s="92"/>
      <c r="AEG2" s="92"/>
      <c r="AEH2" s="92"/>
      <c r="AEI2" s="92"/>
      <c r="AEJ2" s="92"/>
      <c r="AEK2" s="92"/>
      <c r="AEL2" s="92"/>
      <c r="AEM2" s="92"/>
      <c r="AEN2" s="92"/>
      <c r="AEO2" s="92"/>
      <c r="AEP2" s="92"/>
      <c r="AEQ2" s="92"/>
      <c r="AER2" s="92"/>
      <c r="AES2" s="92"/>
      <c r="AET2" s="92"/>
      <c r="AEU2" s="92"/>
      <c r="AEV2" s="92"/>
      <c r="AEW2" s="92"/>
      <c r="AEX2" s="92"/>
      <c r="AEY2" s="92"/>
      <c r="AEZ2" s="92"/>
      <c r="AFA2" s="92"/>
      <c r="AFB2" s="92"/>
      <c r="AFC2" s="92"/>
      <c r="AFD2" s="92"/>
      <c r="AFE2" s="92"/>
      <c r="AFF2" s="92"/>
      <c r="AFG2" s="92"/>
      <c r="AFH2" s="92"/>
      <c r="AFI2" s="92"/>
      <c r="AFJ2" s="92"/>
      <c r="AFK2" s="92"/>
      <c r="AFL2" s="92"/>
      <c r="AFM2" s="92"/>
      <c r="AFN2" s="92"/>
      <c r="AFO2" s="92"/>
      <c r="AFP2" s="92"/>
      <c r="AFQ2" s="92"/>
      <c r="AFR2" s="92"/>
      <c r="AFS2" s="92"/>
      <c r="AFT2" s="92"/>
      <c r="AFU2" s="92"/>
      <c r="AFV2" s="92"/>
      <c r="AFW2" s="92"/>
      <c r="AFX2" s="92"/>
      <c r="AFY2" s="92"/>
      <c r="AFZ2" s="92"/>
      <c r="AGA2" s="92"/>
      <c r="AGB2" s="92"/>
      <c r="AGC2" s="92"/>
      <c r="AGD2" s="92"/>
      <c r="AGE2" s="92"/>
      <c r="AGF2" s="92"/>
      <c r="AGG2" s="92"/>
      <c r="AGH2" s="92"/>
      <c r="AGI2" s="92"/>
      <c r="AGJ2" s="92"/>
      <c r="AGK2" s="92"/>
      <c r="AGL2" s="92"/>
      <c r="AGM2" s="92"/>
      <c r="AGN2" s="92"/>
      <c r="AGO2" s="92"/>
      <c r="AGP2" s="92"/>
      <c r="AGQ2" s="92"/>
      <c r="AGR2" s="92"/>
      <c r="AGS2" s="92"/>
      <c r="AGT2" s="92"/>
      <c r="AGU2" s="92"/>
      <c r="AGV2" s="92"/>
      <c r="AGW2" s="92"/>
      <c r="AGX2" s="92"/>
      <c r="AGY2" s="92"/>
      <c r="AGZ2" s="92"/>
      <c r="AHA2" s="92"/>
      <c r="AHB2" s="92"/>
      <c r="AHC2" s="92"/>
      <c r="AHD2" s="92"/>
      <c r="AHE2" s="92"/>
      <c r="AHF2" s="92"/>
      <c r="AHG2" s="92"/>
      <c r="AHH2" s="92"/>
      <c r="AHI2" s="92"/>
      <c r="AHJ2" s="92"/>
      <c r="AHK2" s="92"/>
      <c r="AHL2" s="92"/>
      <c r="AHM2" s="92"/>
      <c r="AHN2" s="92"/>
      <c r="AHO2" s="92"/>
      <c r="AHP2" s="92"/>
      <c r="AHQ2" s="92"/>
      <c r="AHR2" s="92"/>
      <c r="AHS2" s="92"/>
      <c r="AHT2" s="92"/>
      <c r="AHU2" s="92"/>
      <c r="AHV2" s="92"/>
      <c r="AHW2" s="92"/>
      <c r="AHX2" s="92"/>
      <c r="AHY2" s="92"/>
      <c r="AHZ2" s="92"/>
      <c r="AIA2" s="92"/>
      <c r="AIB2" s="92"/>
      <c r="AIC2" s="92"/>
      <c r="AID2" s="92"/>
      <c r="AIE2" s="92"/>
      <c r="AIF2" s="92"/>
      <c r="AIG2" s="92"/>
      <c r="AIH2" s="92"/>
      <c r="AII2" s="92"/>
      <c r="AIJ2" s="92"/>
      <c r="AIK2" s="92"/>
      <c r="AIL2" s="92"/>
      <c r="AIM2" s="92"/>
      <c r="AIN2" s="92"/>
      <c r="AIO2" s="92"/>
      <c r="AIP2" s="92"/>
      <c r="AIQ2" s="92"/>
      <c r="AIR2" s="92"/>
      <c r="AIS2" s="92"/>
      <c r="AIT2" s="92"/>
      <c r="AIU2" s="92"/>
      <c r="AIV2" s="92"/>
      <c r="AIW2" s="92"/>
      <c r="AIX2" s="92"/>
      <c r="AIY2" s="92"/>
      <c r="AIZ2" s="92"/>
      <c r="AJA2" s="92"/>
      <c r="AJB2" s="92"/>
      <c r="AJC2" s="92"/>
      <c r="AJD2" s="92"/>
      <c r="AJE2" s="92"/>
      <c r="AJF2" s="92"/>
      <c r="AJG2" s="92"/>
      <c r="AJH2" s="92"/>
      <c r="AJI2" s="92"/>
      <c r="AJJ2" s="92"/>
      <c r="AJK2" s="92"/>
      <c r="AJL2" s="92"/>
      <c r="AJM2" s="92"/>
      <c r="AJN2" s="92"/>
      <c r="AJO2" s="92"/>
      <c r="AJP2" s="92"/>
      <c r="AJQ2" s="92"/>
      <c r="AJR2" s="92"/>
      <c r="AJS2" s="92"/>
      <c r="AJT2" s="92"/>
      <c r="AJU2" s="92"/>
      <c r="AJV2" s="92"/>
      <c r="AJW2" s="92"/>
      <c r="AJX2" s="92"/>
      <c r="AJY2" s="92"/>
      <c r="AJZ2" s="92"/>
      <c r="AKA2" s="92"/>
      <c r="AKB2" s="92"/>
      <c r="AKC2" s="92"/>
      <c r="AKD2" s="92"/>
      <c r="AKE2" s="92"/>
      <c r="AKF2" s="92"/>
      <c r="AKG2" s="92"/>
      <c r="AKH2" s="92"/>
      <c r="AKI2" s="92"/>
      <c r="AKJ2" s="92"/>
      <c r="AKK2" s="92"/>
      <c r="AKL2" s="92"/>
      <c r="AKM2" s="92"/>
      <c r="AKN2" s="92"/>
      <c r="AKO2" s="92"/>
      <c r="AKP2" s="92"/>
      <c r="AKQ2" s="92"/>
      <c r="AKR2" s="92"/>
      <c r="AKS2" s="92"/>
      <c r="AKT2" s="92"/>
      <c r="AKU2" s="92"/>
      <c r="AKV2" s="92"/>
      <c r="AKW2" s="92"/>
      <c r="AKX2" s="92"/>
      <c r="AKY2" s="92"/>
      <c r="AKZ2" s="92"/>
      <c r="ALA2" s="92"/>
      <c r="ALB2" s="92"/>
      <c r="ALC2" s="92"/>
      <c r="ALD2" s="92"/>
      <c r="ALE2" s="92"/>
      <c r="ALF2" s="92"/>
      <c r="ALG2" s="92"/>
      <c r="ALH2" s="92"/>
      <c r="ALI2" s="92"/>
      <c r="ALJ2" s="92"/>
      <c r="ALK2" s="92"/>
      <c r="ALL2" s="92"/>
      <c r="ALM2" s="92"/>
      <c r="ALN2" s="92"/>
      <c r="ALO2" s="92"/>
      <c r="ALP2" s="92"/>
      <c r="ALQ2" s="92"/>
      <c r="ALR2" s="92"/>
      <c r="ALS2" s="92"/>
      <c r="ALT2" s="92"/>
      <c r="ALU2" s="92"/>
      <c r="ALV2" s="92"/>
      <c r="ALW2" s="92"/>
      <c r="ALX2" s="92"/>
      <c r="ALY2" s="92"/>
      <c r="ALZ2" s="92"/>
      <c r="AMA2" s="92"/>
      <c r="AMB2" s="92"/>
      <c r="AMC2" s="92"/>
      <c r="AMD2" s="92"/>
      <c r="AME2" s="92"/>
      <c r="AMF2" s="92"/>
      <c r="AMG2" s="92"/>
      <c r="AMH2" s="92"/>
      <c r="AMI2" s="92"/>
      <c r="AMJ2" s="92"/>
      <c r="AMK2" s="92"/>
      <c r="AML2" s="92"/>
      <c r="AMM2" s="92"/>
      <c r="AMN2" s="92"/>
      <c r="AMO2" s="92"/>
      <c r="AMP2" s="92"/>
      <c r="AMQ2" s="92"/>
      <c r="AMR2" s="92"/>
      <c r="AMS2" s="92"/>
      <c r="AMT2" s="92"/>
      <c r="AMU2" s="92"/>
      <c r="AMV2" s="92"/>
      <c r="AMW2" s="92"/>
      <c r="AMX2" s="92"/>
      <c r="AMY2" s="92"/>
      <c r="AMZ2" s="92"/>
      <c r="ANA2" s="92"/>
      <c r="ANB2" s="92"/>
      <c r="ANC2" s="92"/>
      <c r="AND2" s="92"/>
      <c r="ANE2" s="92"/>
      <c r="ANF2" s="92"/>
      <c r="ANG2" s="92"/>
      <c r="ANH2" s="92"/>
      <c r="ANI2" s="92"/>
      <c r="ANJ2" s="92"/>
      <c r="ANK2" s="92"/>
      <c r="ANL2" s="92"/>
      <c r="ANM2" s="92"/>
      <c r="ANN2" s="92"/>
      <c r="ANO2" s="92"/>
      <c r="ANP2" s="92"/>
      <c r="ANQ2" s="92"/>
      <c r="ANR2" s="92"/>
      <c r="ANS2" s="92"/>
      <c r="ANT2" s="92"/>
      <c r="ANU2" s="92"/>
      <c r="ANV2" s="92"/>
      <c r="ANW2" s="92"/>
      <c r="ANX2" s="92"/>
      <c r="ANY2" s="92"/>
      <c r="ANZ2" s="92"/>
      <c r="AOA2" s="92"/>
      <c r="AOB2" s="92"/>
      <c r="AOC2" s="92"/>
      <c r="AOD2" s="92"/>
      <c r="AOE2" s="92"/>
      <c r="AOF2" s="92"/>
      <c r="AOG2" s="92"/>
      <c r="AOH2" s="92"/>
      <c r="AOI2" s="92"/>
      <c r="AOJ2" s="92"/>
      <c r="AOK2" s="92"/>
      <c r="AOL2" s="92"/>
      <c r="AOM2" s="92"/>
      <c r="AON2" s="92"/>
      <c r="AOO2" s="92"/>
      <c r="AOP2" s="92"/>
      <c r="AOQ2" s="92"/>
      <c r="AOR2" s="92"/>
      <c r="AOS2" s="92"/>
      <c r="AOT2" s="92"/>
      <c r="AOU2" s="92"/>
      <c r="AOV2" s="92"/>
      <c r="AOW2" s="92"/>
      <c r="AOX2" s="92"/>
      <c r="AOY2" s="92"/>
      <c r="AOZ2" s="92"/>
      <c r="APA2" s="92"/>
      <c r="APB2" s="92"/>
      <c r="APC2" s="92"/>
      <c r="APD2" s="92"/>
      <c r="APE2" s="92"/>
      <c r="APF2" s="92"/>
      <c r="APG2" s="92"/>
      <c r="APH2" s="92"/>
      <c r="API2" s="92"/>
      <c r="APJ2" s="92"/>
      <c r="APK2" s="92"/>
      <c r="APL2" s="92"/>
      <c r="APM2" s="92"/>
      <c r="APN2" s="92"/>
      <c r="APO2" s="92"/>
      <c r="APP2" s="92"/>
      <c r="APQ2" s="92"/>
      <c r="APR2" s="92"/>
      <c r="APS2" s="92"/>
      <c r="APT2" s="92"/>
      <c r="APU2" s="92"/>
      <c r="APV2" s="92"/>
      <c r="APW2" s="92"/>
      <c r="APX2" s="92"/>
      <c r="APY2" s="92"/>
      <c r="APZ2" s="92"/>
      <c r="AQA2" s="92"/>
      <c r="AQB2" s="92"/>
      <c r="AQC2" s="92"/>
      <c r="AQD2" s="92"/>
      <c r="AQE2" s="92"/>
      <c r="AQF2" s="92"/>
      <c r="AQG2" s="92"/>
      <c r="AQH2" s="92"/>
      <c r="AQI2" s="92"/>
      <c r="AQJ2" s="92"/>
      <c r="AQK2" s="92"/>
      <c r="AQL2" s="92"/>
      <c r="AQM2" s="92"/>
      <c r="AQN2" s="92"/>
      <c r="AQO2" s="92"/>
      <c r="AQP2" s="92"/>
      <c r="AQQ2" s="92"/>
      <c r="AQR2" s="92"/>
      <c r="AQS2" s="92"/>
      <c r="AQT2" s="92"/>
      <c r="AQU2" s="92"/>
      <c r="AQV2" s="92"/>
      <c r="AQW2" s="92"/>
      <c r="AQX2" s="92"/>
      <c r="AQY2" s="92"/>
      <c r="AQZ2" s="92"/>
      <c r="ARA2" s="92"/>
      <c r="ARB2" s="92"/>
      <c r="ARC2" s="92"/>
      <c r="ARD2" s="92"/>
      <c r="ARE2" s="92"/>
      <c r="ARF2" s="92"/>
      <c r="ARG2" s="92"/>
      <c r="ARH2" s="92"/>
      <c r="ARI2" s="92"/>
      <c r="ARJ2" s="92"/>
      <c r="ARK2" s="92"/>
      <c r="ARL2" s="92"/>
      <c r="ARM2" s="92"/>
      <c r="ARN2" s="92"/>
      <c r="ARO2" s="92"/>
      <c r="ARP2" s="92"/>
      <c r="ARQ2" s="92"/>
      <c r="ARR2" s="92"/>
      <c r="ARS2" s="92"/>
      <c r="ART2" s="92"/>
      <c r="ARU2" s="92"/>
      <c r="ARV2" s="92"/>
      <c r="ARW2" s="92"/>
      <c r="ARX2" s="92"/>
      <c r="ARY2" s="92"/>
      <c r="ARZ2" s="92"/>
      <c r="ASA2" s="92"/>
      <c r="ASB2" s="92"/>
      <c r="ASC2" s="92"/>
      <c r="ASD2" s="92"/>
      <c r="ASE2" s="92"/>
      <c r="ASF2" s="92"/>
      <c r="ASG2" s="92"/>
      <c r="ASH2" s="92"/>
      <c r="ASI2" s="92"/>
      <c r="ASJ2" s="92"/>
      <c r="ASK2" s="92"/>
      <c r="ASL2" s="92"/>
      <c r="ASM2" s="92"/>
      <c r="ASN2" s="92"/>
      <c r="ASO2" s="92"/>
      <c r="ASP2" s="92"/>
      <c r="ASQ2" s="92"/>
      <c r="ASR2" s="92"/>
      <c r="ASS2" s="92"/>
      <c r="AST2" s="92"/>
      <c r="ASU2" s="92"/>
      <c r="ASV2" s="92"/>
      <c r="ASW2" s="92"/>
      <c r="ASX2" s="92"/>
      <c r="ASY2" s="92"/>
      <c r="ASZ2" s="92"/>
      <c r="ATA2" s="92"/>
      <c r="ATB2" s="92"/>
      <c r="ATC2" s="92"/>
      <c r="ATD2" s="92"/>
      <c r="ATE2" s="92"/>
      <c r="ATF2" s="92"/>
      <c r="ATG2" s="92"/>
      <c r="ATH2" s="92"/>
      <c r="ATI2" s="92"/>
      <c r="ATJ2" s="92"/>
      <c r="ATK2" s="92"/>
      <c r="ATL2" s="92"/>
      <c r="ATM2" s="92"/>
      <c r="ATN2" s="92"/>
      <c r="ATO2" s="92"/>
      <c r="ATP2" s="92"/>
      <c r="ATQ2" s="92"/>
      <c r="ATR2" s="92"/>
      <c r="ATS2" s="92"/>
      <c r="ATT2" s="92"/>
      <c r="ATU2" s="92"/>
      <c r="ATV2" s="92"/>
      <c r="ATW2" s="92"/>
      <c r="ATX2" s="92"/>
      <c r="ATY2" s="92"/>
      <c r="ATZ2" s="92"/>
      <c r="AUA2" s="92"/>
      <c r="AUB2" s="92"/>
      <c r="AUC2" s="92"/>
      <c r="AUD2" s="92"/>
      <c r="AUE2" s="92"/>
      <c r="AUF2" s="92"/>
      <c r="AUG2" s="92"/>
      <c r="AUH2" s="92"/>
      <c r="AUI2" s="92"/>
      <c r="AUJ2" s="92"/>
      <c r="AUK2" s="92"/>
      <c r="AUL2" s="92"/>
      <c r="AUM2" s="92"/>
      <c r="AUN2" s="92"/>
      <c r="AUO2" s="92"/>
      <c r="AUP2" s="92"/>
      <c r="AUQ2" s="92"/>
      <c r="AUR2" s="92"/>
      <c r="AUS2" s="92"/>
      <c r="AUT2" s="92"/>
      <c r="AUU2" s="92"/>
      <c r="AUV2" s="92"/>
      <c r="AUW2" s="92"/>
      <c r="AUX2" s="92"/>
      <c r="AUY2" s="92"/>
      <c r="AUZ2" s="92"/>
      <c r="AVA2" s="92"/>
      <c r="AVB2" s="92"/>
      <c r="AVC2" s="92"/>
      <c r="AVD2" s="92"/>
      <c r="AVE2" s="92"/>
      <c r="AVF2" s="92"/>
      <c r="AVG2" s="92"/>
      <c r="AVH2" s="92"/>
      <c r="AVI2" s="92"/>
      <c r="AVJ2" s="92"/>
      <c r="AVK2" s="92"/>
      <c r="AVL2" s="92"/>
      <c r="AVM2" s="92"/>
      <c r="AVN2" s="92"/>
      <c r="AVO2" s="92"/>
      <c r="AVP2" s="92"/>
      <c r="AVQ2" s="92"/>
      <c r="AVR2" s="92"/>
      <c r="AVS2" s="92"/>
      <c r="AVT2" s="92"/>
      <c r="AVU2" s="92"/>
      <c r="AVV2" s="92"/>
      <c r="AVW2" s="92"/>
      <c r="AVX2" s="92"/>
      <c r="AVY2" s="92"/>
      <c r="AVZ2" s="92"/>
      <c r="AWA2" s="92"/>
      <c r="AWB2" s="92"/>
      <c r="AWC2" s="92"/>
      <c r="AWD2" s="92"/>
      <c r="AWE2" s="92"/>
      <c r="AWF2" s="92"/>
      <c r="AWG2" s="92"/>
      <c r="AWH2" s="92"/>
      <c r="AWI2" s="92"/>
      <c r="AWJ2" s="92"/>
      <c r="AWK2" s="92"/>
      <c r="AWL2" s="92"/>
      <c r="AWM2" s="92"/>
      <c r="AWN2" s="92"/>
      <c r="AWO2" s="92"/>
      <c r="AWP2" s="92"/>
      <c r="AWQ2" s="92"/>
      <c r="AWR2" s="92"/>
      <c r="AWS2" s="92"/>
      <c r="AWT2" s="92"/>
      <c r="AWU2" s="92"/>
      <c r="AWV2" s="92"/>
      <c r="AWW2" s="92"/>
      <c r="AWX2" s="92"/>
      <c r="AWY2" s="92"/>
      <c r="AWZ2" s="92"/>
      <c r="AXA2" s="92"/>
      <c r="AXB2" s="92"/>
      <c r="AXC2" s="92"/>
      <c r="AXD2" s="92"/>
      <c r="AXE2" s="92"/>
      <c r="AXF2" s="92"/>
      <c r="AXG2" s="92"/>
      <c r="AXH2" s="92"/>
      <c r="AXI2" s="92"/>
      <c r="AXJ2" s="92"/>
      <c r="AXK2" s="92"/>
      <c r="AXL2" s="92"/>
      <c r="AXM2" s="92"/>
      <c r="AXN2" s="92"/>
      <c r="AXO2" s="92"/>
      <c r="AXP2" s="92"/>
      <c r="AXQ2" s="92"/>
      <c r="AXR2" s="92"/>
      <c r="AXS2" s="92"/>
      <c r="AXT2" s="92"/>
      <c r="AXU2" s="92"/>
      <c r="AXV2" s="92"/>
      <c r="AXW2" s="92"/>
      <c r="AXX2" s="92"/>
      <c r="AXY2" s="92"/>
      <c r="AXZ2" s="92"/>
      <c r="AYA2" s="92"/>
      <c r="AYB2" s="92"/>
      <c r="AYC2" s="92"/>
      <c r="AYD2" s="92"/>
      <c r="AYE2" s="92"/>
      <c r="AYF2" s="92"/>
      <c r="AYG2" s="92"/>
      <c r="AYH2" s="92"/>
      <c r="AYI2" s="92"/>
      <c r="AYJ2" s="92"/>
      <c r="AYK2" s="92"/>
      <c r="AYL2" s="92"/>
      <c r="AYM2" s="92"/>
      <c r="AYN2" s="92"/>
      <c r="AYO2" s="92"/>
      <c r="AYP2" s="92"/>
      <c r="AYQ2" s="92"/>
      <c r="AYR2" s="92"/>
      <c r="AYS2" s="92"/>
      <c r="AYT2" s="92"/>
      <c r="AYU2" s="92"/>
      <c r="AYV2" s="92"/>
      <c r="AYW2" s="92"/>
      <c r="AYX2" s="92"/>
      <c r="AYY2" s="92"/>
      <c r="AYZ2" s="92"/>
      <c r="AZA2" s="92"/>
      <c r="AZB2" s="92"/>
      <c r="AZC2" s="92"/>
      <c r="AZD2" s="92"/>
      <c r="AZE2" s="92"/>
      <c r="AZF2" s="92"/>
      <c r="AZG2" s="92"/>
      <c r="AZH2" s="92"/>
      <c r="AZI2" s="92"/>
      <c r="AZJ2" s="92"/>
      <c r="AZK2" s="92"/>
      <c r="AZL2" s="92"/>
      <c r="AZM2" s="92"/>
      <c r="AZN2" s="92"/>
      <c r="AZO2" s="92"/>
      <c r="AZP2" s="92"/>
      <c r="AZQ2" s="92"/>
      <c r="AZR2" s="92"/>
      <c r="AZS2" s="92"/>
      <c r="AZT2" s="92"/>
      <c r="AZU2" s="92"/>
      <c r="AZV2" s="92"/>
      <c r="AZW2" s="92"/>
      <c r="AZX2" s="92"/>
      <c r="AZY2" s="92"/>
      <c r="AZZ2" s="92"/>
      <c r="BAA2" s="92"/>
      <c r="BAB2" s="92"/>
      <c r="BAC2" s="92"/>
      <c r="BAD2" s="92"/>
      <c r="BAE2" s="92"/>
      <c r="BAF2" s="92"/>
      <c r="BAG2" s="92"/>
      <c r="BAH2" s="92"/>
      <c r="BAI2" s="92"/>
      <c r="BAJ2" s="92"/>
      <c r="BAK2" s="92"/>
      <c r="BAL2" s="92"/>
      <c r="BAM2" s="92"/>
      <c r="BAN2" s="92"/>
      <c r="BAO2" s="92"/>
      <c r="BAP2" s="92"/>
      <c r="BAQ2" s="92"/>
      <c r="BAR2" s="92"/>
      <c r="BAS2" s="92"/>
      <c r="BAT2" s="92"/>
      <c r="BAU2" s="92"/>
      <c r="BAV2" s="92"/>
      <c r="BAW2" s="92"/>
      <c r="BAX2" s="92"/>
      <c r="BAY2" s="92"/>
      <c r="BAZ2" s="92"/>
      <c r="BBA2" s="92"/>
      <c r="BBB2" s="92"/>
      <c r="BBC2" s="92"/>
      <c r="BBD2" s="92"/>
      <c r="BBE2" s="92"/>
      <c r="BBF2" s="92"/>
      <c r="BBG2" s="92"/>
      <c r="BBH2" s="92"/>
      <c r="BBI2" s="92"/>
      <c r="BBJ2" s="92"/>
      <c r="BBK2" s="92"/>
      <c r="BBL2" s="92"/>
      <c r="BBM2" s="92"/>
      <c r="BBN2" s="92"/>
      <c r="BBO2" s="92"/>
      <c r="BBP2" s="92"/>
      <c r="BBQ2" s="92"/>
      <c r="BBR2" s="92"/>
      <c r="BBS2" s="92"/>
      <c r="BBT2" s="92"/>
      <c r="BBU2" s="92"/>
      <c r="BBV2" s="92"/>
      <c r="BBW2" s="92"/>
      <c r="BBX2" s="92"/>
      <c r="BBY2" s="92"/>
      <c r="BBZ2" s="92"/>
      <c r="BCA2" s="92"/>
      <c r="BCB2" s="92"/>
      <c r="BCC2" s="92"/>
      <c r="BCD2" s="92"/>
      <c r="BCE2" s="92"/>
      <c r="BCF2" s="92"/>
      <c r="BCG2" s="92"/>
      <c r="BCH2" s="92"/>
      <c r="BCI2" s="92"/>
      <c r="BCJ2" s="92"/>
      <c r="BCK2" s="92"/>
      <c r="BCL2" s="92"/>
      <c r="BCM2" s="92"/>
      <c r="BCN2" s="92"/>
      <c r="BCO2" s="92"/>
      <c r="BCP2" s="92"/>
      <c r="BCQ2" s="92"/>
      <c r="BCR2" s="92"/>
      <c r="BCS2" s="92"/>
      <c r="BCT2" s="92"/>
      <c r="BCU2" s="92"/>
      <c r="BCV2" s="92"/>
      <c r="BCW2" s="92"/>
      <c r="BCX2" s="92"/>
      <c r="BCY2" s="92"/>
      <c r="BCZ2" s="92"/>
      <c r="BDA2" s="92"/>
      <c r="BDB2" s="92"/>
      <c r="BDC2" s="92"/>
      <c r="BDD2" s="92"/>
    </row>
    <row r="3" spans="1:1460" s="94" customFormat="1" ht="9.9499999999999993" customHeight="1">
      <c r="A3" s="6"/>
      <c r="B3" s="184" t="s">
        <v>2</v>
      </c>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97"/>
      <c r="CN3" s="97"/>
      <c r="CO3" s="97"/>
      <c r="CP3" s="97"/>
      <c r="CQ3" s="97"/>
      <c r="CR3" s="97"/>
      <c r="CS3" s="97"/>
      <c r="CT3" s="97"/>
      <c r="CU3" s="97"/>
      <c r="CV3" s="97"/>
      <c r="CW3" s="97"/>
      <c r="CX3" s="97"/>
      <c r="CY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c r="KD3" s="97"/>
      <c r="KE3" s="97"/>
      <c r="KF3" s="97"/>
      <c r="KG3" s="97"/>
      <c r="KH3" s="97"/>
      <c r="KI3" s="97"/>
      <c r="KJ3" s="97"/>
      <c r="KK3" s="97"/>
      <c r="KL3" s="97"/>
      <c r="KM3" s="97"/>
      <c r="KN3" s="97"/>
      <c r="KO3" s="97"/>
      <c r="KP3" s="97"/>
      <c r="KQ3" s="97"/>
      <c r="KR3" s="97"/>
      <c r="KS3" s="97"/>
      <c r="KT3" s="97"/>
      <c r="KU3" s="97"/>
      <c r="KV3" s="97"/>
      <c r="KW3" s="97"/>
      <c r="KX3" s="97"/>
      <c r="KY3" s="97"/>
      <c r="KZ3" s="97"/>
      <c r="LA3" s="97"/>
      <c r="LB3" s="97"/>
      <c r="LC3" s="97"/>
      <c r="LD3" s="97"/>
      <c r="LE3" s="97"/>
      <c r="LF3" s="97"/>
      <c r="LG3" s="97"/>
      <c r="LH3" s="97"/>
      <c r="LI3" s="97"/>
      <c r="LJ3" s="97"/>
      <c r="LK3" s="97"/>
      <c r="LL3" s="97"/>
      <c r="LM3" s="97"/>
      <c r="LN3" s="97"/>
      <c r="LO3" s="97"/>
      <c r="LP3" s="97"/>
      <c r="LQ3" s="97"/>
      <c r="LR3" s="97"/>
      <c r="LS3" s="97"/>
      <c r="LT3" s="97"/>
      <c r="LU3" s="97"/>
      <c r="LV3" s="97"/>
      <c r="LW3" s="97"/>
      <c r="LX3" s="97"/>
      <c r="LY3" s="97"/>
      <c r="LZ3" s="97"/>
      <c r="MA3" s="97"/>
      <c r="MB3" s="97"/>
      <c r="MC3" s="97"/>
      <c r="MD3" s="97"/>
      <c r="ME3" s="97"/>
      <c r="MF3" s="97"/>
      <c r="MG3" s="97"/>
      <c r="MH3" s="97"/>
      <c r="MI3" s="97"/>
      <c r="MJ3" s="97"/>
      <c r="MK3" s="97"/>
      <c r="ML3" s="97"/>
      <c r="MM3" s="97"/>
      <c r="MN3" s="97"/>
      <c r="MO3" s="97"/>
      <c r="MP3" s="97"/>
      <c r="MQ3" s="97"/>
      <c r="MR3" s="97"/>
      <c r="MS3" s="97"/>
      <c r="MT3" s="97"/>
      <c r="MU3" s="97"/>
      <c r="MV3" s="97"/>
      <c r="MW3" s="97"/>
      <c r="MX3" s="97"/>
      <c r="MY3" s="97"/>
      <c r="MZ3" s="97"/>
      <c r="NA3" s="97"/>
      <c r="NB3" s="97"/>
      <c r="NC3" s="97"/>
      <c r="ND3" s="97"/>
      <c r="NE3" s="97"/>
      <c r="NF3" s="97"/>
      <c r="NG3" s="97"/>
      <c r="NH3" s="97"/>
      <c r="NI3" s="97"/>
      <c r="NJ3" s="97"/>
      <c r="NK3" s="97"/>
      <c r="NL3" s="97"/>
      <c r="NM3" s="97"/>
      <c r="NN3" s="97"/>
      <c r="NO3" s="97"/>
      <c r="NP3" s="97"/>
      <c r="NQ3" s="97"/>
      <c r="NR3" s="97"/>
      <c r="NS3" s="97"/>
      <c r="NT3" s="97"/>
      <c r="NU3" s="97"/>
      <c r="NV3" s="97"/>
      <c r="NW3" s="97"/>
      <c r="NX3" s="97"/>
      <c r="NY3" s="97"/>
      <c r="NZ3" s="97"/>
      <c r="OA3" s="97"/>
      <c r="OB3" s="97"/>
      <c r="OC3" s="97"/>
      <c r="OD3" s="97"/>
      <c r="OE3" s="97"/>
      <c r="OF3" s="97"/>
      <c r="OG3" s="97"/>
      <c r="OH3" s="97"/>
      <c r="OI3" s="97"/>
      <c r="OJ3" s="97"/>
      <c r="OK3" s="97"/>
      <c r="OL3" s="97"/>
      <c r="OM3" s="97"/>
      <c r="ON3" s="97"/>
      <c r="OO3" s="97"/>
      <c r="OP3" s="97"/>
      <c r="OQ3" s="97"/>
      <c r="OR3" s="97"/>
      <c r="OS3" s="97"/>
      <c r="OT3" s="97"/>
      <c r="OU3" s="97"/>
      <c r="OV3" s="97"/>
      <c r="OW3" s="97"/>
      <c r="OX3" s="97"/>
      <c r="OY3" s="97"/>
      <c r="OZ3" s="97"/>
      <c r="PA3" s="97"/>
      <c r="PB3" s="97"/>
      <c r="PC3" s="97"/>
      <c r="PD3" s="97"/>
      <c r="PE3" s="97"/>
      <c r="PF3" s="97"/>
      <c r="PG3" s="97"/>
      <c r="PH3" s="97"/>
      <c r="PI3" s="97"/>
      <c r="PJ3" s="97"/>
      <c r="PK3" s="97"/>
      <c r="PL3" s="97"/>
      <c r="PM3" s="97"/>
      <c r="PN3" s="97"/>
      <c r="PO3" s="97"/>
      <c r="PP3" s="97"/>
      <c r="PQ3" s="97"/>
      <c r="PR3" s="97"/>
      <c r="PS3" s="97"/>
      <c r="PT3" s="97"/>
      <c r="PU3" s="97"/>
      <c r="PV3" s="97"/>
      <c r="PW3" s="97"/>
      <c r="PX3" s="97"/>
      <c r="PY3" s="97"/>
      <c r="PZ3" s="97"/>
      <c r="QA3" s="97"/>
      <c r="QB3" s="97"/>
      <c r="QC3" s="97"/>
      <c r="QD3" s="97"/>
      <c r="QE3" s="97"/>
      <c r="QF3" s="97"/>
      <c r="QG3" s="97"/>
      <c r="QH3" s="97"/>
      <c r="QI3" s="97"/>
      <c r="QJ3" s="97"/>
      <c r="QK3" s="97"/>
      <c r="QL3" s="97"/>
      <c r="QM3" s="97"/>
      <c r="QN3" s="97"/>
      <c r="QO3" s="97"/>
      <c r="QP3" s="97"/>
      <c r="QQ3" s="97"/>
      <c r="QR3" s="97"/>
      <c r="QS3" s="97"/>
      <c r="QT3" s="97"/>
      <c r="QU3" s="97"/>
      <c r="QV3" s="97"/>
      <c r="QW3" s="97"/>
      <c r="QX3" s="97"/>
      <c r="QY3" s="97"/>
      <c r="QZ3" s="97"/>
      <c r="RA3" s="97"/>
      <c r="RB3" s="97"/>
      <c r="RC3" s="97"/>
      <c r="RD3" s="97"/>
      <c r="RE3" s="97"/>
      <c r="RF3" s="97"/>
      <c r="RG3" s="97"/>
      <c r="RH3" s="97"/>
      <c r="RI3" s="97"/>
      <c r="RJ3" s="97"/>
      <c r="RK3" s="97"/>
      <c r="RL3" s="97"/>
      <c r="RM3" s="97"/>
      <c r="RN3" s="97"/>
      <c r="RO3" s="97"/>
      <c r="RP3" s="97"/>
      <c r="RQ3" s="97"/>
      <c r="RR3" s="97"/>
      <c r="RS3" s="97"/>
      <c r="RT3" s="97"/>
      <c r="RU3" s="97"/>
      <c r="RV3" s="97"/>
      <c r="RW3" s="97"/>
      <c r="RX3" s="97"/>
      <c r="RY3" s="97"/>
      <c r="RZ3" s="97"/>
      <c r="SA3" s="97"/>
      <c r="SB3" s="97"/>
      <c r="SC3" s="97"/>
      <c r="SD3" s="97"/>
      <c r="SE3" s="97"/>
      <c r="SF3" s="97"/>
      <c r="SG3" s="97"/>
      <c r="SH3" s="97"/>
      <c r="SI3" s="97"/>
      <c r="SJ3" s="97"/>
      <c r="SK3" s="97"/>
      <c r="SL3" s="97"/>
      <c r="SM3" s="97"/>
      <c r="SN3" s="97"/>
      <c r="SO3" s="97"/>
      <c r="SP3" s="97"/>
      <c r="SQ3" s="97"/>
      <c r="SR3" s="97"/>
      <c r="SS3" s="97"/>
      <c r="ST3" s="97"/>
      <c r="SU3" s="97"/>
      <c r="SV3" s="97"/>
      <c r="SW3" s="97"/>
      <c r="SX3" s="97"/>
      <c r="SY3" s="97"/>
      <c r="SZ3" s="97"/>
      <c r="TA3" s="97"/>
      <c r="TB3" s="97"/>
      <c r="TC3" s="97"/>
      <c r="TD3" s="97"/>
      <c r="TE3" s="97"/>
      <c r="TF3" s="97"/>
      <c r="TG3" s="97"/>
      <c r="TH3" s="97"/>
      <c r="TI3" s="97"/>
      <c r="TJ3" s="97"/>
      <c r="TK3" s="97"/>
      <c r="TL3" s="97"/>
      <c r="TM3" s="97"/>
      <c r="TN3" s="97"/>
      <c r="TO3" s="97"/>
      <c r="TP3" s="97"/>
      <c r="TQ3" s="97"/>
      <c r="TR3" s="97"/>
      <c r="TS3" s="97"/>
      <c r="TT3" s="97"/>
      <c r="TU3" s="97"/>
      <c r="TV3" s="97"/>
      <c r="TW3" s="97"/>
      <c r="TX3" s="97"/>
      <c r="TY3" s="97"/>
      <c r="TZ3" s="97"/>
      <c r="UA3" s="97"/>
      <c r="UB3" s="97"/>
      <c r="UC3" s="97"/>
      <c r="UD3" s="97"/>
      <c r="UE3" s="97"/>
      <c r="UF3" s="97"/>
      <c r="UG3" s="97"/>
      <c r="UH3" s="97"/>
      <c r="UI3" s="97"/>
      <c r="UJ3" s="97"/>
      <c r="UK3" s="97"/>
      <c r="UL3" s="97"/>
      <c r="UM3" s="97"/>
      <c r="UN3" s="97"/>
      <c r="UO3" s="97"/>
      <c r="UP3" s="97"/>
      <c r="UQ3" s="97"/>
      <c r="UR3" s="97"/>
      <c r="US3" s="97"/>
      <c r="UT3" s="97"/>
      <c r="UU3" s="97"/>
      <c r="UV3" s="97"/>
      <c r="UW3" s="97"/>
      <c r="UX3" s="97"/>
      <c r="UY3" s="97"/>
      <c r="UZ3" s="97"/>
      <c r="VA3" s="97"/>
      <c r="VB3" s="97"/>
      <c r="VC3" s="97"/>
      <c r="VD3" s="97"/>
      <c r="VE3" s="97"/>
      <c r="VF3" s="97"/>
      <c r="VG3" s="97"/>
      <c r="VH3" s="97"/>
      <c r="VI3" s="97"/>
      <c r="VJ3" s="97"/>
      <c r="VK3" s="97"/>
      <c r="VL3" s="97"/>
      <c r="VM3" s="97"/>
      <c r="VN3" s="97"/>
      <c r="VO3" s="97"/>
      <c r="VP3" s="97"/>
      <c r="VQ3" s="97"/>
      <c r="VR3" s="97"/>
      <c r="VS3" s="97"/>
      <c r="VT3" s="97"/>
      <c r="VU3" s="97"/>
      <c r="VV3" s="97"/>
      <c r="VW3" s="97"/>
      <c r="VX3" s="97"/>
      <c r="VY3" s="97"/>
      <c r="VZ3" s="97"/>
      <c r="WA3" s="97"/>
      <c r="WB3" s="97"/>
      <c r="WC3" s="97"/>
      <c r="WD3" s="97"/>
      <c r="WE3" s="97"/>
      <c r="WF3" s="97"/>
      <c r="WG3" s="97"/>
      <c r="WH3" s="97"/>
      <c r="WI3" s="97"/>
      <c r="WJ3" s="97"/>
      <c r="WK3" s="97"/>
      <c r="WL3" s="97"/>
      <c r="WM3" s="97"/>
      <c r="WN3" s="97"/>
      <c r="WO3" s="97"/>
      <c r="WP3" s="97"/>
      <c r="WQ3" s="97"/>
      <c r="WR3" s="97"/>
      <c r="WS3" s="97"/>
      <c r="WT3" s="97"/>
      <c r="WU3" s="97"/>
      <c r="WV3" s="97"/>
      <c r="WW3" s="97"/>
      <c r="WX3" s="97"/>
      <c r="WY3" s="97"/>
      <c r="WZ3" s="97"/>
      <c r="XA3" s="97"/>
      <c r="XB3" s="97"/>
      <c r="XC3" s="97"/>
      <c r="XD3" s="97"/>
      <c r="XE3" s="97"/>
      <c r="XF3" s="97"/>
      <c r="XG3" s="97"/>
      <c r="XH3" s="97"/>
      <c r="XI3" s="97"/>
      <c r="XJ3" s="97"/>
      <c r="XK3" s="97"/>
      <c r="XL3" s="97"/>
      <c r="XM3" s="97"/>
      <c r="XN3" s="97"/>
      <c r="XO3" s="97"/>
      <c r="XP3" s="97"/>
      <c r="XQ3" s="97"/>
      <c r="XR3" s="97"/>
      <c r="XS3" s="97"/>
      <c r="XT3" s="97"/>
      <c r="XU3" s="97"/>
      <c r="XV3" s="97"/>
      <c r="XW3" s="97"/>
      <c r="XX3" s="97"/>
      <c r="XY3" s="97"/>
      <c r="XZ3" s="97"/>
      <c r="YA3" s="97"/>
      <c r="YB3" s="97"/>
      <c r="YC3" s="97"/>
      <c r="YD3" s="97"/>
      <c r="YE3" s="97"/>
      <c r="YF3" s="97"/>
      <c r="YG3" s="97"/>
      <c r="YH3" s="97"/>
      <c r="YI3" s="97"/>
      <c r="YJ3" s="97"/>
      <c r="YK3" s="97"/>
      <c r="YL3" s="97"/>
      <c r="YM3" s="97"/>
      <c r="YN3" s="97"/>
      <c r="YO3" s="97"/>
      <c r="YP3" s="97"/>
      <c r="YQ3" s="97"/>
      <c r="YR3" s="97"/>
      <c r="YS3" s="97"/>
      <c r="YT3" s="97"/>
      <c r="YU3" s="97"/>
      <c r="YV3" s="97"/>
      <c r="YW3" s="97"/>
      <c r="YX3" s="97"/>
      <c r="YY3" s="97"/>
      <c r="YZ3" s="97"/>
      <c r="ZA3" s="97"/>
      <c r="ZB3" s="97"/>
      <c r="ZC3" s="97"/>
      <c r="ZD3" s="97"/>
      <c r="ZE3" s="97"/>
      <c r="ZF3" s="97"/>
      <c r="ZG3" s="97"/>
      <c r="ZH3" s="97"/>
      <c r="ZI3" s="97"/>
      <c r="ZJ3" s="97"/>
      <c r="ZK3" s="97"/>
      <c r="ZL3" s="97"/>
      <c r="ZM3" s="97"/>
      <c r="ZN3" s="97"/>
      <c r="ZO3" s="97"/>
      <c r="ZP3" s="97"/>
      <c r="ZQ3" s="97"/>
      <c r="ZR3" s="97"/>
      <c r="ZS3" s="97"/>
      <c r="ZT3" s="97"/>
      <c r="ZU3" s="97"/>
      <c r="ZV3" s="97"/>
      <c r="ZW3" s="97"/>
      <c r="ZX3" s="97"/>
      <c r="ZY3" s="97"/>
      <c r="ZZ3" s="97"/>
      <c r="AAA3" s="97"/>
      <c r="AAB3" s="97"/>
      <c r="AAC3" s="97"/>
      <c r="AAD3" s="97"/>
      <c r="AAE3" s="97"/>
      <c r="AAF3" s="97"/>
      <c r="AAG3" s="97"/>
      <c r="AAH3" s="97"/>
      <c r="AAI3" s="97"/>
      <c r="AAJ3" s="97"/>
      <c r="AAK3" s="97"/>
      <c r="AAL3" s="97"/>
      <c r="AAM3" s="97"/>
      <c r="AAN3" s="97"/>
      <c r="AAO3" s="97"/>
      <c r="AAP3" s="97"/>
      <c r="AAQ3" s="97"/>
      <c r="AAR3" s="97"/>
      <c r="AAS3" s="97"/>
      <c r="AAT3" s="97"/>
      <c r="AAU3" s="97"/>
      <c r="AAV3" s="97"/>
      <c r="AAW3" s="97"/>
      <c r="AAX3" s="97"/>
      <c r="AAY3" s="97"/>
      <c r="AAZ3" s="97"/>
      <c r="ABA3" s="97"/>
      <c r="ABB3" s="97"/>
      <c r="ABC3" s="97"/>
      <c r="ABD3" s="97"/>
      <c r="ABE3" s="97"/>
      <c r="ABF3" s="97"/>
      <c r="ABG3" s="97"/>
      <c r="ABH3" s="97"/>
      <c r="ABI3" s="97"/>
      <c r="ABJ3" s="97"/>
      <c r="ABK3" s="97"/>
      <c r="ABL3" s="97"/>
      <c r="ABM3" s="97"/>
      <c r="ABN3" s="97"/>
      <c r="ABO3" s="97"/>
      <c r="ABP3" s="97"/>
      <c r="ABQ3" s="97"/>
      <c r="ABR3" s="97"/>
      <c r="ABS3" s="97"/>
      <c r="ABT3" s="97"/>
      <c r="ABU3" s="97"/>
      <c r="ABV3" s="97"/>
      <c r="ABW3" s="97"/>
      <c r="ABX3" s="97"/>
      <c r="ABY3" s="97"/>
      <c r="ABZ3" s="97"/>
      <c r="ACA3" s="97"/>
      <c r="ACB3" s="97"/>
      <c r="ACC3" s="97"/>
      <c r="ACD3" s="97"/>
      <c r="ACE3" s="97"/>
      <c r="ACF3" s="97"/>
      <c r="ACG3" s="97"/>
      <c r="ACH3" s="97"/>
      <c r="ACI3" s="97"/>
      <c r="ACJ3" s="97"/>
      <c r="ACK3" s="97"/>
      <c r="ACL3" s="97"/>
      <c r="ACM3" s="97"/>
      <c r="ACN3" s="97"/>
      <c r="ACO3" s="97"/>
      <c r="ACP3" s="97"/>
      <c r="ACQ3" s="97"/>
      <c r="ACR3" s="97"/>
      <c r="ACS3" s="97"/>
      <c r="ACT3" s="97"/>
      <c r="ACU3" s="97"/>
      <c r="ACV3" s="97"/>
      <c r="ACW3" s="97"/>
      <c r="ACX3" s="97"/>
      <c r="ACY3" s="97"/>
      <c r="ACZ3" s="97"/>
      <c r="ADA3" s="97"/>
      <c r="ADB3" s="97"/>
      <c r="ADC3" s="97"/>
      <c r="ADD3" s="97"/>
      <c r="ADE3" s="97"/>
      <c r="ADF3" s="97"/>
      <c r="ADG3" s="97"/>
      <c r="ADH3" s="97"/>
      <c r="ADI3" s="97"/>
      <c r="ADJ3" s="97"/>
      <c r="ADK3" s="97"/>
      <c r="ADL3" s="97"/>
      <c r="ADM3" s="97"/>
      <c r="ADN3" s="97"/>
      <c r="ADO3" s="97"/>
      <c r="ADP3" s="97"/>
      <c r="ADQ3" s="97"/>
      <c r="ADR3" s="97"/>
      <c r="ADS3" s="97"/>
      <c r="ADT3" s="97"/>
      <c r="ADU3" s="97"/>
      <c r="ADV3" s="97"/>
      <c r="ADW3" s="97"/>
      <c r="ADX3" s="97"/>
      <c r="ADY3" s="97"/>
      <c r="ADZ3" s="97"/>
      <c r="AEA3" s="97"/>
      <c r="AEB3" s="97"/>
      <c r="AEC3" s="97"/>
      <c r="AED3" s="97"/>
      <c r="AEE3" s="97"/>
      <c r="AEF3" s="97"/>
      <c r="AEG3" s="97"/>
      <c r="AEH3" s="97"/>
      <c r="AEI3" s="97"/>
      <c r="AEJ3" s="97"/>
      <c r="AEK3" s="97"/>
      <c r="AEL3" s="97"/>
      <c r="AEM3" s="97"/>
      <c r="AEN3" s="97"/>
      <c r="AEO3" s="97"/>
      <c r="AEP3" s="97"/>
      <c r="AEQ3" s="97"/>
      <c r="AER3" s="97"/>
      <c r="AES3" s="97"/>
      <c r="AET3" s="97"/>
      <c r="AEU3" s="97"/>
      <c r="AEV3" s="97"/>
      <c r="AEW3" s="97"/>
      <c r="AEX3" s="97"/>
      <c r="AEY3" s="97"/>
      <c r="AEZ3" s="97"/>
      <c r="AFA3" s="97"/>
      <c r="AFB3" s="97"/>
      <c r="AFC3" s="97"/>
      <c r="AFD3" s="97"/>
      <c r="AFE3" s="97"/>
      <c r="AFF3" s="97"/>
      <c r="AFG3" s="97"/>
      <c r="AFH3" s="97"/>
      <c r="AFI3" s="97"/>
      <c r="AFJ3" s="97"/>
      <c r="AFK3" s="97"/>
      <c r="AFL3" s="97"/>
      <c r="AFM3" s="97"/>
      <c r="AFN3" s="97"/>
      <c r="AFO3" s="97"/>
      <c r="AFP3" s="97"/>
      <c r="AFQ3" s="97"/>
      <c r="AFR3" s="97"/>
      <c r="AFS3" s="97"/>
      <c r="AFT3" s="97"/>
      <c r="AFU3" s="97"/>
      <c r="AFV3" s="97"/>
      <c r="AFW3" s="97"/>
      <c r="AFX3" s="97"/>
      <c r="AFY3" s="97"/>
      <c r="AFZ3" s="97"/>
      <c r="AGA3" s="97"/>
      <c r="AGB3" s="97"/>
      <c r="AGC3" s="97"/>
      <c r="AGD3" s="97"/>
      <c r="AGE3" s="97"/>
      <c r="AGF3" s="97"/>
      <c r="AGG3" s="97"/>
      <c r="AGH3" s="97"/>
      <c r="AGI3" s="97"/>
      <c r="AGJ3" s="97"/>
      <c r="AGK3" s="97"/>
      <c r="AGL3" s="97"/>
      <c r="AGM3" s="97"/>
      <c r="AGN3" s="97"/>
      <c r="AGO3" s="97"/>
      <c r="AGP3" s="97"/>
      <c r="AGQ3" s="97"/>
      <c r="AGR3" s="97"/>
      <c r="AGS3" s="97"/>
      <c r="AGT3" s="97"/>
      <c r="AGU3" s="97"/>
      <c r="AGV3" s="97"/>
      <c r="AGW3" s="97"/>
      <c r="AGX3" s="97"/>
      <c r="AGY3" s="97"/>
      <c r="AGZ3" s="97"/>
      <c r="AHA3" s="97"/>
      <c r="AHB3" s="97"/>
      <c r="AHC3" s="97"/>
      <c r="AHD3" s="97"/>
      <c r="AHE3" s="97"/>
      <c r="AHF3" s="97"/>
      <c r="AHG3" s="97"/>
      <c r="AHH3" s="97"/>
      <c r="AHI3" s="97"/>
      <c r="AHJ3" s="97"/>
      <c r="AHK3" s="97"/>
      <c r="AHL3" s="97"/>
      <c r="AHM3" s="97"/>
      <c r="AHN3" s="97"/>
      <c r="AHO3" s="97"/>
      <c r="AHP3" s="97"/>
      <c r="AHQ3" s="97"/>
      <c r="AHR3" s="97"/>
      <c r="AHS3" s="97"/>
      <c r="AHT3" s="97"/>
      <c r="AHU3" s="97"/>
      <c r="AHV3" s="97"/>
      <c r="AHW3" s="97"/>
      <c r="AHX3" s="97"/>
      <c r="AHY3" s="97"/>
      <c r="AHZ3" s="97"/>
      <c r="AIA3" s="97"/>
      <c r="AIB3" s="97"/>
      <c r="AIC3" s="97"/>
      <c r="AID3" s="97"/>
      <c r="AIE3" s="97"/>
      <c r="AIF3" s="97"/>
      <c r="AIG3" s="97"/>
      <c r="AIH3" s="97"/>
      <c r="AII3" s="97"/>
      <c r="AIJ3" s="97"/>
      <c r="AIK3" s="97"/>
      <c r="AIL3" s="97"/>
      <c r="AIM3" s="97"/>
      <c r="AIN3" s="97"/>
      <c r="AIO3" s="97"/>
      <c r="AIP3" s="97"/>
      <c r="AIQ3" s="97"/>
      <c r="AIR3" s="97"/>
      <c r="AIS3" s="97"/>
      <c r="AIT3" s="97"/>
      <c r="AIU3" s="97"/>
      <c r="AIV3" s="97"/>
      <c r="AIW3" s="97"/>
      <c r="AIX3" s="97"/>
      <c r="AIY3" s="97"/>
      <c r="AIZ3" s="97"/>
      <c r="AJA3" s="97"/>
      <c r="AJB3" s="97"/>
      <c r="AJC3" s="97"/>
      <c r="AJD3" s="97"/>
      <c r="AJE3" s="97"/>
      <c r="AJF3" s="97"/>
      <c r="AJG3" s="97"/>
      <c r="AJH3" s="97"/>
      <c r="AJI3" s="97"/>
      <c r="AJJ3" s="97"/>
      <c r="AJK3" s="97"/>
      <c r="AJL3" s="97"/>
      <c r="AJM3" s="97"/>
      <c r="AJN3" s="97"/>
      <c r="AJO3" s="97"/>
      <c r="AJP3" s="97"/>
      <c r="AJQ3" s="97"/>
      <c r="AJR3" s="97"/>
      <c r="AJS3" s="97"/>
      <c r="AJT3" s="97"/>
      <c r="AJU3" s="97"/>
      <c r="AJV3" s="97"/>
      <c r="AJW3" s="97"/>
      <c r="AJX3" s="97"/>
      <c r="AJY3" s="97"/>
      <c r="AJZ3" s="97"/>
      <c r="AKA3" s="97"/>
      <c r="AKB3" s="97"/>
      <c r="AKC3" s="97"/>
      <c r="AKD3" s="97"/>
      <c r="AKE3" s="97"/>
      <c r="AKF3" s="97"/>
      <c r="AKG3" s="97"/>
      <c r="AKH3" s="97"/>
      <c r="AKI3" s="97"/>
      <c r="AKJ3" s="97"/>
      <c r="AKK3" s="97"/>
      <c r="AKL3" s="97"/>
      <c r="AKM3" s="97"/>
      <c r="AKN3" s="97"/>
      <c r="AKO3" s="97"/>
      <c r="AKP3" s="97"/>
      <c r="AKQ3" s="97"/>
      <c r="AKR3" s="97"/>
      <c r="AKS3" s="97"/>
      <c r="AKT3" s="97"/>
      <c r="AKU3" s="97"/>
      <c r="AKV3" s="97"/>
      <c r="AKW3" s="97"/>
      <c r="AKX3" s="97"/>
      <c r="AKY3" s="97"/>
      <c r="AKZ3" s="97"/>
      <c r="ALA3" s="97"/>
      <c r="ALB3" s="97"/>
      <c r="ALC3" s="97"/>
      <c r="ALD3" s="97"/>
      <c r="ALE3" s="97"/>
      <c r="ALF3" s="97"/>
      <c r="ALG3" s="97"/>
      <c r="ALH3" s="97"/>
      <c r="ALI3" s="97"/>
      <c r="ALJ3" s="97"/>
      <c r="ALK3" s="97"/>
      <c r="ALL3" s="97"/>
      <c r="ALM3" s="97"/>
      <c r="ALN3" s="97"/>
      <c r="ALO3" s="97"/>
      <c r="ALP3" s="97"/>
      <c r="ALQ3" s="97"/>
      <c r="ALR3" s="97"/>
      <c r="ALS3" s="97"/>
      <c r="ALT3" s="97"/>
      <c r="ALU3" s="97"/>
      <c r="ALV3" s="97"/>
      <c r="ALW3" s="97"/>
      <c r="ALX3" s="97"/>
      <c r="ALY3" s="97"/>
      <c r="ALZ3" s="97"/>
      <c r="AMA3" s="97"/>
      <c r="AMB3" s="97"/>
      <c r="AMC3" s="97"/>
      <c r="AMD3" s="97"/>
      <c r="AME3" s="97"/>
      <c r="AMF3" s="97"/>
      <c r="AMG3" s="97"/>
      <c r="AMH3" s="97"/>
      <c r="AMI3" s="97"/>
      <c r="AMJ3" s="97"/>
      <c r="AMK3" s="97"/>
      <c r="AML3" s="97"/>
      <c r="AMM3" s="97"/>
      <c r="AMN3" s="97"/>
      <c r="AMO3" s="97"/>
      <c r="AMP3" s="97"/>
      <c r="AMQ3" s="97"/>
      <c r="AMR3" s="97"/>
      <c r="AMS3" s="97"/>
      <c r="AMT3" s="97"/>
      <c r="AMU3" s="97"/>
      <c r="AMV3" s="97"/>
      <c r="AMW3" s="97"/>
      <c r="AMX3" s="97"/>
      <c r="AMY3" s="97"/>
      <c r="AMZ3" s="97"/>
      <c r="ANA3" s="97"/>
      <c r="ANB3" s="97"/>
      <c r="ANC3" s="97"/>
      <c r="AND3" s="97"/>
      <c r="ANE3" s="97"/>
      <c r="ANF3" s="97"/>
      <c r="ANG3" s="97"/>
      <c r="ANH3" s="97"/>
      <c r="ANI3" s="97"/>
      <c r="ANJ3" s="97"/>
      <c r="ANK3" s="97"/>
      <c r="ANL3" s="97"/>
      <c r="ANM3" s="97"/>
      <c r="ANN3" s="97"/>
      <c r="ANO3" s="97"/>
      <c r="ANP3" s="97"/>
      <c r="ANQ3" s="97"/>
      <c r="ANR3" s="97"/>
      <c r="ANS3" s="97"/>
      <c r="ANT3" s="97"/>
      <c r="ANU3" s="97"/>
      <c r="ANV3" s="97"/>
      <c r="ANW3" s="97"/>
      <c r="ANX3" s="97"/>
      <c r="ANY3" s="97"/>
      <c r="ANZ3" s="97"/>
      <c r="AOA3" s="97"/>
      <c r="AOB3" s="97"/>
      <c r="AOC3" s="97"/>
      <c r="AOD3" s="97"/>
      <c r="AOE3" s="97"/>
      <c r="AOF3" s="97"/>
      <c r="AOG3" s="97"/>
      <c r="AOH3" s="97"/>
      <c r="AOI3" s="97"/>
      <c r="AOJ3" s="97"/>
      <c r="AOK3" s="97"/>
      <c r="AOL3" s="97"/>
      <c r="AOM3" s="97"/>
      <c r="AON3" s="97"/>
      <c r="AOO3" s="97"/>
      <c r="AOP3" s="97"/>
      <c r="AOQ3" s="97"/>
      <c r="AOR3" s="97"/>
      <c r="AOS3" s="97"/>
      <c r="AOT3" s="97"/>
      <c r="AOU3" s="97"/>
      <c r="AOV3" s="97"/>
      <c r="AOW3" s="97"/>
      <c r="AOX3" s="97"/>
      <c r="AOY3" s="97"/>
      <c r="AOZ3" s="97"/>
      <c r="APA3" s="97"/>
      <c r="APB3" s="97"/>
      <c r="APC3" s="97"/>
      <c r="APD3" s="97"/>
      <c r="APE3" s="97"/>
      <c r="APF3" s="97"/>
      <c r="APG3" s="97"/>
      <c r="APH3" s="97"/>
      <c r="API3" s="97"/>
      <c r="APJ3" s="97"/>
      <c r="APK3" s="97"/>
      <c r="APL3" s="97"/>
      <c r="APM3" s="97"/>
      <c r="APN3" s="97"/>
      <c r="APO3" s="97"/>
      <c r="APP3" s="97"/>
      <c r="APQ3" s="97"/>
      <c r="APR3" s="97"/>
      <c r="APS3" s="97"/>
      <c r="APT3" s="97"/>
      <c r="APU3" s="97"/>
      <c r="APV3" s="97"/>
      <c r="APW3" s="97"/>
      <c r="APX3" s="97"/>
      <c r="APY3" s="97"/>
      <c r="APZ3" s="97"/>
      <c r="AQA3" s="97"/>
      <c r="AQB3" s="97"/>
      <c r="AQC3" s="97"/>
      <c r="AQD3" s="97"/>
      <c r="AQE3" s="97"/>
      <c r="AQF3" s="97"/>
      <c r="AQG3" s="97"/>
      <c r="AQH3" s="97"/>
      <c r="AQI3" s="97"/>
      <c r="AQJ3" s="97"/>
      <c r="AQK3" s="97"/>
      <c r="AQL3" s="97"/>
      <c r="AQM3" s="97"/>
      <c r="AQN3" s="97"/>
      <c r="AQO3" s="97"/>
      <c r="AQP3" s="97"/>
      <c r="AQQ3" s="97"/>
      <c r="AQR3" s="97"/>
      <c r="AQS3" s="97"/>
      <c r="AQT3" s="97"/>
      <c r="AQU3" s="97"/>
      <c r="AQV3" s="97"/>
      <c r="AQW3" s="97"/>
      <c r="AQX3" s="97"/>
      <c r="AQY3" s="97"/>
      <c r="AQZ3" s="97"/>
      <c r="ARA3" s="97"/>
      <c r="ARB3" s="97"/>
      <c r="ARC3" s="97"/>
      <c r="ARD3" s="97"/>
      <c r="ARE3" s="97"/>
      <c r="ARF3" s="97"/>
      <c r="ARG3" s="97"/>
      <c r="ARH3" s="97"/>
      <c r="ARI3" s="97"/>
      <c r="ARJ3" s="97"/>
      <c r="ARK3" s="97"/>
      <c r="ARL3" s="97"/>
      <c r="ARM3" s="97"/>
      <c r="ARN3" s="97"/>
      <c r="ARO3" s="97"/>
      <c r="ARP3" s="97"/>
      <c r="ARQ3" s="97"/>
      <c r="ARR3" s="97"/>
      <c r="ARS3" s="97"/>
      <c r="ART3" s="97"/>
      <c r="ARU3" s="97"/>
      <c r="ARV3" s="97"/>
      <c r="ARW3" s="97"/>
      <c r="ARX3" s="97"/>
      <c r="ARY3" s="97"/>
      <c r="ARZ3" s="97"/>
      <c r="ASA3" s="97"/>
      <c r="ASB3" s="97"/>
      <c r="ASC3" s="97"/>
      <c r="ASD3" s="97"/>
      <c r="ASE3" s="97"/>
      <c r="ASF3" s="97"/>
      <c r="ASG3" s="97"/>
      <c r="ASH3" s="97"/>
      <c r="ASI3" s="97"/>
      <c r="ASJ3" s="97"/>
      <c r="ASK3" s="97"/>
      <c r="ASL3" s="97"/>
      <c r="ASM3" s="97"/>
      <c r="ASN3" s="97"/>
      <c r="ASO3" s="97"/>
      <c r="ASP3" s="97"/>
      <c r="ASQ3" s="97"/>
      <c r="ASR3" s="97"/>
      <c r="ASS3" s="97"/>
      <c r="AST3" s="97"/>
      <c r="ASU3" s="97"/>
      <c r="ASV3" s="97"/>
      <c r="ASW3" s="97"/>
      <c r="ASX3" s="97"/>
      <c r="ASY3" s="97"/>
      <c r="ASZ3" s="97"/>
      <c r="ATA3" s="97"/>
      <c r="ATB3" s="97"/>
      <c r="ATC3" s="97"/>
      <c r="ATD3" s="97"/>
      <c r="ATE3" s="97"/>
      <c r="ATF3" s="97"/>
      <c r="ATG3" s="97"/>
      <c r="ATH3" s="97"/>
      <c r="ATI3" s="97"/>
      <c r="ATJ3" s="97"/>
      <c r="ATK3" s="97"/>
      <c r="ATL3" s="97"/>
      <c r="ATM3" s="97"/>
      <c r="ATN3" s="97"/>
      <c r="ATO3" s="97"/>
      <c r="ATP3" s="97"/>
      <c r="ATQ3" s="97"/>
      <c r="ATR3" s="97"/>
      <c r="ATS3" s="97"/>
      <c r="ATT3" s="97"/>
      <c r="ATU3" s="97"/>
      <c r="ATV3" s="97"/>
      <c r="ATW3" s="97"/>
      <c r="ATX3" s="97"/>
      <c r="ATY3" s="97"/>
      <c r="ATZ3" s="97"/>
      <c r="AUA3" s="97"/>
      <c r="AUB3" s="97"/>
      <c r="AUC3" s="97"/>
      <c r="AUD3" s="97"/>
      <c r="AUE3" s="97"/>
      <c r="AUF3" s="97"/>
      <c r="AUG3" s="97"/>
      <c r="AUH3" s="97"/>
      <c r="AUI3" s="97"/>
      <c r="AUJ3" s="97"/>
      <c r="AUK3" s="97"/>
      <c r="AUL3" s="97"/>
      <c r="AUM3" s="97"/>
      <c r="AUN3" s="97"/>
      <c r="AUO3" s="97"/>
      <c r="AUP3" s="97"/>
      <c r="AUQ3" s="97"/>
      <c r="AUR3" s="97"/>
      <c r="AUS3" s="97"/>
      <c r="AUT3" s="97"/>
      <c r="AUU3" s="97"/>
      <c r="AUV3" s="97"/>
      <c r="AUW3" s="97"/>
      <c r="AUX3" s="97"/>
      <c r="AUY3" s="97"/>
      <c r="AUZ3" s="97"/>
      <c r="AVA3" s="97"/>
      <c r="AVB3" s="97"/>
      <c r="AVC3" s="97"/>
      <c r="AVD3" s="97"/>
      <c r="AVE3" s="97"/>
      <c r="AVF3" s="97"/>
      <c r="AVG3" s="97"/>
      <c r="AVH3" s="97"/>
      <c r="AVI3" s="97"/>
      <c r="AVJ3" s="97"/>
      <c r="AVK3" s="97"/>
      <c r="AVL3" s="97"/>
      <c r="AVM3" s="97"/>
      <c r="AVN3" s="97"/>
      <c r="AVO3" s="97"/>
      <c r="AVP3" s="97"/>
      <c r="AVQ3" s="97"/>
      <c r="AVR3" s="97"/>
      <c r="AVS3" s="97"/>
      <c r="AVT3" s="97"/>
      <c r="AVU3" s="97"/>
      <c r="AVV3" s="97"/>
      <c r="AVW3" s="97"/>
      <c r="AVX3" s="97"/>
      <c r="AVY3" s="97"/>
      <c r="AVZ3" s="97"/>
      <c r="AWA3" s="97"/>
      <c r="AWB3" s="97"/>
      <c r="AWC3" s="97"/>
      <c r="AWD3" s="97"/>
      <c r="AWE3" s="97"/>
      <c r="AWF3" s="97"/>
      <c r="AWG3" s="97"/>
      <c r="AWH3" s="97"/>
      <c r="AWI3" s="97"/>
      <c r="AWJ3" s="97"/>
      <c r="AWK3" s="97"/>
      <c r="AWL3" s="97"/>
      <c r="AWM3" s="97"/>
      <c r="AWN3" s="97"/>
      <c r="AWO3" s="97"/>
      <c r="AWP3" s="97"/>
      <c r="AWQ3" s="97"/>
      <c r="AWR3" s="97"/>
      <c r="AWS3" s="97"/>
      <c r="AWT3" s="97"/>
      <c r="AWU3" s="97"/>
      <c r="AWV3" s="97"/>
      <c r="AWW3" s="97"/>
      <c r="AWX3" s="97"/>
      <c r="AWY3" s="97"/>
      <c r="AWZ3" s="97"/>
      <c r="AXA3" s="97"/>
      <c r="AXB3" s="97"/>
      <c r="AXC3" s="97"/>
      <c r="AXD3" s="97"/>
      <c r="AXE3" s="97"/>
      <c r="AXF3" s="97"/>
      <c r="AXG3" s="97"/>
      <c r="AXH3" s="97"/>
      <c r="AXI3" s="97"/>
      <c r="AXJ3" s="97"/>
      <c r="AXK3" s="97"/>
      <c r="AXL3" s="97"/>
      <c r="AXM3" s="97"/>
      <c r="AXN3" s="97"/>
      <c r="AXO3" s="97"/>
      <c r="AXP3" s="97"/>
      <c r="AXQ3" s="97"/>
      <c r="AXR3" s="97"/>
      <c r="AXS3" s="97"/>
      <c r="AXT3" s="97"/>
      <c r="AXU3" s="97"/>
      <c r="AXV3" s="97"/>
      <c r="AXW3" s="97"/>
      <c r="AXX3" s="97"/>
      <c r="AXY3" s="97"/>
      <c r="AXZ3" s="97"/>
      <c r="AYA3" s="97"/>
      <c r="AYB3" s="97"/>
      <c r="AYC3" s="97"/>
      <c r="AYD3" s="97"/>
      <c r="AYE3" s="97"/>
      <c r="AYF3" s="97"/>
      <c r="AYG3" s="97"/>
      <c r="AYH3" s="97"/>
      <c r="AYI3" s="97"/>
      <c r="AYJ3" s="97"/>
      <c r="AYK3" s="97"/>
      <c r="AYL3" s="97"/>
      <c r="AYM3" s="97"/>
      <c r="AYN3" s="97"/>
      <c r="AYO3" s="97"/>
      <c r="AYP3" s="97"/>
      <c r="AYQ3" s="97"/>
      <c r="AYR3" s="97"/>
      <c r="AYS3" s="97"/>
      <c r="AYT3" s="97"/>
      <c r="AYU3" s="97"/>
      <c r="AYV3" s="97"/>
      <c r="AYW3" s="97"/>
      <c r="AYX3" s="97"/>
      <c r="AYY3" s="97"/>
      <c r="AYZ3" s="97"/>
      <c r="AZA3" s="97"/>
      <c r="AZB3" s="97"/>
      <c r="AZC3" s="97"/>
      <c r="AZD3" s="97"/>
      <c r="AZE3" s="97"/>
      <c r="AZF3" s="97"/>
      <c r="AZG3" s="97"/>
      <c r="AZH3" s="97"/>
      <c r="AZI3" s="97"/>
      <c r="AZJ3" s="97"/>
      <c r="AZK3" s="97"/>
      <c r="AZL3" s="97"/>
      <c r="AZM3" s="97"/>
      <c r="AZN3" s="97"/>
      <c r="AZO3" s="97"/>
      <c r="AZP3" s="97"/>
      <c r="AZQ3" s="97"/>
      <c r="AZR3" s="97"/>
      <c r="AZS3" s="97"/>
      <c r="AZT3" s="97"/>
      <c r="AZU3" s="97"/>
      <c r="AZV3" s="97"/>
      <c r="AZW3" s="97"/>
      <c r="AZX3" s="97"/>
      <c r="AZY3" s="97"/>
      <c r="AZZ3" s="97"/>
      <c r="BAA3" s="97"/>
      <c r="BAB3" s="97"/>
      <c r="BAC3" s="97"/>
      <c r="BAD3" s="97"/>
      <c r="BAE3" s="97"/>
      <c r="BAF3" s="97"/>
      <c r="BAG3" s="97"/>
      <c r="BAH3" s="97"/>
      <c r="BAI3" s="97"/>
      <c r="BAJ3" s="97"/>
      <c r="BAK3" s="97"/>
      <c r="BAL3" s="97"/>
      <c r="BAM3" s="97"/>
      <c r="BAN3" s="97"/>
      <c r="BAO3" s="97"/>
      <c r="BAP3" s="97"/>
      <c r="BAQ3" s="97"/>
      <c r="BAR3" s="97"/>
      <c r="BAS3" s="97"/>
      <c r="BAT3" s="97"/>
      <c r="BAU3" s="97"/>
      <c r="BAV3" s="97"/>
      <c r="BAW3" s="97"/>
      <c r="BAX3" s="97"/>
      <c r="BAY3" s="97"/>
      <c r="BAZ3" s="97"/>
      <c r="BBA3" s="97"/>
      <c r="BBB3" s="97"/>
      <c r="BBC3" s="97"/>
      <c r="BBD3" s="97"/>
      <c r="BBE3" s="97"/>
      <c r="BBF3" s="97"/>
      <c r="BBG3" s="97"/>
      <c r="BBH3" s="97"/>
      <c r="BBI3" s="97"/>
      <c r="BBJ3" s="97"/>
      <c r="BBK3" s="97"/>
      <c r="BBL3" s="97"/>
      <c r="BBM3" s="97"/>
      <c r="BBN3" s="97"/>
      <c r="BBO3" s="97"/>
      <c r="BBP3" s="97"/>
      <c r="BBQ3" s="97"/>
      <c r="BBR3" s="97"/>
      <c r="BBS3" s="97"/>
      <c r="BBT3" s="97"/>
      <c r="BBU3" s="97"/>
      <c r="BBV3" s="97"/>
      <c r="BBW3" s="97"/>
      <c r="BBX3" s="97"/>
      <c r="BBY3" s="97"/>
      <c r="BBZ3" s="97"/>
      <c r="BCA3" s="97"/>
      <c r="BCB3" s="97"/>
      <c r="BCC3" s="97"/>
      <c r="BCD3" s="97"/>
      <c r="BCE3" s="97"/>
      <c r="BCF3" s="97"/>
      <c r="BCG3" s="97"/>
      <c r="BCH3" s="97"/>
      <c r="BCI3" s="97"/>
      <c r="BCJ3" s="97"/>
      <c r="BCK3" s="97"/>
      <c r="BCL3" s="97"/>
      <c r="BCM3" s="97"/>
      <c r="BCN3" s="97"/>
      <c r="BCO3" s="97"/>
      <c r="BCP3" s="97"/>
      <c r="BCQ3" s="97"/>
      <c r="BCR3" s="97"/>
      <c r="BCS3" s="97"/>
      <c r="BCT3" s="97"/>
      <c r="BCU3" s="97"/>
      <c r="BCV3" s="97"/>
      <c r="BCW3" s="97"/>
      <c r="BCX3" s="97"/>
      <c r="BCY3" s="97"/>
      <c r="BCZ3" s="97"/>
      <c r="BDA3" s="97"/>
      <c r="BDB3" s="97"/>
      <c r="BDC3" s="97"/>
      <c r="BDD3" s="97"/>
    </row>
    <row r="4" spans="1:1460" s="94" customFormat="1" ht="9.9499999999999993" customHeight="1">
      <c r="A4" s="6"/>
      <c r="B4" s="184"/>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c r="IR4" s="97"/>
      <c r="IS4" s="97"/>
      <c r="IT4" s="97"/>
      <c r="IU4" s="97"/>
      <c r="IV4" s="97"/>
      <c r="IW4" s="97"/>
      <c r="IX4" s="97"/>
      <c r="IY4" s="97"/>
      <c r="IZ4" s="97"/>
      <c r="JA4" s="97"/>
      <c r="JB4" s="97"/>
      <c r="JC4" s="97"/>
      <c r="JD4" s="97"/>
      <c r="JE4" s="97"/>
      <c r="JF4" s="97"/>
      <c r="JG4" s="97"/>
      <c r="JH4" s="97"/>
      <c r="JI4" s="97"/>
      <c r="JJ4" s="97"/>
      <c r="JK4" s="97"/>
      <c r="JL4" s="97"/>
      <c r="JM4" s="97"/>
      <c r="JN4" s="97"/>
      <c r="JO4" s="97"/>
      <c r="JP4" s="97"/>
      <c r="JQ4" s="97"/>
      <c r="JR4" s="97"/>
      <c r="JS4" s="97"/>
      <c r="JT4" s="97"/>
      <c r="JU4" s="97"/>
      <c r="JV4" s="97"/>
      <c r="JW4" s="97"/>
      <c r="JX4" s="97"/>
      <c r="JY4" s="97"/>
      <c r="JZ4" s="97"/>
      <c r="KA4" s="97"/>
      <c r="KB4" s="97"/>
      <c r="KC4" s="97"/>
      <c r="KD4" s="97"/>
      <c r="KE4" s="97"/>
      <c r="KF4" s="97"/>
      <c r="KG4" s="97"/>
      <c r="KH4" s="97"/>
      <c r="KI4" s="97"/>
      <c r="KJ4" s="97"/>
      <c r="KK4" s="97"/>
      <c r="KL4" s="97"/>
      <c r="KM4" s="97"/>
      <c r="KN4" s="97"/>
      <c r="KO4" s="97"/>
      <c r="KP4" s="97"/>
      <c r="KQ4" s="97"/>
      <c r="KR4" s="97"/>
      <c r="KS4" s="97"/>
      <c r="KT4" s="97"/>
      <c r="KU4" s="97"/>
      <c r="KV4" s="97"/>
      <c r="KW4" s="97"/>
      <c r="KX4" s="97"/>
      <c r="KY4" s="97"/>
      <c r="KZ4" s="97"/>
      <c r="LA4" s="97"/>
      <c r="LB4" s="97"/>
      <c r="LC4" s="97"/>
      <c r="LD4" s="97"/>
      <c r="LE4" s="97"/>
      <c r="LF4" s="97"/>
      <c r="LG4" s="97"/>
      <c r="LH4" s="97"/>
      <c r="LI4" s="97"/>
      <c r="LJ4" s="97"/>
      <c r="LK4" s="97"/>
      <c r="LL4" s="97"/>
      <c r="LM4" s="97"/>
      <c r="LN4" s="97"/>
      <c r="LO4" s="97"/>
      <c r="LP4" s="97"/>
      <c r="LQ4" s="97"/>
      <c r="LR4" s="97"/>
      <c r="LS4" s="97"/>
      <c r="LT4" s="97"/>
      <c r="LU4" s="97"/>
      <c r="LV4" s="97"/>
      <c r="LW4" s="97"/>
      <c r="LX4" s="97"/>
      <c r="LY4" s="97"/>
      <c r="LZ4" s="97"/>
      <c r="MA4" s="97"/>
      <c r="MB4" s="97"/>
      <c r="MC4" s="97"/>
      <c r="MD4" s="97"/>
      <c r="ME4" s="97"/>
      <c r="MF4" s="97"/>
      <c r="MG4" s="97"/>
      <c r="MH4" s="97"/>
      <c r="MI4" s="97"/>
      <c r="MJ4" s="97"/>
      <c r="MK4" s="97"/>
      <c r="ML4" s="97"/>
      <c r="MM4" s="97"/>
      <c r="MN4" s="97"/>
      <c r="MO4" s="97"/>
      <c r="MP4" s="97"/>
      <c r="MQ4" s="97"/>
      <c r="MR4" s="97"/>
      <c r="MS4" s="97"/>
      <c r="MT4" s="97"/>
      <c r="MU4" s="97"/>
      <c r="MV4" s="97"/>
      <c r="MW4" s="97"/>
      <c r="MX4" s="97"/>
      <c r="MY4" s="97"/>
      <c r="MZ4" s="97"/>
      <c r="NA4" s="97"/>
      <c r="NB4" s="97"/>
      <c r="NC4" s="97"/>
      <c r="ND4" s="97"/>
      <c r="NE4" s="97"/>
      <c r="NF4" s="97"/>
      <c r="NG4" s="97"/>
      <c r="NH4" s="97"/>
      <c r="NI4" s="97"/>
      <c r="NJ4" s="97"/>
      <c r="NK4" s="97"/>
      <c r="NL4" s="97"/>
      <c r="NM4" s="97"/>
      <c r="NN4" s="97"/>
      <c r="NO4" s="97"/>
      <c r="NP4" s="97"/>
      <c r="NQ4" s="97"/>
      <c r="NR4" s="97"/>
      <c r="NS4" s="97"/>
      <c r="NT4" s="97"/>
      <c r="NU4" s="97"/>
      <c r="NV4" s="97"/>
      <c r="NW4" s="97"/>
      <c r="NX4" s="97"/>
      <c r="NY4" s="97"/>
      <c r="NZ4" s="97"/>
      <c r="OA4" s="97"/>
      <c r="OB4" s="97"/>
      <c r="OC4" s="97"/>
      <c r="OD4" s="97"/>
      <c r="OE4" s="97"/>
      <c r="OF4" s="97"/>
      <c r="OG4" s="97"/>
      <c r="OH4" s="97"/>
      <c r="OI4" s="97"/>
      <c r="OJ4" s="97"/>
      <c r="OK4" s="97"/>
      <c r="OL4" s="97"/>
      <c r="OM4" s="97"/>
      <c r="ON4" s="97"/>
      <c r="OO4" s="97"/>
      <c r="OP4" s="97"/>
      <c r="OQ4" s="97"/>
      <c r="OR4" s="97"/>
      <c r="OS4" s="97"/>
      <c r="OT4" s="97"/>
      <c r="OU4" s="97"/>
      <c r="OV4" s="97"/>
      <c r="OW4" s="97"/>
      <c r="OX4" s="97"/>
      <c r="OY4" s="97"/>
      <c r="OZ4" s="97"/>
      <c r="PA4" s="97"/>
      <c r="PB4" s="97"/>
      <c r="PC4" s="97"/>
      <c r="PD4" s="97"/>
      <c r="PE4" s="97"/>
      <c r="PF4" s="97"/>
      <c r="PG4" s="97"/>
      <c r="PH4" s="97"/>
      <c r="PI4" s="97"/>
      <c r="PJ4" s="97"/>
      <c r="PK4" s="97"/>
      <c r="PL4" s="97"/>
      <c r="PM4" s="97"/>
      <c r="PN4" s="97"/>
      <c r="PO4" s="97"/>
      <c r="PP4" s="97"/>
      <c r="PQ4" s="97"/>
      <c r="PR4" s="97"/>
      <c r="PS4" s="97"/>
      <c r="PT4" s="97"/>
      <c r="PU4" s="97"/>
      <c r="PV4" s="97"/>
      <c r="PW4" s="97"/>
      <c r="PX4" s="97"/>
      <c r="PY4" s="97"/>
      <c r="PZ4" s="97"/>
      <c r="QA4" s="97"/>
      <c r="QB4" s="97"/>
      <c r="QC4" s="97"/>
      <c r="QD4" s="97"/>
      <c r="QE4" s="97"/>
      <c r="QF4" s="97"/>
      <c r="QG4" s="97"/>
      <c r="QH4" s="97"/>
      <c r="QI4" s="97"/>
      <c r="QJ4" s="97"/>
      <c r="QK4" s="97"/>
      <c r="QL4" s="97"/>
      <c r="QM4" s="97"/>
      <c r="QN4" s="97"/>
      <c r="QO4" s="97"/>
      <c r="QP4" s="97"/>
      <c r="QQ4" s="97"/>
      <c r="QR4" s="97"/>
      <c r="QS4" s="97"/>
      <c r="QT4" s="97"/>
      <c r="QU4" s="97"/>
      <c r="QV4" s="97"/>
      <c r="QW4" s="97"/>
      <c r="QX4" s="97"/>
      <c r="QY4" s="97"/>
      <c r="QZ4" s="97"/>
      <c r="RA4" s="97"/>
      <c r="RB4" s="97"/>
      <c r="RC4" s="97"/>
      <c r="RD4" s="97"/>
      <c r="RE4" s="97"/>
      <c r="RF4" s="97"/>
      <c r="RG4" s="97"/>
      <c r="RH4" s="97"/>
      <c r="RI4" s="97"/>
      <c r="RJ4" s="97"/>
      <c r="RK4" s="97"/>
      <c r="RL4" s="97"/>
      <c r="RM4" s="97"/>
      <c r="RN4" s="97"/>
      <c r="RO4" s="97"/>
      <c r="RP4" s="97"/>
      <c r="RQ4" s="97"/>
      <c r="RR4" s="97"/>
      <c r="RS4" s="97"/>
      <c r="RT4" s="97"/>
      <c r="RU4" s="97"/>
      <c r="RV4" s="97"/>
      <c r="RW4" s="97"/>
      <c r="RX4" s="97"/>
      <c r="RY4" s="97"/>
      <c r="RZ4" s="97"/>
      <c r="SA4" s="97"/>
      <c r="SB4" s="97"/>
      <c r="SC4" s="97"/>
      <c r="SD4" s="97"/>
      <c r="SE4" s="97"/>
      <c r="SF4" s="97"/>
      <c r="SG4" s="97"/>
      <c r="SH4" s="97"/>
      <c r="SI4" s="97"/>
      <c r="SJ4" s="97"/>
      <c r="SK4" s="97"/>
      <c r="SL4" s="97"/>
      <c r="SM4" s="97"/>
      <c r="SN4" s="97"/>
      <c r="SO4" s="97"/>
      <c r="SP4" s="97"/>
      <c r="SQ4" s="97"/>
      <c r="SR4" s="97"/>
      <c r="SS4" s="97"/>
      <c r="ST4" s="97"/>
      <c r="SU4" s="97"/>
      <c r="SV4" s="97"/>
      <c r="SW4" s="97"/>
      <c r="SX4" s="97"/>
      <c r="SY4" s="97"/>
      <c r="SZ4" s="97"/>
      <c r="TA4" s="97"/>
      <c r="TB4" s="97"/>
      <c r="TC4" s="97"/>
      <c r="TD4" s="97"/>
      <c r="TE4" s="97"/>
      <c r="TF4" s="97"/>
      <c r="TG4" s="97"/>
      <c r="TH4" s="97"/>
      <c r="TI4" s="97"/>
      <c r="TJ4" s="97"/>
      <c r="TK4" s="97"/>
      <c r="TL4" s="97"/>
      <c r="TM4" s="97"/>
      <c r="TN4" s="97"/>
      <c r="TO4" s="97"/>
      <c r="TP4" s="97"/>
      <c r="TQ4" s="97"/>
      <c r="TR4" s="97"/>
      <c r="TS4" s="97"/>
      <c r="TT4" s="97"/>
      <c r="TU4" s="97"/>
      <c r="TV4" s="97"/>
      <c r="TW4" s="97"/>
      <c r="TX4" s="97"/>
      <c r="TY4" s="97"/>
      <c r="TZ4" s="97"/>
      <c r="UA4" s="97"/>
      <c r="UB4" s="97"/>
      <c r="UC4" s="97"/>
      <c r="UD4" s="97"/>
      <c r="UE4" s="97"/>
      <c r="UF4" s="97"/>
      <c r="UG4" s="97"/>
      <c r="UH4" s="97"/>
      <c r="UI4" s="97"/>
      <c r="UJ4" s="97"/>
      <c r="UK4" s="97"/>
      <c r="UL4" s="97"/>
      <c r="UM4" s="97"/>
      <c r="UN4" s="97"/>
      <c r="UO4" s="97"/>
      <c r="UP4" s="97"/>
      <c r="UQ4" s="97"/>
      <c r="UR4" s="97"/>
      <c r="US4" s="97"/>
      <c r="UT4" s="97"/>
      <c r="UU4" s="97"/>
      <c r="UV4" s="97"/>
      <c r="UW4" s="97"/>
      <c r="UX4" s="97"/>
      <c r="UY4" s="97"/>
      <c r="UZ4" s="97"/>
      <c r="VA4" s="97"/>
      <c r="VB4" s="97"/>
      <c r="VC4" s="97"/>
      <c r="VD4" s="97"/>
      <c r="VE4" s="97"/>
      <c r="VF4" s="97"/>
      <c r="VG4" s="97"/>
      <c r="VH4" s="97"/>
      <c r="VI4" s="97"/>
      <c r="VJ4" s="97"/>
      <c r="VK4" s="97"/>
      <c r="VL4" s="97"/>
      <c r="VM4" s="97"/>
      <c r="VN4" s="97"/>
      <c r="VO4" s="97"/>
      <c r="VP4" s="97"/>
      <c r="VQ4" s="97"/>
      <c r="VR4" s="97"/>
      <c r="VS4" s="97"/>
      <c r="VT4" s="97"/>
      <c r="VU4" s="97"/>
      <c r="VV4" s="97"/>
      <c r="VW4" s="97"/>
      <c r="VX4" s="97"/>
      <c r="VY4" s="97"/>
      <c r="VZ4" s="97"/>
      <c r="WA4" s="97"/>
      <c r="WB4" s="97"/>
      <c r="WC4" s="97"/>
      <c r="WD4" s="97"/>
      <c r="WE4" s="97"/>
      <c r="WF4" s="97"/>
      <c r="WG4" s="97"/>
      <c r="WH4" s="97"/>
      <c r="WI4" s="97"/>
      <c r="WJ4" s="97"/>
      <c r="WK4" s="97"/>
      <c r="WL4" s="97"/>
      <c r="WM4" s="97"/>
      <c r="WN4" s="97"/>
      <c r="WO4" s="97"/>
      <c r="WP4" s="97"/>
      <c r="WQ4" s="97"/>
      <c r="WR4" s="97"/>
      <c r="WS4" s="97"/>
      <c r="WT4" s="97"/>
      <c r="WU4" s="97"/>
      <c r="WV4" s="97"/>
      <c r="WW4" s="97"/>
      <c r="WX4" s="97"/>
      <c r="WY4" s="97"/>
      <c r="WZ4" s="97"/>
      <c r="XA4" s="97"/>
      <c r="XB4" s="97"/>
      <c r="XC4" s="97"/>
      <c r="XD4" s="97"/>
      <c r="XE4" s="97"/>
      <c r="XF4" s="97"/>
      <c r="XG4" s="97"/>
      <c r="XH4" s="97"/>
      <c r="XI4" s="97"/>
      <c r="XJ4" s="97"/>
      <c r="XK4" s="97"/>
      <c r="XL4" s="97"/>
      <c r="XM4" s="97"/>
      <c r="XN4" s="97"/>
      <c r="XO4" s="97"/>
      <c r="XP4" s="97"/>
      <c r="XQ4" s="97"/>
      <c r="XR4" s="97"/>
      <c r="XS4" s="97"/>
      <c r="XT4" s="97"/>
      <c r="XU4" s="97"/>
      <c r="XV4" s="97"/>
      <c r="XW4" s="97"/>
      <c r="XX4" s="97"/>
      <c r="XY4" s="97"/>
      <c r="XZ4" s="97"/>
      <c r="YA4" s="97"/>
      <c r="YB4" s="97"/>
      <c r="YC4" s="97"/>
      <c r="YD4" s="97"/>
      <c r="YE4" s="97"/>
      <c r="YF4" s="97"/>
      <c r="YG4" s="97"/>
      <c r="YH4" s="97"/>
      <c r="YI4" s="97"/>
      <c r="YJ4" s="97"/>
      <c r="YK4" s="97"/>
      <c r="YL4" s="97"/>
      <c r="YM4" s="97"/>
      <c r="YN4" s="97"/>
      <c r="YO4" s="97"/>
      <c r="YP4" s="97"/>
      <c r="YQ4" s="97"/>
      <c r="YR4" s="97"/>
      <c r="YS4" s="97"/>
      <c r="YT4" s="97"/>
      <c r="YU4" s="97"/>
      <c r="YV4" s="97"/>
      <c r="YW4" s="97"/>
      <c r="YX4" s="97"/>
      <c r="YY4" s="97"/>
      <c r="YZ4" s="97"/>
      <c r="ZA4" s="97"/>
      <c r="ZB4" s="97"/>
      <c r="ZC4" s="97"/>
      <c r="ZD4" s="97"/>
      <c r="ZE4" s="97"/>
      <c r="ZF4" s="97"/>
      <c r="ZG4" s="97"/>
      <c r="ZH4" s="97"/>
      <c r="ZI4" s="97"/>
      <c r="ZJ4" s="97"/>
      <c r="ZK4" s="97"/>
      <c r="ZL4" s="97"/>
      <c r="ZM4" s="97"/>
      <c r="ZN4" s="97"/>
      <c r="ZO4" s="97"/>
      <c r="ZP4" s="97"/>
      <c r="ZQ4" s="97"/>
      <c r="ZR4" s="97"/>
      <c r="ZS4" s="97"/>
      <c r="ZT4" s="97"/>
      <c r="ZU4" s="97"/>
      <c r="ZV4" s="97"/>
      <c r="ZW4" s="97"/>
      <c r="ZX4" s="97"/>
      <c r="ZY4" s="97"/>
      <c r="ZZ4" s="97"/>
      <c r="AAA4" s="97"/>
      <c r="AAB4" s="97"/>
      <c r="AAC4" s="97"/>
      <c r="AAD4" s="97"/>
      <c r="AAE4" s="97"/>
      <c r="AAF4" s="97"/>
      <c r="AAG4" s="97"/>
      <c r="AAH4" s="97"/>
      <c r="AAI4" s="97"/>
      <c r="AAJ4" s="97"/>
      <c r="AAK4" s="97"/>
      <c r="AAL4" s="97"/>
      <c r="AAM4" s="97"/>
      <c r="AAN4" s="97"/>
      <c r="AAO4" s="97"/>
      <c r="AAP4" s="97"/>
      <c r="AAQ4" s="97"/>
      <c r="AAR4" s="97"/>
      <c r="AAS4" s="97"/>
      <c r="AAT4" s="97"/>
      <c r="AAU4" s="97"/>
      <c r="AAV4" s="97"/>
      <c r="AAW4" s="97"/>
      <c r="AAX4" s="97"/>
      <c r="AAY4" s="97"/>
      <c r="AAZ4" s="97"/>
      <c r="ABA4" s="97"/>
      <c r="ABB4" s="97"/>
      <c r="ABC4" s="97"/>
      <c r="ABD4" s="97"/>
      <c r="ABE4" s="97"/>
      <c r="ABF4" s="97"/>
      <c r="ABG4" s="97"/>
      <c r="ABH4" s="97"/>
      <c r="ABI4" s="97"/>
      <c r="ABJ4" s="97"/>
      <c r="ABK4" s="97"/>
      <c r="ABL4" s="97"/>
      <c r="ABM4" s="97"/>
      <c r="ABN4" s="97"/>
      <c r="ABO4" s="97"/>
      <c r="ABP4" s="97"/>
      <c r="ABQ4" s="97"/>
      <c r="ABR4" s="97"/>
      <c r="ABS4" s="97"/>
      <c r="ABT4" s="97"/>
      <c r="ABU4" s="97"/>
      <c r="ABV4" s="97"/>
      <c r="ABW4" s="97"/>
      <c r="ABX4" s="97"/>
      <c r="ABY4" s="97"/>
      <c r="ABZ4" s="97"/>
      <c r="ACA4" s="97"/>
      <c r="ACB4" s="97"/>
      <c r="ACC4" s="97"/>
      <c r="ACD4" s="97"/>
      <c r="ACE4" s="97"/>
      <c r="ACF4" s="97"/>
      <c r="ACG4" s="97"/>
      <c r="ACH4" s="97"/>
      <c r="ACI4" s="97"/>
      <c r="ACJ4" s="97"/>
      <c r="ACK4" s="97"/>
      <c r="ACL4" s="97"/>
      <c r="ACM4" s="97"/>
      <c r="ACN4" s="97"/>
      <c r="ACO4" s="97"/>
      <c r="ACP4" s="97"/>
      <c r="ACQ4" s="97"/>
      <c r="ACR4" s="97"/>
      <c r="ACS4" s="97"/>
      <c r="ACT4" s="97"/>
      <c r="ACU4" s="97"/>
      <c r="ACV4" s="97"/>
      <c r="ACW4" s="97"/>
      <c r="ACX4" s="97"/>
      <c r="ACY4" s="97"/>
      <c r="ACZ4" s="97"/>
      <c r="ADA4" s="97"/>
      <c r="ADB4" s="97"/>
      <c r="ADC4" s="97"/>
      <c r="ADD4" s="97"/>
      <c r="ADE4" s="97"/>
      <c r="ADF4" s="97"/>
      <c r="ADG4" s="97"/>
      <c r="ADH4" s="97"/>
      <c r="ADI4" s="97"/>
      <c r="ADJ4" s="97"/>
      <c r="ADK4" s="97"/>
      <c r="ADL4" s="97"/>
      <c r="ADM4" s="97"/>
      <c r="ADN4" s="97"/>
      <c r="ADO4" s="97"/>
      <c r="ADP4" s="97"/>
      <c r="ADQ4" s="97"/>
      <c r="ADR4" s="97"/>
      <c r="ADS4" s="97"/>
      <c r="ADT4" s="97"/>
      <c r="ADU4" s="97"/>
      <c r="ADV4" s="97"/>
      <c r="ADW4" s="97"/>
      <c r="ADX4" s="97"/>
      <c r="ADY4" s="97"/>
      <c r="ADZ4" s="97"/>
      <c r="AEA4" s="97"/>
      <c r="AEB4" s="97"/>
      <c r="AEC4" s="97"/>
      <c r="AED4" s="97"/>
      <c r="AEE4" s="97"/>
      <c r="AEF4" s="97"/>
      <c r="AEG4" s="97"/>
      <c r="AEH4" s="97"/>
      <c r="AEI4" s="97"/>
      <c r="AEJ4" s="97"/>
      <c r="AEK4" s="97"/>
      <c r="AEL4" s="97"/>
      <c r="AEM4" s="97"/>
      <c r="AEN4" s="97"/>
      <c r="AEO4" s="97"/>
      <c r="AEP4" s="97"/>
      <c r="AEQ4" s="97"/>
      <c r="AER4" s="97"/>
      <c r="AES4" s="97"/>
      <c r="AET4" s="97"/>
      <c r="AEU4" s="97"/>
      <c r="AEV4" s="97"/>
      <c r="AEW4" s="97"/>
      <c r="AEX4" s="97"/>
      <c r="AEY4" s="97"/>
      <c r="AEZ4" s="97"/>
      <c r="AFA4" s="97"/>
      <c r="AFB4" s="97"/>
      <c r="AFC4" s="97"/>
      <c r="AFD4" s="97"/>
      <c r="AFE4" s="97"/>
      <c r="AFF4" s="97"/>
      <c r="AFG4" s="97"/>
      <c r="AFH4" s="97"/>
      <c r="AFI4" s="97"/>
      <c r="AFJ4" s="97"/>
      <c r="AFK4" s="97"/>
      <c r="AFL4" s="97"/>
      <c r="AFM4" s="97"/>
      <c r="AFN4" s="97"/>
      <c r="AFO4" s="97"/>
      <c r="AFP4" s="97"/>
      <c r="AFQ4" s="97"/>
      <c r="AFR4" s="97"/>
      <c r="AFS4" s="97"/>
      <c r="AFT4" s="97"/>
      <c r="AFU4" s="97"/>
      <c r="AFV4" s="97"/>
      <c r="AFW4" s="97"/>
      <c r="AFX4" s="97"/>
      <c r="AFY4" s="97"/>
      <c r="AFZ4" s="97"/>
      <c r="AGA4" s="97"/>
      <c r="AGB4" s="97"/>
      <c r="AGC4" s="97"/>
      <c r="AGD4" s="97"/>
      <c r="AGE4" s="97"/>
      <c r="AGF4" s="97"/>
      <c r="AGG4" s="97"/>
      <c r="AGH4" s="97"/>
      <c r="AGI4" s="97"/>
      <c r="AGJ4" s="97"/>
      <c r="AGK4" s="97"/>
      <c r="AGL4" s="97"/>
      <c r="AGM4" s="97"/>
      <c r="AGN4" s="97"/>
      <c r="AGO4" s="97"/>
      <c r="AGP4" s="97"/>
      <c r="AGQ4" s="97"/>
      <c r="AGR4" s="97"/>
      <c r="AGS4" s="97"/>
      <c r="AGT4" s="97"/>
      <c r="AGU4" s="97"/>
      <c r="AGV4" s="97"/>
      <c r="AGW4" s="97"/>
      <c r="AGX4" s="97"/>
      <c r="AGY4" s="97"/>
      <c r="AGZ4" s="97"/>
      <c r="AHA4" s="97"/>
      <c r="AHB4" s="97"/>
      <c r="AHC4" s="97"/>
      <c r="AHD4" s="97"/>
      <c r="AHE4" s="97"/>
      <c r="AHF4" s="97"/>
      <c r="AHG4" s="97"/>
      <c r="AHH4" s="97"/>
      <c r="AHI4" s="97"/>
      <c r="AHJ4" s="97"/>
      <c r="AHK4" s="97"/>
      <c r="AHL4" s="97"/>
      <c r="AHM4" s="97"/>
      <c r="AHN4" s="97"/>
      <c r="AHO4" s="97"/>
      <c r="AHP4" s="97"/>
      <c r="AHQ4" s="97"/>
      <c r="AHR4" s="97"/>
      <c r="AHS4" s="97"/>
      <c r="AHT4" s="97"/>
      <c r="AHU4" s="97"/>
      <c r="AHV4" s="97"/>
      <c r="AHW4" s="97"/>
      <c r="AHX4" s="97"/>
      <c r="AHY4" s="97"/>
      <c r="AHZ4" s="97"/>
      <c r="AIA4" s="97"/>
      <c r="AIB4" s="97"/>
      <c r="AIC4" s="97"/>
      <c r="AID4" s="97"/>
      <c r="AIE4" s="97"/>
      <c r="AIF4" s="97"/>
      <c r="AIG4" s="97"/>
      <c r="AIH4" s="97"/>
      <c r="AII4" s="97"/>
      <c r="AIJ4" s="97"/>
      <c r="AIK4" s="97"/>
      <c r="AIL4" s="97"/>
      <c r="AIM4" s="97"/>
      <c r="AIN4" s="97"/>
      <c r="AIO4" s="97"/>
      <c r="AIP4" s="97"/>
      <c r="AIQ4" s="97"/>
      <c r="AIR4" s="97"/>
      <c r="AIS4" s="97"/>
      <c r="AIT4" s="97"/>
      <c r="AIU4" s="97"/>
      <c r="AIV4" s="97"/>
      <c r="AIW4" s="97"/>
      <c r="AIX4" s="97"/>
      <c r="AIY4" s="97"/>
      <c r="AIZ4" s="97"/>
      <c r="AJA4" s="97"/>
      <c r="AJB4" s="97"/>
      <c r="AJC4" s="97"/>
      <c r="AJD4" s="97"/>
      <c r="AJE4" s="97"/>
      <c r="AJF4" s="97"/>
      <c r="AJG4" s="97"/>
      <c r="AJH4" s="97"/>
      <c r="AJI4" s="97"/>
      <c r="AJJ4" s="97"/>
      <c r="AJK4" s="97"/>
      <c r="AJL4" s="97"/>
      <c r="AJM4" s="97"/>
      <c r="AJN4" s="97"/>
      <c r="AJO4" s="97"/>
      <c r="AJP4" s="97"/>
      <c r="AJQ4" s="97"/>
      <c r="AJR4" s="97"/>
      <c r="AJS4" s="97"/>
      <c r="AJT4" s="97"/>
      <c r="AJU4" s="97"/>
      <c r="AJV4" s="97"/>
      <c r="AJW4" s="97"/>
      <c r="AJX4" s="97"/>
      <c r="AJY4" s="97"/>
      <c r="AJZ4" s="97"/>
      <c r="AKA4" s="97"/>
      <c r="AKB4" s="97"/>
      <c r="AKC4" s="97"/>
      <c r="AKD4" s="97"/>
      <c r="AKE4" s="97"/>
      <c r="AKF4" s="97"/>
      <c r="AKG4" s="97"/>
      <c r="AKH4" s="97"/>
      <c r="AKI4" s="97"/>
      <c r="AKJ4" s="97"/>
      <c r="AKK4" s="97"/>
      <c r="AKL4" s="97"/>
      <c r="AKM4" s="97"/>
      <c r="AKN4" s="97"/>
      <c r="AKO4" s="97"/>
      <c r="AKP4" s="97"/>
      <c r="AKQ4" s="97"/>
      <c r="AKR4" s="97"/>
      <c r="AKS4" s="97"/>
      <c r="AKT4" s="97"/>
      <c r="AKU4" s="97"/>
      <c r="AKV4" s="97"/>
      <c r="AKW4" s="97"/>
      <c r="AKX4" s="97"/>
      <c r="AKY4" s="97"/>
      <c r="AKZ4" s="97"/>
      <c r="ALA4" s="97"/>
      <c r="ALB4" s="97"/>
      <c r="ALC4" s="97"/>
      <c r="ALD4" s="97"/>
      <c r="ALE4" s="97"/>
      <c r="ALF4" s="97"/>
      <c r="ALG4" s="97"/>
      <c r="ALH4" s="97"/>
      <c r="ALI4" s="97"/>
      <c r="ALJ4" s="97"/>
      <c r="ALK4" s="97"/>
      <c r="ALL4" s="97"/>
      <c r="ALM4" s="97"/>
      <c r="ALN4" s="97"/>
      <c r="ALO4" s="97"/>
      <c r="ALP4" s="97"/>
      <c r="ALQ4" s="97"/>
      <c r="ALR4" s="97"/>
      <c r="ALS4" s="97"/>
      <c r="ALT4" s="97"/>
      <c r="ALU4" s="97"/>
      <c r="ALV4" s="97"/>
      <c r="ALW4" s="97"/>
      <c r="ALX4" s="97"/>
      <c r="ALY4" s="97"/>
      <c r="ALZ4" s="97"/>
      <c r="AMA4" s="97"/>
      <c r="AMB4" s="97"/>
      <c r="AMC4" s="97"/>
      <c r="AMD4" s="97"/>
      <c r="AME4" s="97"/>
      <c r="AMF4" s="97"/>
      <c r="AMG4" s="97"/>
      <c r="AMH4" s="97"/>
      <c r="AMI4" s="97"/>
      <c r="AMJ4" s="97"/>
      <c r="AMK4" s="97"/>
      <c r="AML4" s="97"/>
      <c r="AMM4" s="97"/>
      <c r="AMN4" s="97"/>
      <c r="AMO4" s="97"/>
      <c r="AMP4" s="97"/>
      <c r="AMQ4" s="97"/>
      <c r="AMR4" s="97"/>
      <c r="AMS4" s="97"/>
      <c r="AMT4" s="97"/>
      <c r="AMU4" s="97"/>
      <c r="AMV4" s="97"/>
      <c r="AMW4" s="97"/>
      <c r="AMX4" s="97"/>
      <c r="AMY4" s="97"/>
      <c r="AMZ4" s="97"/>
      <c r="ANA4" s="97"/>
      <c r="ANB4" s="97"/>
      <c r="ANC4" s="97"/>
      <c r="AND4" s="97"/>
      <c r="ANE4" s="97"/>
      <c r="ANF4" s="97"/>
      <c r="ANG4" s="97"/>
      <c r="ANH4" s="97"/>
      <c r="ANI4" s="97"/>
      <c r="ANJ4" s="97"/>
      <c r="ANK4" s="97"/>
      <c r="ANL4" s="97"/>
      <c r="ANM4" s="97"/>
      <c r="ANN4" s="97"/>
      <c r="ANO4" s="97"/>
      <c r="ANP4" s="97"/>
      <c r="ANQ4" s="97"/>
      <c r="ANR4" s="97"/>
      <c r="ANS4" s="97"/>
      <c r="ANT4" s="97"/>
      <c r="ANU4" s="97"/>
      <c r="ANV4" s="97"/>
      <c r="ANW4" s="97"/>
      <c r="ANX4" s="97"/>
      <c r="ANY4" s="97"/>
      <c r="ANZ4" s="97"/>
      <c r="AOA4" s="97"/>
      <c r="AOB4" s="97"/>
      <c r="AOC4" s="97"/>
      <c r="AOD4" s="97"/>
      <c r="AOE4" s="97"/>
      <c r="AOF4" s="97"/>
      <c r="AOG4" s="97"/>
      <c r="AOH4" s="97"/>
      <c r="AOI4" s="97"/>
      <c r="AOJ4" s="97"/>
      <c r="AOK4" s="97"/>
      <c r="AOL4" s="97"/>
      <c r="AOM4" s="97"/>
      <c r="AON4" s="97"/>
      <c r="AOO4" s="97"/>
      <c r="AOP4" s="97"/>
      <c r="AOQ4" s="97"/>
      <c r="AOR4" s="97"/>
      <c r="AOS4" s="97"/>
      <c r="AOT4" s="97"/>
      <c r="AOU4" s="97"/>
      <c r="AOV4" s="97"/>
      <c r="AOW4" s="97"/>
      <c r="AOX4" s="97"/>
      <c r="AOY4" s="97"/>
      <c r="AOZ4" s="97"/>
      <c r="APA4" s="97"/>
      <c r="APB4" s="97"/>
      <c r="APC4" s="97"/>
      <c r="APD4" s="97"/>
      <c r="APE4" s="97"/>
      <c r="APF4" s="97"/>
      <c r="APG4" s="97"/>
      <c r="APH4" s="97"/>
      <c r="API4" s="97"/>
      <c r="APJ4" s="97"/>
      <c r="APK4" s="97"/>
      <c r="APL4" s="97"/>
      <c r="APM4" s="97"/>
      <c r="APN4" s="97"/>
      <c r="APO4" s="97"/>
      <c r="APP4" s="97"/>
      <c r="APQ4" s="97"/>
      <c r="APR4" s="97"/>
      <c r="APS4" s="97"/>
      <c r="APT4" s="97"/>
      <c r="APU4" s="97"/>
      <c r="APV4" s="97"/>
      <c r="APW4" s="97"/>
      <c r="APX4" s="97"/>
      <c r="APY4" s="97"/>
      <c r="APZ4" s="97"/>
      <c r="AQA4" s="97"/>
      <c r="AQB4" s="97"/>
      <c r="AQC4" s="97"/>
      <c r="AQD4" s="97"/>
      <c r="AQE4" s="97"/>
      <c r="AQF4" s="97"/>
      <c r="AQG4" s="97"/>
      <c r="AQH4" s="97"/>
      <c r="AQI4" s="97"/>
      <c r="AQJ4" s="97"/>
      <c r="AQK4" s="97"/>
      <c r="AQL4" s="97"/>
      <c r="AQM4" s="97"/>
      <c r="AQN4" s="97"/>
      <c r="AQO4" s="97"/>
      <c r="AQP4" s="97"/>
      <c r="AQQ4" s="97"/>
      <c r="AQR4" s="97"/>
      <c r="AQS4" s="97"/>
      <c r="AQT4" s="97"/>
      <c r="AQU4" s="97"/>
      <c r="AQV4" s="97"/>
      <c r="AQW4" s="97"/>
      <c r="AQX4" s="97"/>
      <c r="AQY4" s="97"/>
      <c r="AQZ4" s="97"/>
      <c r="ARA4" s="97"/>
      <c r="ARB4" s="97"/>
      <c r="ARC4" s="97"/>
      <c r="ARD4" s="97"/>
      <c r="ARE4" s="97"/>
      <c r="ARF4" s="97"/>
      <c r="ARG4" s="97"/>
      <c r="ARH4" s="97"/>
      <c r="ARI4" s="97"/>
      <c r="ARJ4" s="97"/>
      <c r="ARK4" s="97"/>
      <c r="ARL4" s="97"/>
      <c r="ARM4" s="97"/>
      <c r="ARN4" s="97"/>
      <c r="ARO4" s="97"/>
      <c r="ARP4" s="97"/>
      <c r="ARQ4" s="97"/>
      <c r="ARR4" s="97"/>
      <c r="ARS4" s="97"/>
      <c r="ART4" s="97"/>
      <c r="ARU4" s="97"/>
      <c r="ARV4" s="97"/>
      <c r="ARW4" s="97"/>
      <c r="ARX4" s="97"/>
      <c r="ARY4" s="97"/>
      <c r="ARZ4" s="97"/>
      <c r="ASA4" s="97"/>
      <c r="ASB4" s="97"/>
      <c r="ASC4" s="97"/>
      <c r="ASD4" s="97"/>
      <c r="ASE4" s="97"/>
      <c r="ASF4" s="97"/>
      <c r="ASG4" s="97"/>
      <c r="ASH4" s="97"/>
      <c r="ASI4" s="97"/>
      <c r="ASJ4" s="97"/>
      <c r="ASK4" s="97"/>
      <c r="ASL4" s="97"/>
      <c r="ASM4" s="97"/>
      <c r="ASN4" s="97"/>
      <c r="ASO4" s="97"/>
      <c r="ASP4" s="97"/>
      <c r="ASQ4" s="97"/>
      <c r="ASR4" s="97"/>
      <c r="ASS4" s="97"/>
      <c r="AST4" s="97"/>
      <c r="ASU4" s="97"/>
      <c r="ASV4" s="97"/>
      <c r="ASW4" s="97"/>
      <c r="ASX4" s="97"/>
      <c r="ASY4" s="97"/>
      <c r="ASZ4" s="97"/>
      <c r="ATA4" s="97"/>
      <c r="ATB4" s="97"/>
      <c r="ATC4" s="97"/>
      <c r="ATD4" s="97"/>
      <c r="ATE4" s="97"/>
      <c r="ATF4" s="97"/>
      <c r="ATG4" s="97"/>
      <c r="ATH4" s="97"/>
      <c r="ATI4" s="97"/>
      <c r="ATJ4" s="97"/>
      <c r="ATK4" s="97"/>
      <c r="ATL4" s="97"/>
      <c r="ATM4" s="97"/>
      <c r="ATN4" s="97"/>
      <c r="ATO4" s="97"/>
      <c r="ATP4" s="97"/>
      <c r="ATQ4" s="97"/>
      <c r="ATR4" s="97"/>
      <c r="ATS4" s="97"/>
      <c r="ATT4" s="97"/>
      <c r="ATU4" s="97"/>
      <c r="ATV4" s="97"/>
      <c r="ATW4" s="97"/>
      <c r="ATX4" s="97"/>
      <c r="ATY4" s="97"/>
      <c r="ATZ4" s="97"/>
      <c r="AUA4" s="97"/>
      <c r="AUB4" s="97"/>
      <c r="AUC4" s="97"/>
      <c r="AUD4" s="97"/>
      <c r="AUE4" s="97"/>
      <c r="AUF4" s="97"/>
      <c r="AUG4" s="97"/>
      <c r="AUH4" s="97"/>
      <c r="AUI4" s="97"/>
      <c r="AUJ4" s="97"/>
      <c r="AUK4" s="97"/>
      <c r="AUL4" s="97"/>
      <c r="AUM4" s="97"/>
      <c r="AUN4" s="97"/>
      <c r="AUO4" s="97"/>
      <c r="AUP4" s="97"/>
      <c r="AUQ4" s="97"/>
      <c r="AUR4" s="97"/>
      <c r="AUS4" s="97"/>
      <c r="AUT4" s="97"/>
      <c r="AUU4" s="97"/>
      <c r="AUV4" s="97"/>
      <c r="AUW4" s="97"/>
      <c r="AUX4" s="97"/>
      <c r="AUY4" s="97"/>
      <c r="AUZ4" s="97"/>
      <c r="AVA4" s="97"/>
      <c r="AVB4" s="97"/>
      <c r="AVC4" s="97"/>
      <c r="AVD4" s="97"/>
      <c r="AVE4" s="97"/>
      <c r="AVF4" s="97"/>
      <c r="AVG4" s="97"/>
      <c r="AVH4" s="97"/>
      <c r="AVI4" s="97"/>
      <c r="AVJ4" s="97"/>
      <c r="AVK4" s="97"/>
      <c r="AVL4" s="97"/>
      <c r="AVM4" s="97"/>
      <c r="AVN4" s="97"/>
      <c r="AVO4" s="97"/>
      <c r="AVP4" s="97"/>
      <c r="AVQ4" s="97"/>
      <c r="AVR4" s="97"/>
      <c r="AVS4" s="97"/>
      <c r="AVT4" s="97"/>
      <c r="AVU4" s="97"/>
      <c r="AVV4" s="97"/>
      <c r="AVW4" s="97"/>
      <c r="AVX4" s="97"/>
      <c r="AVY4" s="97"/>
      <c r="AVZ4" s="97"/>
      <c r="AWA4" s="97"/>
      <c r="AWB4" s="97"/>
      <c r="AWC4" s="97"/>
      <c r="AWD4" s="97"/>
      <c r="AWE4" s="97"/>
      <c r="AWF4" s="97"/>
      <c r="AWG4" s="97"/>
      <c r="AWH4" s="97"/>
      <c r="AWI4" s="97"/>
      <c r="AWJ4" s="97"/>
      <c r="AWK4" s="97"/>
      <c r="AWL4" s="97"/>
      <c r="AWM4" s="97"/>
      <c r="AWN4" s="97"/>
      <c r="AWO4" s="97"/>
      <c r="AWP4" s="97"/>
      <c r="AWQ4" s="97"/>
      <c r="AWR4" s="97"/>
      <c r="AWS4" s="97"/>
      <c r="AWT4" s="97"/>
      <c r="AWU4" s="97"/>
      <c r="AWV4" s="97"/>
      <c r="AWW4" s="97"/>
      <c r="AWX4" s="97"/>
      <c r="AWY4" s="97"/>
      <c r="AWZ4" s="97"/>
      <c r="AXA4" s="97"/>
      <c r="AXB4" s="97"/>
      <c r="AXC4" s="97"/>
      <c r="AXD4" s="97"/>
      <c r="AXE4" s="97"/>
      <c r="AXF4" s="97"/>
      <c r="AXG4" s="97"/>
      <c r="AXH4" s="97"/>
      <c r="AXI4" s="97"/>
      <c r="AXJ4" s="97"/>
      <c r="AXK4" s="97"/>
      <c r="AXL4" s="97"/>
      <c r="AXM4" s="97"/>
      <c r="AXN4" s="97"/>
      <c r="AXO4" s="97"/>
      <c r="AXP4" s="97"/>
      <c r="AXQ4" s="97"/>
      <c r="AXR4" s="97"/>
      <c r="AXS4" s="97"/>
      <c r="AXT4" s="97"/>
      <c r="AXU4" s="97"/>
      <c r="AXV4" s="97"/>
      <c r="AXW4" s="97"/>
      <c r="AXX4" s="97"/>
      <c r="AXY4" s="97"/>
      <c r="AXZ4" s="97"/>
      <c r="AYA4" s="97"/>
      <c r="AYB4" s="97"/>
      <c r="AYC4" s="97"/>
      <c r="AYD4" s="97"/>
      <c r="AYE4" s="97"/>
      <c r="AYF4" s="97"/>
      <c r="AYG4" s="97"/>
      <c r="AYH4" s="97"/>
      <c r="AYI4" s="97"/>
      <c r="AYJ4" s="97"/>
      <c r="AYK4" s="97"/>
      <c r="AYL4" s="97"/>
      <c r="AYM4" s="97"/>
      <c r="AYN4" s="97"/>
      <c r="AYO4" s="97"/>
      <c r="AYP4" s="97"/>
      <c r="AYQ4" s="97"/>
      <c r="AYR4" s="97"/>
      <c r="AYS4" s="97"/>
      <c r="AYT4" s="97"/>
      <c r="AYU4" s="97"/>
      <c r="AYV4" s="97"/>
      <c r="AYW4" s="97"/>
      <c r="AYX4" s="97"/>
      <c r="AYY4" s="97"/>
      <c r="AYZ4" s="97"/>
      <c r="AZA4" s="97"/>
      <c r="AZB4" s="97"/>
      <c r="AZC4" s="97"/>
      <c r="AZD4" s="97"/>
      <c r="AZE4" s="97"/>
      <c r="AZF4" s="97"/>
      <c r="AZG4" s="97"/>
      <c r="AZH4" s="97"/>
      <c r="AZI4" s="97"/>
      <c r="AZJ4" s="97"/>
      <c r="AZK4" s="97"/>
      <c r="AZL4" s="97"/>
      <c r="AZM4" s="97"/>
      <c r="AZN4" s="97"/>
      <c r="AZO4" s="97"/>
      <c r="AZP4" s="97"/>
      <c r="AZQ4" s="97"/>
      <c r="AZR4" s="97"/>
      <c r="AZS4" s="97"/>
      <c r="AZT4" s="97"/>
      <c r="AZU4" s="97"/>
      <c r="AZV4" s="97"/>
      <c r="AZW4" s="97"/>
      <c r="AZX4" s="97"/>
      <c r="AZY4" s="97"/>
      <c r="AZZ4" s="97"/>
      <c r="BAA4" s="97"/>
      <c r="BAB4" s="97"/>
      <c r="BAC4" s="97"/>
      <c r="BAD4" s="97"/>
      <c r="BAE4" s="97"/>
      <c r="BAF4" s="97"/>
      <c r="BAG4" s="97"/>
      <c r="BAH4" s="97"/>
      <c r="BAI4" s="97"/>
      <c r="BAJ4" s="97"/>
      <c r="BAK4" s="97"/>
      <c r="BAL4" s="97"/>
      <c r="BAM4" s="97"/>
      <c r="BAN4" s="97"/>
      <c r="BAO4" s="97"/>
      <c r="BAP4" s="97"/>
      <c r="BAQ4" s="97"/>
      <c r="BAR4" s="97"/>
      <c r="BAS4" s="97"/>
      <c r="BAT4" s="97"/>
      <c r="BAU4" s="97"/>
      <c r="BAV4" s="97"/>
      <c r="BAW4" s="97"/>
      <c r="BAX4" s="97"/>
      <c r="BAY4" s="97"/>
      <c r="BAZ4" s="97"/>
      <c r="BBA4" s="97"/>
      <c r="BBB4" s="97"/>
      <c r="BBC4" s="97"/>
      <c r="BBD4" s="97"/>
      <c r="BBE4" s="97"/>
      <c r="BBF4" s="97"/>
      <c r="BBG4" s="97"/>
      <c r="BBH4" s="97"/>
      <c r="BBI4" s="97"/>
      <c r="BBJ4" s="97"/>
      <c r="BBK4" s="97"/>
      <c r="BBL4" s="97"/>
      <c r="BBM4" s="97"/>
      <c r="BBN4" s="97"/>
      <c r="BBO4" s="97"/>
      <c r="BBP4" s="97"/>
      <c r="BBQ4" s="97"/>
      <c r="BBR4" s="97"/>
      <c r="BBS4" s="97"/>
      <c r="BBT4" s="97"/>
      <c r="BBU4" s="97"/>
      <c r="BBV4" s="97"/>
      <c r="BBW4" s="97"/>
      <c r="BBX4" s="97"/>
      <c r="BBY4" s="97"/>
      <c r="BBZ4" s="97"/>
      <c r="BCA4" s="97"/>
      <c r="BCB4" s="97"/>
      <c r="BCC4" s="97"/>
      <c r="BCD4" s="97"/>
      <c r="BCE4" s="97"/>
      <c r="BCF4" s="97"/>
      <c r="BCG4" s="97"/>
      <c r="BCH4" s="97"/>
      <c r="BCI4" s="97"/>
      <c r="BCJ4" s="97"/>
      <c r="BCK4" s="97"/>
      <c r="BCL4" s="97"/>
      <c r="BCM4" s="97"/>
      <c r="BCN4" s="97"/>
      <c r="BCO4" s="97"/>
      <c r="BCP4" s="97"/>
      <c r="BCQ4" s="97"/>
      <c r="BCR4" s="97"/>
      <c r="BCS4" s="97"/>
      <c r="BCT4" s="97"/>
      <c r="BCU4" s="97"/>
      <c r="BCV4" s="97"/>
      <c r="BCW4" s="97"/>
      <c r="BCX4" s="97"/>
      <c r="BCY4" s="97"/>
      <c r="BCZ4" s="97"/>
      <c r="BDA4" s="97"/>
      <c r="BDB4" s="97"/>
      <c r="BDC4" s="97"/>
      <c r="BDD4" s="97"/>
    </row>
    <row r="5" spans="1:1460" ht="9.9499999999999993" customHeight="1">
      <c r="A5" s="174"/>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4"/>
      <c r="DT5" s="174"/>
      <c r="DU5" s="174"/>
      <c r="DV5" s="174"/>
      <c r="DW5" s="174"/>
      <c r="DX5" s="174"/>
      <c r="DY5" s="174"/>
      <c r="DZ5" s="174"/>
      <c r="EA5" s="174"/>
      <c r="EB5" s="174"/>
      <c r="EC5" s="174"/>
      <c r="ED5" s="174"/>
      <c r="EE5" s="174"/>
      <c r="EF5" s="174"/>
      <c r="EG5" s="174"/>
      <c r="EH5" s="174"/>
      <c r="EI5" s="174"/>
      <c r="EJ5" s="174"/>
      <c r="EK5" s="174"/>
      <c r="EL5" s="174"/>
      <c r="EM5" s="174"/>
      <c r="EN5" s="174"/>
      <c r="EO5" s="174"/>
      <c r="EP5" s="174"/>
      <c r="EQ5" s="174"/>
      <c r="ER5" s="174"/>
      <c r="ES5" s="174"/>
      <c r="ET5" s="174"/>
      <c r="EU5" s="174"/>
      <c r="EV5" s="174"/>
      <c r="EW5" s="174"/>
      <c r="EX5" s="174"/>
      <c r="EY5" s="174"/>
      <c r="EZ5" s="174"/>
      <c r="FA5" s="174"/>
      <c r="FB5" s="174"/>
      <c r="FC5" s="174"/>
      <c r="FD5" s="174"/>
      <c r="FE5" s="174"/>
      <c r="FF5" s="174"/>
      <c r="FG5" s="174"/>
      <c r="FH5" s="174"/>
      <c r="FI5" s="174"/>
      <c r="FJ5" s="174"/>
      <c r="FK5" s="174"/>
      <c r="FL5" s="174"/>
      <c r="FM5" s="174"/>
      <c r="FN5" s="174"/>
      <c r="FO5" s="174"/>
      <c r="FP5" s="174"/>
      <c r="FQ5" s="174"/>
      <c r="FR5" s="174"/>
      <c r="FS5" s="174"/>
      <c r="FT5" s="174"/>
      <c r="FU5" s="174"/>
      <c r="FV5" s="174"/>
      <c r="FW5" s="174"/>
      <c r="FX5" s="174"/>
      <c r="FY5" s="174"/>
      <c r="FZ5" s="174"/>
      <c r="GA5" s="174"/>
      <c r="GB5" s="174"/>
      <c r="GC5" s="174"/>
      <c r="GD5" s="174"/>
      <c r="GE5" s="174"/>
      <c r="GF5" s="174"/>
      <c r="GG5" s="174"/>
      <c r="GH5" s="174"/>
      <c r="GI5" s="174"/>
      <c r="GJ5" s="174"/>
      <c r="GK5" s="174"/>
      <c r="GL5" s="174"/>
      <c r="GM5" s="174"/>
      <c r="GN5" s="174"/>
      <c r="GO5" s="174"/>
      <c r="GP5" s="174"/>
      <c r="GQ5" s="174"/>
      <c r="GR5" s="174"/>
      <c r="GS5" s="174"/>
      <c r="GT5" s="174"/>
      <c r="GU5" s="174"/>
      <c r="GV5" s="174"/>
      <c r="GW5" s="174"/>
      <c r="GX5" s="174"/>
      <c r="GY5" s="174"/>
      <c r="GZ5" s="174"/>
      <c r="HA5" s="174"/>
      <c r="HB5" s="174"/>
      <c r="HC5" s="174"/>
      <c r="HD5" s="174"/>
      <c r="HE5" s="174"/>
      <c r="HF5" s="174"/>
      <c r="HG5" s="174"/>
      <c r="HH5" s="174"/>
      <c r="HI5" s="174"/>
      <c r="HJ5" s="174"/>
      <c r="HK5" s="174"/>
      <c r="HL5" s="174"/>
      <c r="HM5" s="174"/>
      <c r="HN5" s="174"/>
      <c r="HO5" s="174"/>
      <c r="HP5" s="174"/>
      <c r="HQ5" s="174"/>
      <c r="HR5" s="174"/>
      <c r="HS5" s="174"/>
      <c r="HT5" s="174"/>
      <c r="HU5" s="174"/>
      <c r="HV5" s="174"/>
      <c r="HW5" s="174"/>
      <c r="HX5" s="174"/>
      <c r="HY5" s="174"/>
      <c r="HZ5" s="174"/>
      <c r="IA5" s="174"/>
      <c r="IB5" s="174"/>
      <c r="IC5" s="174"/>
      <c r="ID5" s="174"/>
      <c r="IE5" s="174"/>
      <c r="IF5" s="174"/>
      <c r="IG5" s="174"/>
      <c r="IH5" s="174"/>
      <c r="II5" s="174"/>
      <c r="IJ5" s="174"/>
      <c r="IK5" s="174"/>
      <c r="IL5" s="174"/>
      <c r="IM5" s="174"/>
      <c r="IN5" s="174"/>
      <c r="IO5" s="174"/>
      <c r="IP5" s="174"/>
      <c r="IQ5" s="174"/>
      <c r="IR5" s="174"/>
      <c r="IS5" s="174"/>
      <c r="IT5" s="174"/>
      <c r="IU5" s="174"/>
      <c r="IV5" s="174"/>
      <c r="IW5" s="174"/>
      <c r="IX5" s="174"/>
      <c r="IY5" s="174"/>
      <c r="IZ5" s="174"/>
      <c r="JA5" s="174"/>
      <c r="JB5" s="174"/>
      <c r="JC5" s="174"/>
      <c r="JD5" s="174"/>
      <c r="JE5" s="174"/>
      <c r="JF5" s="174"/>
      <c r="JG5" s="174"/>
      <c r="JH5" s="174"/>
      <c r="JI5" s="174"/>
      <c r="JJ5" s="174"/>
      <c r="JK5" s="174"/>
      <c r="JL5" s="174"/>
      <c r="JM5" s="174"/>
      <c r="JN5" s="174"/>
      <c r="JO5" s="174"/>
      <c r="JP5" s="174"/>
      <c r="JQ5" s="174"/>
      <c r="JR5" s="174"/>
      <c r="JS5" s="174"/>
      <c r="JT5" s="174"/>
      <c r="JU5" s="174"/>
      <c r="JV5" s="174"/>
      <c r="JW5" s="174"/>
      <c r="JX5" s="174"/>
      <c r="JY5" s="174"/>
      <c r="JZ5" s="174"/>
      <c r="KA5" s="174"/>
      <c r="KB5" s="174"/>
      <c r="KC5" s="174"/>
      <c r="KD5" s="174"/>
      <c r="KE5" s="174"/>
      <c r="KF5" s="174"/>
      <c r="KG5" s="174"/>
      <c r="KH5" s="174"/>
      <c r="KI5" s="174"/>
      <c r="KJ5" s="174"/>
      <c r="KK5" s="174"/>
      <c r="KL5" s="174"/>
      <c r="KM5" s="174"/>
      <c r="KN5" s="174"/>
      <c r="KO5" s="174"/>
      <c r="KP5" s="174"/>
      <c r="KQ5" s="174"/>
      <c r="KR5" s="174"/>
      <c r="KS5" s="174"/>
      <c r="KT5" s="174"/>
      <c r="KU5" s="174"/>
      <c r="KV5" s="174"/>
      <c r="KW5" s="174"/>
      <c r="KX5" s="174"/>
      <c r="KY5" s="174"/>
      <c r="KZ5" s="174"/>
      <c r="LA5" s="174"/>
      <c r="LB5" s="174"/>
      <c r="LC5" s="174"/>
      <c r="LD5" s="174"/>
      <c r="LE5" s="174"/>
      <c r="LF5" s="174"/>
      <c r="LG5" s="174"/>
      <c r="LH5" s="174"/>
      <c r="LI5" s="174"/>
      <c r="LJ5" s="174"/>
      <c r="LK5" s="174"/>
      <c r="LL5" s="174"/>
      <c r="LM5" s="174"/>
      <c r="LN5" s="174"/>
      <c r="LO5" s="174"/>
      <c r="LP5" s="174"/>
      <c r="LQ5" s="174"/>
      <c r="LR5" s="174"/>
      <c r="LS5" s="174"/>
      <c r="LT5" s="174"/>
      <c r="LU5" s="174"/>
      <c r="LV5" s="174"/>
      <c r="LW5" s="174"/>
      <c r="LX5" s="174"/>
      <c r="LY5" s="174"/>
      <c r="LZ5" s="174"/>
      <c r="MA5" s="174"/>
      <c r="MB5" s="174"/>
      <c r="MC5" s="174"/>
      <c r="MD5" s="174"/>
      <c r="ME5" s="174"/>
      <c r="MF5" s="174"/>
      <c r="MG5" s="174"/>
      <c r="MH5" s="174"/>
      <c r="MI5" s="174"/>
      <c r="MJ5" s="174"/>
      <c r="MK5" s="174"/>
      <c r="ML5" s="174"/>
      <c r="MM5" s="174"/>
      <c r="MN5" s="174"/>
      <c r="MO5" s="174"/>
      <c r="MP5" s="174"/>
      <c r="MQ5" s="174"/>
      <c r="MR5" s="174"/>
      <c r="MS5" s="174"/>
      <c r="MT5" s="174"/>
      <c r="MU5" s="174"/>
      <c r="MV5" s="174"/>
      <c r="MW5" s="174"/>
      <c r="MX5" s="174"/>
      <c r="MY5" s="174"/>
      <c r="MZ5" s="174"/>
      <c r="NA5" s="174"/>
      <c r="NB5" s="174"/>
      <c r="NC5" s="174"/>
      <c r="ND5" s="174"/>
      <c r="NE5" s="174"/>
      <c r="NF5" s="174"/>
      <c r="NG5" s="174"/>
      <c r="NH5" s="174"/>
      <c r="NI5" s="174"/>
      <c r="NJ5" s="174"/>
      <c r="NK5" s="174"/>
      <c r="NL5" s="174"/>
      <c r="NM5" s="174"/>
      <c r="NN5" s="174"/>
      <c r="NO5" s="174"/>
      <c r="NP5" s="174"/>
      <c r="NQ5" s="174"/>
      <c r="NR5" s="174"/>
      <c r="NS5" s="174"/>
      <c r="NT5" s="174"/>
      <c r="NU5" s="174"/>
      <c r="NV5" s="174"/>
      <c r="NW5" s="174"/>
      <c r="NX5" s="174"/>
      <c r="NY5" s="174"/>
      <c r="NZ5" s="174"/>
      <c r="OA5" s="174"/>
      <c r="OB5" s="174"/>
      <c r="OC5" s="174"/>
      <c r="OD5" s="174"/>
      <c r="OE5" s="174"/>
      <c r="OF5" s="174"/>
      <c r="OG5" s="174"/>
      <c r="OH5" s="174"/>
      <c r="OI5" s="174"/>
      <c r="OJ5" s="174"/>
      <c r="OK5" s="174"/>
      <c r="OL5" s="174"/>
      <c r="OM5" s="174"/>
      <c r="ON5" s="174"/>
      <c r="OO5" s="174"/>
      <c r="OP5" s="174"/>
      <c r="OQ5" s="174"/>
      <c r="OR5" s="174"/>
      <c r="OS5" s="174"/>
      <c r="OT5" s="174"/>
      <c r="OU5" s="174"/>
      <c r="OV5" s="174"/>
      <c r="OW5" s="174"/>
      <c r="OX5" s="174"/>
      <c r="OY5" s="174"/>
      <c r="OZ5" s="174"/>
      <c r="PA5" s="174"/>
      <c r="PB5" s="174"/>
      <c r="PC5" s="174"/>
      <c r="PD5" s="174"/>
      <c r="PE5" s="174"/>
      <c r="PF5" s="174"/>
      <c r="PG5" s="174"/>
      <c r="PH5" s="174"/>
      <c r="PI5" s="174"/>
      <c r="PJ5" s="174"/>
      <c r="PK5" s="174"/>
      <c r="PL5" s="174"/>
      <c r="PM5" s="174"/>
      <c r="PN5" s="174"/>
      <c r="PO5" s="174"/>
      <c r="PP5" s="174"/>
      <c r="PQ5" s="174"/>
      <c r="PR5" s="174"/>
      <c r="PS5" s="174"/>
      <c r="PT5" s="174"/>
      <c r="PU5" s="174"/>
      <c r="PV5" s="174"/>
      <c r="PW5" s="174"/>
      <c r="PX5" s="174"/>
      <c r="PY5" s="174"/>
      <c r="PZ5" s="174"/>
      <c r="QA5" s="174"/>
      <c r="QB5" s="174"/>
      <c r="QC5" s="174"/>
      <c r="QD5" s="174"/>
      <c r="QE5" s="174"/>
      <c r="QF5" s="174"/>
      <c r="QG5" s="174"/>
      <c r="QH5" s="174"/>
      <c r="QI5" s="174"/>
      <c r="QJ5" s="174"/>
      <c r="QK5" s="174"/>
      <c r="QL5" s="174"/>
      <c r="QM5" s="174"/>
      <c r="QN5" s="174"/>
      <c r="QO5" s="174"/>
      <c r="QP5" s="174"/>
      <c r="QQ5" s="174"/>
      <c r="QR5" s="174"/>
      <c r="QS5" s="174"/>
      <c r="QT5" s="174"/>
      <c r="QU5" s="174"/>
      <c r="QV5" s="174"/>
      <c r="QW5" s="174"/>
      <c r="QX5" s="174"/>
      <c r="QY5" s="174"/>
      <c r="QZ5" s="174"/>
      <c r="RA5" s="174"/>
      <c r="RB5" s="174"/>
      <c r="RC5" s="174"/>
      <c r="RD5" s="174"/>
      <c r="RE5" s="174"/>
      <c r="RF5" s="174"/>
      <c r="RG5" s="174"/>
      <c r="RH5" s="174"/>
      <c r="RI5" s="174"/>
      <c r="RJ5" s="174"/>
      <c r="RK5" s="174"/>
      <c r="RL5" s="174"/>
      <c r="RM5" s="174"/>
      <c r="RN5" s="174"/>
      <c r="RO5" s="174"/>
      <c r="RP5" s="174"/>
      <c r="RQ5" s="174"/>
      <c r="RR5" s="174"/>
      <c r="RS5" s="174"/>
      <c r="RT5" s="174"/>
      <c r="RU5" s="174"/>
      <c r="RV5" s="174"/>
      <c r="RW5" s="174"/>
      <c r="RX5" s="174"/>
      <c r="RY5" s="174"/>
      <c r="RZ5" s="174"/>
      <c r="SA5" s="174"/>
      <c r="SB5" s="174"/>
      <c r="SC5" s="174"/>
      <c r="SD5" s="174"/>
      <c r="SE5" s="174"/>
      <c r="SF5" s="174"/>
      <c r="SG5" s="174"/>
      <c r="SH5" s="174"/>
      <c r="SI5" s="174"/>
      <c r="SJ5" s="174"/>
      <c r="SK5" s="174"/>
      <c r="SL5" s="174"/>
      <c r="SM5" s="174"/>
      <c r="SN5" s="174"/>
      <c r="SO5" s="174"/>
      <c r="SP5" s="174"/>
      <c r="SQ5" s="174"/>
      <c r="SR5" s="174"/>
      <c r="SS5" s="174"/>
      <c r="ST5" s="174"/>
      <c r="SU5" s="174"/>
      <c r="SV5" s="174"/>
      <c r="SW5" s="174"/>
      <c r="SX5" s="174"/>
      <c r="SY5" s="174"/>
      <c r="SZ5" s="174"/>
      <c r="TA5" s="174"/>
      <c r="TB5" s="174"/>
      <c r="TC5" s="174"/>
      <c r="TD5" s="174"/>
      <c r="TE5" s="174"/>
      <c r="TF5" s="174"/>
      <c r="TG5" s="174"/>
      <c r="TH5" s="174"/>
      <c r="TI5" s="174"/>
      <c r="TJ5" s="174"/>
      <c r="TK5" s="174"/>
      <c r="TL5" s="174"/>
      <c r="TM5" s="174"/>
      <c r="TN5" s="174"/>
      <c r="TO5" s="174"/>
      <c r="TP5" s="174"/>
      <c r="TQ5" s="174"/>
      <c r="TR5" s="174"/>
      <c r="TS5" s="174"/>
      <c r="TT5" s="174"/>
      <c r="TU5" s="174"/>
      <c r="TV5" s="174"/>
      <c r="TW5" s="174"/>
      <c r="TX5" s="174"/>
      <c r="TY5" s="174"/>
      <c r="TZ5" s="174"/>
      <c r="UA5" s="174"/>
      <c r="UB5" s="174"/>
      <c r="UC5" s="174"/>
      <c r="UD5" s="174"/>
      <c r="UE5" s="174"/>
      <c r="UF5" s="174"/>
      <c r="UG5" s="174"/>
      <c r="UH5" s="174"/>
      <c r="UI5" s="174"/>
      <c r="UJ5" s="174"/>
      <c r="UK5" s="174"/>
      <c r="UL5" s="174"/>
      <c r="UM5" s="174"/>
      <c r="UN5" s="174"/>
      <c r="UO5" s="174"/>
      <c r="UP5" s="174"/>
      <c r="UQ5" s="174"/>
      <c r="UR5" s="174"/>
      <c r="US5" s="174"/>
      <c r="UT5" s="174"/>
      <c r="UU5" s="174"/>
      <c r="UV5" s="174"/>
      <c r="UW5" s="174"/>
      <c r="UX5" s="174"/>
      <c r="UY5" s="174"/>
      <c r="UZ5" s="174"/>
      <c r="VA5" s="174"/>
      <c r="VB5" s="174"/>
      <c r="VC5" s="174"/>
      <c r="VD5" s="174"/>
      <c r="VE5" s="174"/>
      <c r="VF5" s="174"/>
      <c r="VG5" s="174"/>
      <c r="VH5" s="174"/>
      <c r="VI5" s="174"/>
      <c r="VJ5" s="174"/>
      <c r="VK5" s="174"/>
      <c r="VL5" s="174"/>
      <c r="VM5" s="174"/>
      <c r="VN5" s="174"/>
      <c r="VO5" s="174"/>
      <c r="VP5" s="174"/>
      <c r="VQ5" s="174"/>
      <c r="VR5" s="174"/>
      <c r="VS5" s="174"/>
      <c r="VT5" s="174"/>
      <c r="VU5" s="174"/>
      <c r="VV5" s="174"/>
      <c r="VW5" s="174"/>
      <c r="VX5" s="174"/>
      <c r="VY5" s="174"/>
      <c r="VZ5" s="174"/>
      <c r="WA5" s="174"/>
      <c r="WB5" s="174"/>
      <c r="WC5" s="174"/>
      <c r="WD5" s="174"/>
      <c r="WE5" s="174"/>
      <c r="WF5" s="174"/>
      <c r="WG5" s="174"/>
      <c r="WH5" s="174"/>
      <c r="WI5" s="174"/>
      <c r="WJ5" s="174"/>
      <c r="WK5" s="174"/>
      <c r="WL5" s="174"/>
      <c r="WM5" s="174"/>
      <c r="WN5" s="174"/>
      <c r="WO5" s="174"/>
      <c r="WP5" s="174"/>
      <c r="WQ5" s="174"/>
      <c r="WR5" s="174"/>
      <c r="WS5" s="174"/>
      <c r="WT5" s="174"/>
      <c r="WU5" s="174"/>
      <c r="WV5" s="174"/>
      <c r="WW5" s="174"/>
      <c r="WX5" s="174"/>
      <c r="WY5" s="174"/>
      <c r="WZ5" s="174"/>
      <c r="XA5" s="174"/>
      <c r="XB5" s="174"/>
      <c r="XC5" s="174"/>
      <c r="XD5" s="174"/>
      <c r="XE5" s="174"/>
      <c r="XF5" s="174"/>
      <c r="XG5" s="174"/>
      <c r="XH5" s="174"/>
      <c r="XI5" s="174"/>
      <c r="XJ5" s="174"/>
      <c r="XK5" s="174"/>
      <c r="XL5" s="174"/>
      <c r="XM5" s="174"/>
      <c r="XN5" s="174"/>
      <c r="XO5" s="174"/>
      <c r="XP5" s="174"/>
      <c r="XQ5" s="174"/>
      <c r="XR5" s="174"/>
      <c r="XS5" s="174"/>
      <c r="XT5" s="174"/>
      <c r="XU5" s="174"/>
      <c r="XV5" s="174"/>
      <c r="XW5" s="174"/>
      <c r="XX5" s="174"/>
      <c r="XY5" s="174"/>
      <c r="XZ5" s="174"/>
      <c r="YA5" s="174"/>
      <c r="YB5" s="174"/>
      <c r="YC5" s="174"/>
      <c r="YD5" s="174"/>
      <c r="YE5" s="174"/>
      <c r="YF5" s="174"/>
      <c r="YG5" s="174"/>
      <c r="YH5" s="174"/>
      <c r="YI5" s="174"/>
      <c r="YJ5" s="174"/>
      <c r="YK5" s="174"/>
      <c r="YL5" s="174"/>
      <c r="YM5" s="174"/>
      <c r="YN5" s="174"/>
      <c r="YO5" s="174"/>
      <c r="YP5" s="174"/>
      <c r="YQ5" s="174"/>
      <c r="YR5" s="174"/>
      <c r="YS5" s="174"/>
      <c r="YT5" s="174"/>
      <c r="YU5" s="174"/>
      <c r="YV5" s="174"/>
      <c r="YW5" s="174"/>
      <c r="YX5" s="174"/>
      <c r="YY5" s="174"/>
      <c r="YZ5" s="174"/>
      <c r="ZA5" s="174"/>
      <c r="ZB5" s="174"/>
      <c r="ZC5" s="174"/>
      <c r="ZD5" s="174"/>
      <c r="ZE5" s="174"/>
      <c r="ZF5" s="174"/>
      <c r="ZG5" s="174"/>
      <c r="ZH5" s="174"/>
      <c r="ZI5" s="174"/>
      <c r="ZJ5" s="174"/>
      <c r="ZK5" s="174"/>
      <c r="ZL5" s="174"/>
      <c r="ZM5" s="174"/>
      <c r="ZN5" s="174"/>
      <c r="ZO5" s="174"/>
      <c r="ZP5" s="174"/>
      <c r="ZQ5" s="174"/>
      <c r="ZR5" s="174"/>
      <c r="ZS5" s="174"/>
      <c r="ZT5" s="174"/>
      <c r="ZU5" s="174"/>
      <c r="ZV5" s="174"/>
      <c r="ZW5" s="174"/>
      <c r="ZX5" s="174"/>
      <c r="ZY5" s="174"/>
      <c r="ZZ5" s="174"/>
      <c r="AAA5" s="174"/>
      <c r="AAB5" s="174"/>
      <c r="AAC5" s="174"/>
      <c r="AAD5" s="174"/>
      <c r="AAE5" s="174"/>
      <c r="AAF5" s="174"/>
      <c r="AAG5" s="174"/>
      <c r="AAH5" s="174"/>
      <c r="AAI5" s="174"/>
      <c r="AAJ5" s="174"/>
      <c r="AAK5" s="174"/>
      <c r="AAL5" s="174"/>
      <c r="AAM5" s="174"/>
      <c r="AAN5" s="174"/>
      <c r="AAO5" s="174"/>
      <c r="AAP5" s="174"/>
      <c r="AAQ5" s="174"/>
      <c r="AAR5" s="174"/>
      <c r="AAS5" s="174"/>
      <c r="AAT5" s="174"/>
      <c r="AAU5" s="174"/>
      <c r="AAV5" s="174"/>
      <c r="AAW5" s="174"/>
      <c r="AAX5" s="174"/>
      <c r="AAY5" s="174"/>
      <c r="AAZ5" s="174"/>
      <c r="ABA5" s="174"/>
      <c r="ABB5" s="174"/>
      <c r="ABC5" s="174"/>
      <c r="ABD5" s="174"/>
      <c r="ABE5" s="174"/>
      <c r="ABF5" s="174"/>
      <c r="ABG5" s="174"/>
      <c r="ABH5" s="174"/>
      <c r="ABI5" s="174"/>
      <c r="ABJ5" s="174"/>
      <c r="ABK5" s="174"/>
      <c r="ABL5" s="174"/>
      <c r="ABM5" s="174"/>
      <c r="ABN5" s="174"/>
      <c r="ABO5" s="174"/>
      <c r="ABP5" s="174"/>
      <c r="ABQ5" s="174"/>
      <c r="ABR5" s="174"/>
      <c r="ABS5" s="174"/>
      <c r="ABT5" s="174"/>
      <c r="ABU5" s="174"/>
      <c r="ABV5" s="174"/>
      <c r="ABW5" s="174"/>
      <c r="ABX5" s="174"/>
      <c r="ABY5" s="174"/>
      <c r="ABZ5" s="174"/>
      <c r="ACA5" s="174"/>
      <c r="ACB5" s="174"/>
      <c r="ACC5" s="174"/>
      <c r="ACD5" s="174"/>
      <c r="ACE5" s="174"/>
      <c r="ACF5" s="174"/>
      <c r="ACG5" s="174"/>
      <c r="ACH5" s="174"/>
      <c r="ACI5" s="174"/>
      <c r="ACJ5" s="174"/>
      <c r="ACK5" s="174"/>
      <c r="ACL5" s="174"/>
      <c r="ACM5" s="174"/>
      <c r="ACN5" s="174"/>
      <c r="ACO5" s="174"/>
      <c r="ACP5" s="174"/>
      <c r="ACQ5" s="174"/>
      <c r="ACR5" s="174"/>
      <c r="ACS5" s="174"/>
      <c r="ACT5" s="174"/>
      <c r="ACU5" s="174"/>
      <c r="ACV5" s="174"/>
      <c r="ACW5" s="174"/>
      <c r="ACX5" s="174"/>
      <c r="ACY5" s="174"/>
      <c r="ACZ5" s="174"/>
      <c r="ADA5" s="174"/>
      <c r="ADB5" s="174"/>
      <c r="ADC5" s="174"/>
      <c r="ADD5" s="174"/>
      <c r="ADE5" s="174"/>
      <c r="ADF5" s="174"/>
      <c r="ADG5" s="174"/>
      <c r="ADH5" s="174"/>
      <c r="ADI5" s="174"/>
      <c r="ADJ5" s="174"/>
      <c r="ADK5" s="174"/>
      <c r="ADL5" s="174"/>
      <c r="ADM5" s="174"/>
      <c r="ADN5" s="174"/>
      <c r="ADO5" s="174"/>
      <c r="ADP5" s="174"/>
      <c r="ADQ5" s="174"/>
      <c r="ADR5" s="174"/>
      <c r="ADS5" s="174"/>
      <c r="ADT5" s="174"/>
      <c r="ADU5" s="174"/>
      <c r="ADV5" s="174"/>
      <c r="ADW5" s="174"/>
      <c r="ADX5" s="174"/>
      <c r="ADY5" s="174"/>
      <c r="ADZ5" s="174"/>
      <c r="AEA5" s="174"/>
      <c r="AEB5" s="174"/>
      <c r="AEC5" s="174"/>
      <c r="AED5" s="174"/>
      <c r="AEE5" s="174"/>
      <c r="AEF5" s="174"/>
      <c r="AEG5" s="174"/>
      <c r="AEH5" s="174"/>
      <c r="AEI5" s="174"/>
      <c r="AEJ5" s="174"/>
      <c r="AEK5" s="174"/>
      <c r="AEL5" s="174"/>
      <c r="AEM5" s="174"/>
      <c r="AEN5" s="174"/>
      <c r="AEO5" s="174"/>
      <c r="AEP5" s="174"/>
      <c r="AEQ5" s="174"/>
      <c r="AER5" s="174"/>
      <c r="AES5" s="174"/>
      <c r="AET5" s="174"/>
      <c r="AEU5" s="174"/>
      <c r="AEV5" s="174"/>
      <c r="AEW5" s="174"/>
      <c r="AEX5" s="174"/>
      <c r="AEY5" s="174"/>
      <c r="AEZ5" s="174"/>
      <c r="AFA5" s="174"/>
      <c r="AFB5" s="174"/>
      <c r="AFC5" s="174"/>
      <c r="AFD5" s="174"/>
      <c r="AFE5" s="174"/>
      <c r="AFF5" s="174"/>
      <c r="AFG5" s="174"/>
      <c r="AFH5" s="174"/>
      <c r="AFI5" s="174"/>
      <c r="AFJ5" s="174"/>
      <c r="AFK5" s="174"/>
      <c r="AFL5" s="174"/>
      <c r="AFM5" s="174"/>
      <c r="AFN5" s="174"/>
      <c r="AFO5" s="174"/>
      <c r="AFP5" s="174"/>
      <c r="AFQ5" s="174"/>
      <c r="AFR5" s="174"/>
      <c r="AFS5" s="174"/>
      <c r="AFT5" s="174"/>
      <c r="AFU5" s="174"/>
      <c r="AFV5" s="174"/>
      <c r="AFW5" s="174"/>
      <c r="AFX5" s="174"/>
      <c r="AFY5" s="174"/>
      <c r="AFZ5" s="174"/>
      <c r="AGA5" s="174"/>
      <c r="AGB5" s="174"/>
      <c r="AGC5" s="174"/>
      <c r="AGD5" s="174"/>
      <c r="AGE5" s="174"/>
      <c r="AGF5" s="174"/>
      <c r="AGG5" s="174"/>
      <c r="AGH5" s="174"/>
      <c r="AGI5" s="174"/>
      <c r="AGJ5" s="174"/>
      <c r="AGK5" s="174"/>
      <c r="AGL5" s="174"/>
      <c r="AGM5" s="174"/>
      <c r="AGN5" s="174"/>
      <c r="AGO5" s="174"/>
      <c r="AGP5" s="174"/>
      <c r="AGQ5" s="174"/>
      <c r="AGR5" s="174"/>
      <c r="AGS5" s="174"/>
      <c r="AGT5" s="174"/>
      <c r="AGU5" s="174"/>
      <c r="AGV5" s="174"/>
      <c r="AGW5" s="174"/>
      <c r="AGX5" s="174"/>
      <c r="AGY5" s="174"/>
      <c r="AGZ5" s="174"/>
      <c r="AHA5" s="174"/>
      <c r="AHB5" s="174"/>
      <c r="AHC5" s="174"/>
      <c r="AHD5" s="174"/>
      <c r="AHE5" s="174"/>
      <c r="AHF5" s="174"/>
      <c r="AHG5" s="174"/>
      <c r="AHH5" s="174"/>
      <c r="AHI5" s="174"/>
      <c r="AHJ5" s="174"/>
      <c r="AHK5" s="174"/>
      <c r="AHL5" s="174"/>
      <c r="AHM5" s="174"/>
      <c r="AHN5" s="174"/>
      <c r="AHO5" s="174"/>
      <c r="AHP5" s="174"/>
      <c r="AHQ5" s="174"/>
      <c r="AHR5" s="174"/>
      <c r="AHS5" s="174"/>
      <c r="AHT5" s="174"/>
      <c r="AHU5" s="174"/>
      <c r="AHV5" s="174"/>
      <c r="AHW5" s="174"/>
      <c r="AHX5" s="174"/>
      <c r="AHY5" s="174"/>
      <c r="AHZ5" s="174"/>
      <c r="AIA5" s="174"/>
      <c r="AIB5" s="174"/>
      <c r="AIC5" s="174"/>
      <c r="AID5" s="174"/>
      <c r="AIE5" s="174"/>
      <c r="AIF5" s="174"/>
      <c r="AIG5" s="174"/>
      <c r="AIH5" s="174"/>
      <c r="AII5" s="174"/>
      <c r="AIJ5" s="174"/>
      <c r="AIK5" s="174"/>
      <c r="AIL5" s="174"/>
      <c r="AIM5" s="174"/>
      <c r="AIN5" s="174"/>
      <c r="AIO5" s="174"/>
      <c r="AIP5" s="174"/>
      <c r="AIQ5" s="174"/>
      <c r="AIR5" s="174"/>
      <c r="AIS5" s="174"/>
      <c r="AIT5" s="174"/>
      <c r="AIU5" s="174"/>
      <c r="AIV5" s="174"/>
      <c r="AIW5" s="174"/>
      <c r="AIX5" s="174"/>
      <c r="AIY5" s="174"/>
      <c r="AIZ5" s="174"/>
      <c r="AJA5" s="174"/>
      <c r="AJB5" s="174"/>
      <c r="AJC5" s="174"/>
      <c r="AJD5" s="174"/>
      <c r="AJE5" s="174"/>
      <c r="AJF5" s="174"/>
      <c r="AJG5" s="174"/>
      <c r="AJH5" s="174"/>
      <c r="AJI5" s="174"/>
      <c r="AJJ5" s="174"/>
      <c r="AJK5" s="174"/>
      <c r="AJL5" s="174"/>
      <c r="AJM5" s="174"/>
      <c r="AJN5" s="174"/>
      <c r="AJO5" s="174"/>
      <c r="AJP5" s="174"/>
      <c r="AJQ5" s="174"/>
      <c r="AJR5" s="174"/>
      <c r="AJS5" s="174"/>
      <c r="AJT5" s="174"/>
      <c r="AJU5" s="174"/>
      <c r="AJV5" s="174"/>
      <c r="AJW5" s="174"/>
      <c r="AJX5" s="174"/>
      <c r="AJY5" s="174"/>
      <c r="AJZ5" s="174"/>
      <c r="AKA5" s="174"/>
      <c r="AKB5" s="174"/>
      <c r="AKC5" s="174"/>
      <c r="AKD5" s="174"/>
      <c r="AKE5" s="174"/>
      <c r="AKF5" s="174"/>
      <c r="AKG5" s="174"/>
      <c r="AKH5" s="174"/>
      <c r="AKI5" s="174"/>
      <c r="AKJ5" s="174"/>
      <c r="AKK5" s="174"/>
      <c r="AKL5" s="174"/>
      <c r="AKM5" s="174"/>
      <c r="AKN5" s="174"/>
      <c r="AKO5" s="174"/>
      <c r="AKP5" s="174"/>
      <c r="AKQ5" s="174"/>
      <c r="AKR5" s="174"/>
      <c r="AKS5" s="174"/>
      <c r="AKT5" s="174"/>
      <c r="AKU5" s="174"/>
      <c r="AKV5" s="174"/>
      <c r="AKW5" s="174"/>
      <c r="AKX5" s="174"/>
      <c r="AKY5" s="174"/>
      <c r="AKZ5" s="174"/>
      <c r="ALA5" s="174"/>
      <c r="ALB5" s="174"/>
      <c r="ALC5" s="174"/>
      <c r="ALD5" s="174"/>
      <c r="ALE5" s="174"/>
      <c r="ALF5" s="174"/>
      <c r="ALG5" s="174"/>
      <c r="ALH5" s="174"/>
      <c r="ALI5" s="174"/>
      <c r="ALJ5" s="174"/>
      <c r="ALK5" s="174"/>
      <c r="ALL5" s="174"/>
      <c r="ALM5" s="174"/>
      <c r="ALN5" s="174"/>
      <c r="ALO5" s="174"/>
      <c r="ALP5" s="174"/>
      <c r="ALQ5" s="174"/>
      <c r="ALR5" s="174"/>
      <c r="ALS5" s="174"/>
      <c r="ALT5" s="174"/>
      <c r="ALU5" s="174"/>
      <c r="ALV5" s="174"/>
      <c r="ALW5" s="174"/>
      <c r="ALX5" s="174"/>
      <c r="ALY5" s="174"/>
      <c r="ALZ5" s="174"/>
      <c r="AMA5" s="174"/>
      <c r="AMB5" s="174"/>
      <c r="AMC5" s="174"/>
      <c r="AMD5" s="174"/>
      <c r="AME5" s="174"/>
      <c r="AMF5" s="174"/>
      <c r="AMG5" s="174"/>
      <c r="AMH5" s="174"/>
      <c r="AMI5" s="174"/>
      <c r="AMJ5" s="174"/>
      <c r="AMK5" s="174"/>
      <c r="AML5" s="174"/>
      <c r="AMM5" s="174"/>
      <c r="AMN5" s="174"/>
      <c r="AMO5" s="174"/>
      <c r="AMP5" s="174"/>
      <c r="AMQ5" s="174"/>
      <c r="AMR5" s="174"/>
      <c r="AMS5" s="174"/>
      <c r="AMT5" s="174"/>
      <c r="AMU5" s="174"/>
      <c r="AMV5" s="174"/>
      <c r="AMW5" s="174"/>
      <c r="AMX5" s="174"/>
      <c r="AMY5" s="174"/>
      <c r="AMZ5" s="174"/>
      <c r="ANA5" s="174"/>
      <c r="ANB5" s="174"/>
      <c r="ANC5" s="174"/>
      <c r="AND5" s="174"/>
      <c r="ANE5" s="174"/>
      <c r="ANF5" s="174"/>
      <c r="ANG5" s="174"/>
      <c r="ANH5" s="174"/>
      <c r="ANI5" s="174"/>
      <c r="ANJ5" s="174"/>
      <c r="ANK5" s="174"/>
      <c r="ANL5" s="174"/>
      <c r="ANM5" s="174"/>
      <c r="ANN5" s="174"/>
      <c r="ANO5" s="174"/>
      <c r="ANP5" s="174"/>
      <c r="ANQ5" s="174"/>
      <c r="ANR5" s="174"/>
      <c r="ANS5" s="174"/>
      <c r="ANT5" s="174"/>
      <c r="ANU5" s="174"/>
      <c r="ANV5" s="174"/>
      <c r="ANW5" s="174"/>
      <c r="ANX5" s="174"/>
      <c r="ANY5" s="174"/>
      <c r="ANZ5" s="174"/>
      <c r="AOA5" s="174"/>
      <c r="AOB5" s="174"/>
      <c r="AOC5" s="174"/>
      <c r="AOD5" s="174"/>
      <c r="AOE5" s="174"/>
      <c r="AOF5" s="174"/>
      <c r="AOG5" s="174"/>
      <c r="AOH5" s="174"/>
      <c r="AOI5" s="174"/>
      <c r="AOJ5" s="174"/>
      <c r="AOK5" s="174"/>
      <c r="AOL5" s="174"/>
      <c r="AOM5" s="174"/>
      <c r="AON5" s="174"/>
      <c r="AOO5" s="174"/>
      <c r="AOP5" s="174"/>
      <c r="AOQ5" s="174"/>
      <c r="AOR5" s="174"/>
      <c r="AOS5" s="174"/>
      <c r="AOT5" s="174"/>
      <c r="AOU5" s="174"/>
      <c r="AOV5" s="174"/>
      <c r="AOW5" s="174"/>
      <c r="AOX5" s="174"/>
      <c r="AOY5" s="174"/>
      <c r="AOZ5" s="174"/>
      <c r="APA5" s="174"/>
      <c r="APB5" s="174"/>
      <c r="APC5" s="174"/>
      <c r="APD5" s="174"/>
      <c r="APE5" s="174"/>
      <c r="APF5" s="174"/>
      <c r="APG5" s="174"/>
      <c r="APH5" s="174"/>
      <c r="API5" s="174"/>
      <c r="APJ5" s="174"/>
      <c r="APK5" s="174"/>
      <c r="APL5" s="174"/>
      <c r="APM5" s="174"/>
      <c r="APN5" s="174"/>
      <c r="APO5" s="174"/>
      <c r="APP5" s="174"/>
      <c r="APQ5" s="174"/>
      <c r="APR5" s="174"/>
      <c r="APS5" s="174"/>
      <c r="APT5" s="174"/>
      <c r="APU5" s="174"/>
      <c r="APV5" s="174"/>
      <c r="APW5" s="174"/>
      <c r="APX5" s="174"/>
      <c r="APY5" s="174"/>
      <c r="APZ5" s="174"/>
      <c r="AQA5" s="174"/>
      <c r="AQB5" s="174"/>
      <c r="AQC5" s="174"/>
      <c r="AQD5" s="174"/>
      <c r="AQE5" s="174"/>
      <c r="AQF5" s="174"/>
      <c r="AQG5" s="174"/>
      <c r="AQH5" s="174"/>
      <c r="AQI5" s="174"/>
      <c r="AQJ5" s="174"/>
      <c r="AQK5" s="174"/>
      <c r="AQL5" s="174"/>
      <c r="AQM5" s="174"/>
      <c r="AQN5" s="174"/>
      <c r="AQO5" s="174"/>
      <c r="AQP5" s="174"/>
      <c r="AQQ5" s="174"/>
      <c r="AQR5" s="174"/>
      <c r="AQS5" s="174"/>
      <c r="AQT5" s="174"/>
      <c r="AQU5" s="174"/>
      <c r="AQV5" s="174"/>
      <c r="AQW5" s="174"/>
      <c r="AQX5" s="174"/>
      <c r="AQY5" s="174"/>
      <c r="AQZ5" s="174"/>
      <c r="ARA5" s="174"/>
      <c r="ARB5" s="174"/>
      <c r="ARC5" s="174"/>
      <c r="ARD5" s="174"/>
      <c r="ARE5" s="174"/>
      <c r="ARF5" s="174"/>
      <c r="ARG5" s="174"/>
      <c r="ARH5" s="174"/>
      <c r="ARI5" s="174"/>
      <c r="ARJ5" s="174"/>
      <c r="ARK5" s="174"/>
      <c r="ARL5" s="174"/>
      <c r="ARM5" s="174"/>
      <c r="ARN5" s="174"/>
      <c r="ARO5" s="174"/>
      <c r="ARP5" s="174"/>
      <c r="ARQ5" s="174"/>
      <c r="ARR5" s="174"/>
      <c r="ARS5" s="174"/>
      <c r="ART5" s="174"/>
      <c r="ARU5" s="174"/>
      <c r="ARV5" s="174"/>
      <c r="ARW5" s="174"/>
      <c r="ARX5" s="174"/>
      <c r="ARY5" s="174"/>
      <c r="ARZ5" s="174"/>
      <c r="ASA5" s="174"/>
      <c r="ASB5" s="174"/>
      <c r="ASC5" s="174"/>
      <c r="ASD5" s="174"/>
      <c r="ASE5" s="174"/>
      <c r="ASF5" s="174"/>
      <c r="ASG5" s="174"/>
      <c r="ASH5" s="174"/>
      <c r="ASI5" s="174"/>
      <c r="ASJ5" s="174"/>
      <c r="ASK5" s="174"/>
      <c r="ASL5" s="174"/>
      <c r="ASM5" s="174"/>
      <c r="ASN5" s="174"/>
      <c r="ASO5" s="174"/>
      <c r="ASP5" s="174"/>
      <c r="ASQ5" s="174"/>
      <c r="ASR5" s="174"/>
      <c r="ASS5" s="174"/>
      <c r="AST5" s="174"/>
      <c r="ASU5" s="174"/>
      <c r="ASV5" s="174"/>
      <c r="ASW5" s="174"/>
      <c r="ASX5" s="174"/>
      <c r="ASY5" s="174"/>
      <c r="ASZ5" s="174"/>
      <c r="ATA5" s="174"/>
      <c r="ATB5" s="174"/>
      <c r="ATC5" s="174"/>
      <c r="ATD5" s="174"/>
      <c r="ATE5" s="174"/>
      <c r="ATF5" s="174"/>
      <c r="ATG5" s="174"/>
      <c r="ATH5" s="174"/>
      <c r="ATI5" s="174"/>
      <c r="ATJ5" s="174"/>
      <c r="ATK5" s="174"/>
      <c r="ATL5" s="174"/>
      <c r="ATM5" s="174"/>
      <c r="ATN5" s="174"/>
      <c r="ATO5" s="174"/>
      <c r="ATP5" s="174"/>
      <c r="ATQ5" s="174"/>
      <c r="ATR5" s="174"/>
      <c r="ATS5" s="174"/>
      <c r="ATT5" s="174"/>
      <c r="ATU5" s="174"/>
      <c r="ATV5" s="174"/>
      <c r="ATW5" s="174"/>
      <c r="ATX5" s="174"/>
      <c r="ATY5" s="174"/>
      <c r="ATZ5" s="174"/>
      <c r="AUA5" s="174"/>
      <c r="AUB5" s="174"/>
      <c r="AUC5" s="174"/>
      <c r="AUD5" s="174"/>
      <c r="AUE5" s="174"/>
      <c r="AUF5" s="174"/>
      <c r="AUG5" s="174"/>
      <c r="AUH5" s="174"/>
      <c r="AUI5" s="174"/>
      <c r="AUJ5" s="174"/>
      <c r="AUK5" s="174"/>
      <c r="AUL5" s="174"/>
      <c r="AUM5" s="174"/>
      <c r="AUN5" s="174"/>
      <c r="AUO5" s="174"/>
      <c r="AUP5" s="174"/>
      <c r="AUQ5" s="174"/>
      <c r="AUR5" s="174"/>
      <c r="AUS5" s="174"/>
      <c r="AUT5" s="174"/>
      <c r="AUU5" s="174"/>
      <c r="AUV5" s="174"/>
      <c r="AUW5" s="174"/>
      <c r="AUX5" s="174"/>
      <c r="AUY5" s="174"/>
      <c r="AUZ5" s="174"/>
      <c r="AVA5" s="174"/>
      <c r="AVB5" s="174"/>
      <c r="AVC5" s="174"/>
      <c r="AVD5" s="174"/>
      <c r="AVE5" s="174"/>
      <c r="AVF5" s="174"/>
      <c r="AVG5" s="174"/>
      <c r="AVH5" s="174"/>
      <c r="AVI5" s="174"/>
      <c r="AVJ5" s="174"/>
      <c r="AVK5" s="174"/>
      <c r="AVL5" s="174"/>
      <c r="AVM5" s="174"/>
      <c r="AVN5" s="174"/>
      <c r="AVO5" s="174"/>
      <c r="AVP5" s="174"/>
      <c r="AVQ5" s="174"/>
      <c r="AVR5" s="174"/>
      <c r="AVS5" s="174"/>
      <c r="AVT5" s="174"/>
      <c r="AVU5" s="174"/>
      <c r="AVV5" s="174"/>
      <c r="AVW5" s="174"/>
      <c r="AVX5" s="174"/>
      <c r="AVY5" s="174"/>
      <c r="AVZ5" s="174"/>
      <c r="AWA5" s="174"/>
      <c r="AWB5" s="174"/>
      <c r="AWC5" s="174"/>
      <c r="AWD5" s="174"/>
      <c r="AWE5" s="174"/>
      <c r="AWF5" s="174"/>
      <c r="AWG5" s="174"/>
      <c r="AWH5" s="174"/>
      <c r="AWI5" s="174"/>
      <c r="AWJ5" s="174"/>
      <c r="AWK5" s="174"/>
      <c r="AWL5" s="174"/>
      <c r="AWM5" s="174"/>
      <c r="AWN5" s="174"/>
      <c r="AWO5" s="174"/>
      <c r="AWP5" s="174"/>
      <c r="AWQ5" s="174"/>
      <c r="AWR5" s="174"/>
      <c r="AWS5" s="174"/>
      <c r="AWT5" s="174"/>
      <c r="AWU5" s="174"/>
      <c r="AWV5" s="174"/>
      <c r="AWW5" s="174"/>
      <c r="AWX5" s="174"/>
      <c r="AWY5" s="174"/>
      <c r="AWZ5" s="174"/>
      <c r="AXA5" s="174"/>
      <c r="AXB5" s="174"/>
      <c r="AXC5" s="174"/>
      <c r="AXD5" s="174"/>
      <c r="AXE5" s="174"/>
      <c r="AXF5" s="174"/>
      <c r="AXG5" s="174"/>
      <c r="AXH5" s="174"/>
      <c r="AXI5" s="174"/>
      <c r="AXJ5" s="174"/>
      <c r="AXK5" s="174"/>
      <c r="AXL5" s="174"/>
      <c r="AXM5" s="174"/>
      <c r="AXN5" s="174"/>
      <c r="AXO5" s="174"/>
      <c r="AXP5" s="174"/>
      <c r="AXQ5" s="174"/>
      <c r="AXR5" s="174"/>
      <c r="AXS5" s="174"/>
      <c r="AXT5" s="174"/>
      <c r="AXU5" s="174"/>
      <c r="AXV5" s="174"/>
      <c r="AXW5" s="174"/>
      <c r="AXX5" s="174"/>
      <c r="AXY5" s="174"/>
      <c r="AXZ5" s="174"/>
      <c r="AYA5" s="174"/>
      <c r="AYB5" s="174"/>
      <c r="AYC5" s="174"/>
      <c r="AYD5" s="174"/>
      <c r="AYE5" s="174"/>
      <c r="AYF5" s="174"/>
      <c r="AYG5" s="174"/>
      <c r="AYH5" s="174"/>
      <c r="AYI5" s="174"/>
      <c r="AYJ5" s="174"/>
      <c r="AYK5" s="174"/>
      <c r="AYL5" s="174"/>
      <c r="AYM5" s="174"/>
      <c r="AYN5" s="174"/>
      <c r="AYO5" s="174"/>
      <c r="AYP5" s="174"/>
      <c r="AYQ5" s="174"/>
      <c r="AYR5" s="174"/>
      <c r="AYS5" s="174"/>
      <c r="AYT5" s="174"/>
      <c r="AYU5" s="174"/>
      <c r="AYV5" s="174"/>
      <c r="AYW5" s="174"/>
      <c r="AYX5" s="174"/>
      <c r="AYY5" s="174"/>
      <c r="AYZ5" s="174"/>
      <c r="AZA5" s="174"/>
      <c r="AZB5" s="174"/>
      <c r="AZC5" s="174"/>
      <c r="AZD5" s="174"/>
      <c r="AZE5" s="174"/>
      <c r="AZF5" s="174"/>
      <c r="AZG5" s="174"/>
      <c r="AZH5" s="174"/>
      <c r="AZI5" s="174"/>
      <c r="AZJ5" s="174"/>
      <c r="AZK5" s="174"/>
      <c r="AZL5" s="174"/>
      <c r="AZM5" s="174"/>
      <c r="AZN5" s="174"/>
      <c r="AZO5" s="174"/>
      <c r="AZP5" s="174"/>
      <c r="AZQ5" s="174"/>
      <c r="AZR5" s="174"/>
      <c r="AZS5" s="174"/>
      <c r="AZT5" s="174"/>
      <c r="AZU5" s="174"/>
      <c r="AZV5" s="174"/>
      <c r="AZW5" s="174"/>
      <c r="AZX5" s="174"/>
      <c r="AZY5" s="174"/>
      <c r="AZZ5" s="174"/>
      <c r="BAA5" s="174"/>
      <c r="BAB5" s="174"/>
      <c r="BAC5" s="174"/>
      <c r="BAD5" s="174"/>
      <c r="BAE5" s="174"/>
      <c r="BAF5" s="174"/>
      <c r="BAG5" s="174"/>
      <c r="BAH5" s="174"/>
      <c r="BAI5" s="174"/>
      <c r="BAJ5" s="174"/>
      <c r="BAK5" s="174"/>
      <c r="BAL5" s="174"/>
      <c r="BAM5" s="174"/>
      <c r="BAN5" s="174"/>
      <c r="BAO5" s="174"/>
      <c r="BAP5" s="174"/>
      <c r="BAQ5" s="174"/>
      <c r="BAR5" s="174"/>
      <c r="BAS5" s="174"/>
      <c r="BAT5" s="174"/>
      <c r="BAU5" s="174"/>
      <c r="BAV5" s="174"/>
      <c r="BAW5" s="174"/>
      <c r="BAX5" s="174"/>
      <c r="BAY5" s="174"/>
      <c r="BAZ5" s="174"/>
      <c r="BBA5" s="174"/>
      <c r="BBB5" s="174"/>
      <c r="BBC5" s="174"/>
      <c r="BBD5" s="174"/>
      <c r="BBE5" s="174"/>
      <c r="BBF5" s="174"/>
      <c r="BBG5" s="174"/>
      <c r="BBH5" s="174"/>
      <c r="BBI5" s="174"/>
      <c r="BBJ5" s="174"/>
      <c r="BBK5" s="174"/>
      <c r="BBL5" s="174"/>
      <c r="BBM5" s="174"/>
      <c r="BBN5" s="174"/>
      <c r="BBO5" s="174"/>
      <c r="BBP5" s="174"/>
      <c r="BBQ5" s="174"/>
      <c r="BBR5" s="174"/>
      <c r="BBS5" s="174"/>
      <c r="BBT5" s="174"/>
      <c r="BBU5" s="174"/>
      <c r="BBV5" s="174"/>
      <c r="BBW5" s="174"/>
      <c r="BBX5" s="174"/>
      <c r="BBY5" s="174"/>
      <c r="BBZ5" s="174"/>
      <c r="BCA5" s="174"/>
      <c r="BCB5" s="174"/>
      <c r="BCC5" s="174"/>
      <c r="BCD5" s="174"/>
      <c r="BCE5" s="174"/>
      <c r="BCF5" s="174"/>
      <c r="BCG5" s="174"/>
      <c r="BCH5" s="174"/>
      <c r="BCI5" s="174"/>
      <c r="BCJ5" s="174"/>
      <c r="BCK5" s="174"/>
      <c r="BCL5" s="174"/>
      <c r="BCM5" s="174"/>
      <c r="BCN5" s="174"/>
      <c r="BCO5" s="174"/>
      <c r="BCP5" s="174"/>
      <c r="BCQ5" s="174"/>
      <c r="BCR5" s="174"/>
      <c r="BCS5" s="174"/>
      <c r="BCT5" s="174"/>
      <c r="BCU5" s="174"/>
      <c r="BCV5" s="174"/>
      <c r="BCW5" s="174"/>
      <c r="BCX5" s="174"/>
      <c r="BCY5" s="174"/>
      <c r="BCZ5" s="174"/>
      <c r="BDA5" s="174"/>
      <c r="BDB5" s="174"/>
      <c r="BDC5" s="174"/>
      <c r="BDD5" s="174"/>
    </row>
    <row r="6" spans="1:1460" ht="9.9499999999999993" customHeight="1">
      <c r="A6" s="174"/>
      <c r="B6" s="1"/>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7"/>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4"/>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c r="FL6" s="174"/>
      <c r="FM6" s="174"/>
      <c r="FN6" s="174"/>
      <c r="FO6" s="174"/>
      <c r="FP6" s="174"/>
      <c r="FQ6" s="174"/>
      <c r="FR6" s="174"/>
      <c r="FS6" s="174"/>
      <c r="FT6" s="174"/>
      <c r="FU6" s="174"/>
      <c r="FV6" s="174"/>
      <c r="FW6" s="174"/>
      <c r="FX6" s="174"/>
      <c r="FY6" s="174"/>
      <c r="FZ6" s="174"/>
      <c r="GA6" s="174"/>
      <c r="GB6" s="174"/>
      <c r="GC6" s="174"/>
      <c r="GD6" s="174"/>
      <c r="GE6" s="174"/>
      <c r="GF6" s="174"/>
      <c r="GG6" s="174"/>
      <c r="GH6" s="174"/>
      <c r="GI6" s="174"/>
      <c r="GJ6" s="174"/>
      <c r="GK6" s="174"/>
      <c r="GL6" s="174"/>
      <c r="GM6" s="174"/>
      <c r="GN6" s="174"/>
      <c r="GO6" s="174"/>
      <c r="GP6" s="174"/>
      <c r="GQ6" s="174"/>
      <c r="GR6" s="174"/>
      <c r="GS6" s="174"/>
      <c r="GT6" s="174"/>
      <c r="GU6" s="174"/>
      <c r="GV6" s="174"/>
      <c r="GW6" s="174"/>
      <c r="GX6" s="174"/>
      <c r="GY6" s="174"/>
      <c r="GZ6" s="174"/>
      <c r="HA6" s="174"/>
      <c r="HB6" s="174"/>
      <c r="HC6" s="174"/>
      <c r="HD6" s="174"/>
      <c r="HE6" s="174"/>
      <c r="HF6" s="174"/>
      <c r="HG6" s="174"/>
      <c r="HH6" s="174"/>
      <c r="HI6" s="174"/>
      <c r="HJ6" s="174"/>
      <c r="HK6" s="174"/>
      <c r="HL6" s="174"/>
      <c r="HM6" s="174"/>
      <c r="HN6" s="174"/>
      <c r="HO6" s="174"/>
      <c r="HP6" s="174"/>
      <c r="HQ6" s="174"/>
      <c r="HR6" s="174"/>
      <c r="HS6" s="174"/>
      <c r="HT6" s="174"/>
      <c r="HU6" s="174"/>
      <c r="HV6" s="174"/>
      <c r="HW6" s="174"/>
      <c r="HX6" s="174"/>
      <c r="HY6" s="174"/>
      <c r="HZ6" s="174"/>
      <c r="IA6" s="174"/>
      <c r="IB6" s="174"/>
      <c r="IC6" s="174"/>
      <c r="ID6" s="174"/>
      <c r="IE6" s="174"/>
      <c r="IF6" s="174"/>
      <c r="IG6" s="174"/>
      <c r="IH6" s="174"/>
      <c r="II6" s="174"/>
      <c r="IJ6" s="174"/>
      <c r="IK6" s="174"/>
      <c r="IL6" s="174"/>
      <c r="IM6" s="174"/>
      <c r="IN6" s="174"/>
      <c r="IO6" s="174"/>
      <c r="IP6" s="174"/>
      <c r="IQ6" s="174"/>
      <c r="IR6" s="174"/>
      <c r="IS6" s="174"/>
      <c r="IT6" s="174"/>
      <c r="IU6" s="174"/>
      <c r="IV6" s="174"/>
      <c r="IW6" s="174"/>
      <c r="IX6" s="174"/>
      <c r="IY6" s="174"/>
      <c r="IZ6" s="174"/>
      <c r="JA6" s="174"/>
      <c r="JB6" s="174"/>
      <c r="JC6" s="174"/>
      <c r="JD6" s="174"/>
      <c r="JE6" s="174"/>
      <c r="JF6" s="174"/>
      <c r="JG6" s="174"/>
      <c r="JH6" s="174"/>
      <c r="JI6" s="174"/>
      <c r="JJ6" s="174"/>
      <c r="JK6" s="174"/>
      <c r="JL6" s="174"/>
      <c r="JM6" s="174"/>
      <c r="JN6" s="174"/>
      <c r="JO6" s="174"/>
      <c r="JP6" s="174"/>
      <c r="JQ6" s="174"/>
      <c r="JR6" s="174"/>
      <c r="JS6" s="174"/>
      <c r="JT6" s="174"/>
      <c r="JU6" s="174"/>
      <c r="JV6" s="174"/>
      <c r="JW6" s="174"/>
      <c r="JX6" s="174"/>
      <c r="JY6" s="174"/>
      <c r="JZ6" s="174"/>
      <c r="KA6" s="174"/>
      <c r="KB6" s="174"/>
      <c r="KC6" s="174"/>
      <c r="KD6" s="174"/>
      <c r="KE6" s="174"/>
      <c r="KF6" s="174"/>
      <c r="KG6" s="174"/>
      <c r="KH6" s="174"/>
      <c r="KI6" s="174"/>
      <c r="KJ6" s="174"/>
      <c r="KK6" s="174"/>
      <c r="KL6" s="174"/>
      <c r="KM6" s="174"/>
      <c r="KN6" s="174"/>
      <c r="KO6" s="174"/>
      <c r="KP6" s="174"/>
      <c r="KQ6" s="174"/>
      <c r="KR6" s="174"/>
      <c r="KS6" s="174"/>
      <c r="KT6" s="174"/>
      <c r="KU6" s="174"/>
      <c r="KV6" s="174"/>
      <c r="KW6" s="174"/>
      <c r="KX6" s="174"/>
      <c r="KY6" s="174"/>
      <c r="KZ6" s="174"/>
      <c r="LA6" s="174"/>
      <c r="LB6" s="174"/>
      <c r="LC6" s="174"/>
      <c r="LD6" s="174"/>
      <c r="LE6" s="174"/>
      <c r="LF6" s="174"/>
      <c r="LG6" s="174"/>
      <c r="LH6" s="174"/>
      <c r="LI6" s="174"/>
      <c r="LJ6" s="174"/>
      <c r="LK6" s="174"/>
      <c r="LL6" s="174"/>
      <c r="LM6" s="174"/>
      <c r="LN6" s="174"/>
      <c r="LO6" s="174"/>
      <c r="LP6" s="174"/>
      <c r="LQ6" s="174"/>
      <c r="LR6" s="174"/>
      <c r="LS6" s="174"/>
      <c r="LT6" s="174"/>
      <c r="LU6" s="174"/>
      <c r="LV6" s="174"/>
      <c r="LW6" s="174"/>
      <c r="LX6" s="174"/>
      <c r="LY6" s="174"/>
      <c r="LZ6" s="174"/>
      <c r="MA6" s="174"/>
      <c r="MB6" s="174"/>
      <c r="MC6" s="174"/>
      <c r="MD6" s="174"/>
      <c r="ME6" s="174"/>
      <c r="MF6" s="174"/>
      <c r="MG6" s="174"/>
      <c r="MH6" s="174"/>
      <c r="MI6" s="174"/>
      <c r="MJ6" s="174"/>
      <c r="MK6" s="174"/>
      <c r="ML6" s="174"/>
      <c r="MM6" s="174"/>
      <c r="MN6" s="174"/>
      <c r="MO6" s="174"/>
      <c r="MP6" s="174"/>
      <c r="MQ6" s="174"/>
      <c r="MR6" s="174"/>
      <c r="MS6" s="174"/>
      <c r="MT6" s="174"/>
      <c r="MU6" s="174"/>
      <c r="MV6" s="174"/>
      <c r="MW6" s="174"/>
      <c r="MX6" s="174"/>
      <c r="MY6" s="174"/>
      <c r="MZ6" s="174"/>
      <c r="NA6" s="174"/>
      <c r="NB6" s="174"/>
      <c r="NC6" s="174"/>
      <c r="ND6" s="174"/>
      <c r="NE6" s="174"/>
      <c r="NF6" s="174"/>
      <c r="NG6" s="174"/>
      <c r="NH6" s="174"/>
      <c r="NI6" s="174"/>
      <c r="NJ6" s="174"/>
      <c r="NK6" s="174"/>
      <c r="NL6" s="174"/>
      <c r="NM6" s="174"/>
      <c r="NN6" s="174"/>
      <c r="NO6" s="174"/>
      <c r="NP6" s="174"/>
      <c r="NQ6" s="174"/>
      <c r="NR6" s="174"/>
      <c r="NS6" s="174"/>
      <c r="NT6" s="174"/>
      <c r="NU6" s="174"/>
      <c r="NV6" s="174"/>
      <c r="NW6" s="174"/>
      <c r="NX6" s="174"/>
      <c r="NY6" s="174"/>
      <c r="NZ6" s="174"/>
      <c r="OA6" s="174"/>
      <c r="OB6" s="174"/>
      <c r="OC6" s="174"/>
      <c r="OD6" s="174"/>
      <c r="OE6" s="174"/>
      <c r="OF6" s="174"/>
      <c r="OG6" s="174"/>
      <c r="OH6" s="174"/>
      <c r="OI6" s="174"/>
      <c r="OJ6" s="174"/>
      <c r="OK6" s="174"/>
      <c r="OL6" s="174"/>
      <c r="OM6" s="174"/>
      <c r="ON6" s="174"/>
      <c r="OO6" s="174"/>
      <c r="OP6" s="174"/>
      <c r="OQ6" s="174"/>
      <c r="OR6" s="174"/>
      <c r="OS6" s="174"/>
      <c r="OT6" s="174"/>
      <c r="OU6" s="174"/>
      <c r="OV6" s="174"/>
      <c r="OW6" s="174"/>
      <c r="OX6" s="174"/>
      <c r="OY6" s="174"/>
      <c r="OZ6" s="174"/>
      <c r="PA6" s="174"/>
      <c r="PB6" s="174"/>
      <c r="PC6" s="174"/>
      <c r="PD6" s="174"/>
      <c r="PE6" s="174"/>
      <c r="PF6" s="174"/>
      <c r="PG6" s="174"/>
      <c r="PH6" s="174"/>
      <c r="PI6" s="174"/>
      <c r="PJ6" s="174"/>
      <c r="PK6" s="174"/>
      <c r="PL6" s="174"/>
      <c r="PM6" s="174"/>
      <c r="PN6" s="174"/>
      <c r="PO6" s="174"/>
      <c r="PP6" s="174"/>
      <c r="PQ6" s="174"/>
      <c r="PR6" s="174"/>
      <c r="PS6" s="174"/>
      <c r="PT6" s="174"/>
      <c r="PU6" s="174"/>
      <c r="PV6" s="174"/>
      <c r="PW6" s="174"/>
      <c r="PX6" s="174"/>
      <c r="PY6" s="174"/>
      <c r="PZ6" s="174"/>
      <c r="QA6" s="174"/>
      <c r="QB6" s="174"/>
      <c r="QC6" s="174"/>
      <c r="QD6" s="174"/>
      <c r="QE6" s="174"/>
      <c r="QF6" s="174"/>
      <c r="QG6" s="174"/>
      <c r="QH6" s="174"/>
      <c r="QI6" s="174"/>
      <c r="QJ6" s="174"/>
      <c r="QK6" s="174"/>
      <c r="QL6" s="174"/>
      <c r="QM6" s="174"/>
      <c r="QN6" s="174"/>
      <c r="QO6" s="174"/>
      <c r="QP6" s="174"/>
      <c r="QQ6" s="174"/>
      <c r="QR6" s="174"/>
      <c r="QS6" s="174"/>
      <c r="QT6" s="174"/>
      <c r="QU6" s="174"/>
      <c r="QV6" s="174"/>
      <c r="QW6" s="174"/>
      <c r="QX6" s="174"/>
      <c r="QY6" s="174"/>
      <c r="QZ6" s="174"/>
      <c r="RA6" s="174"/>
      <c r="RB6" s="174"/>
      <c r="RC6" s="174"/>
      <c r="RD6" s="174"/>
      <c r="RE6" s="174"/>
      <c r="RF6" s="174"/>
      <c r="RG6" s="174"/>
      <c r="RH6" s="174"/>
      <c r="RI6" s="174"/>
      <c r="RJ6" s="174"/>
      <c r="RK6" s="174"/>
      <c r="RL6" s="174"/>
      <c r="RM6" s="174"/>
      <c r="RN6" s="174"/>
      <c r="RO6" s="174"/>
      <c r="RP6" s="174"/>
      <c r="RQ6" s="174"/>
      <c r="RR6" s="174"/>
      <c r="RS6" s="174"/>
      <c r="RT6" s="174"/>
      <c r="RU6" s="174"/>
      <c r="RV6" s="174"/>
      <c r="RW6" s="174"/>
      <c r="RX6" s="174"/>
      <c r="RY6" s="174"/>
      <c r="RZ6" s="174"/>
      <c r="SA6" s="174"/>
      <c r="SB6" s="174"/>
      <c r="SC6" s="174"/>
      <c r="SD6" s="174"/>
      <c r="SE6" s="174"/>
      <c r="SF6" s="174"/>
      <c r="SG6" s="174"/>
      <c r="SH6" s="174"/>
      <c r="SI6" s="174"/>
      <c r="SJ6" s="174"/>
      <c r="SK6" s="174"/>
      <c r="SL6" s="174"/>
      <c r="SM6" s="174"/>
      <c r="SN6" s="174"/>
      <c r="SO6" s="174"/>
      <c r="SP6" s="174"/>
      <c r="SQ6" s="174"/>
      <c r="SR6" s="174"/>
      <c r="SS6" s="174"/>
      <c r="ST6" s="174"/>
      <c r="SU6" s="174"/>
      <c r="SV6" s="174"/>
      <c r="SW6" s="174"/>
      <c r="SX6" s="174"/>
      <c r="SY6" s="174"/>
      <c r="SZ6" s="174"/>
      <c r="TA6" s="174"/>
      <c r="TB6" s="174"/>
      <c r="TC6" s="174"/>
      <c r="TD6" s="174"/>
      <c r="TE6" s="174"/>
      <c r="TF6" s="174"/>
      <c r="TG6" s="174"/>
      <c r="TH6" s="174"/>
      <c r="TI6" s="174"/>
      <c r="TJ6" s="174"/>
      <c r="TK6" s="174"/>
      <c r="TL6" s="174"/>
      <c r="TM6" s="174"/>
      <c r="TN6" s="174"/>
      <c r="TO6" s="174"/>
      <c r="TP6" s="174"/>
      <c r="TQ6" s="174"/>
      <c r="TR6" s="174"/>
      <c r="TS6" s="174"/>
      <c r="TT6" s="174"/>
      <c r="TU6" s="174"/>
      <c r="TV6" s="174"/>
      <c r="TW6" s="174"/>
      <c r="TX6" s="174"/>
      <c r="TY6" s="174"/>
      <c r="TZ6" s="174"/>
      <c r="UA6" s="174"/>
      <c r="UB6" s="174"/>
      <c r="UC6" s="174"/>
      <c r="UD6" s="174"/>
      <c r="UE6" s="174"/>
      <c r="UF6" s="174"/>
      <c r="UG6" s="174"/>
      <c r="UH6" s="174"/>
      <c r="UI6" s="174"/>
      <c r="UJ6" s="174"/>
      <c r="UK6" s="174"/>
      <c r="UL6" s="174"/>
      <c r="UM6" s="174"/>
      <c r="UN6" s="174"/>
      <c r="UO6" s="174"/>
      <c r="UP6" s="174"/>
      <c r="UQ6" s="174"/>
      <c r="UR6" s="174"/>
      <c r="US6" s="174"/>
      <c r="UT6" s="174"/>
      <c r="UU6" s="174"/>
      <c r="UV6" s="174"/>
      <c r="UW6" s="174"/>
      <c r="UX6" s="174"/>
      <c r="UY6" s="174"/>
      <c r="UZ6" s="174"/>
      <c r="VA6" s="174"/>
      <c r="VB6" s="174"/>
      <c r="VC6" s="174"/>
      <c r="VD6" s="174"/>
      <c r="VE6" s="174"/>
      <c r="VF6" s="174"/>
      <c r="VG6" s="174"/>
      <c r="VH6" s="174"/>
      <c r="VI6" s="174"/>
      <c r="VJ6" s="174"/>
      <c r="VK6" s="174"/>
      <c r="VL6" s="174"/>
      <c r="VM6" s="174"/>
      <c r="VN6" s="174"/>
      <c r="VO6" s="174"/>
      <c r="VP6" s="174"/>
      <c r="VQ6" s="174"/>
      <c r="VR6" s="174"/>
      <c r="VS6" s="174"/>
      <c r="VT6" s="174"/>
      <c r="VU6" s="174"/>
      <c r="VV6" s="174"/>
      <c r="VW6" s="174"/>
      <c r="VX6" s="174"/>
      <c r="VY6" s="174"/>
      <c r="VZ6" s="174"/>
      <c r="WA6" s="174"/>
      <c r="WB6" s="174"/>
      <c r="WC6" s="174"/>
      <c r="WD6" s="174"/>
      <c r="WE6" s="174"/>
      <c r="WF6" s="174"/>
      <c r="WG6" s="174"/>
      <c r="WH6" s="174"/>
      <c r="WI6" s="174"/>
      <c r="WJ6" s="174"/>
      <c r="WK6" s="174"/>
      <c r="WL6" s="174"/>
      <c r="WM6" s="174"/>
      <c r="WN6" s="174"/>
      <c r="WO6" s="174"/>
      <c r="WP6" s="174"/>
      <c r="WQ6" s="174"/>
      <c r="WR6" s="174"/>
      <c r="WS6" s="174"/>
      <c r="WT6" s="174"/>
      <c r="WU6" s="174"/>
      <c r="WV6" s="174"/>
      <c r="WW6" s="174"/>
      <c r="WX6" s="174"/>
      <c r="WY6" s="174"/>
      <c r="WZ6" s="174"/>
      <c r="XA6" s="174"/>
      <c r="XB6" s="174"/>
      <c r="XC6" s="174"/>
      <c r="XD6" s="174"/>
      <c r="XE6" s="174"/>
      <c r="XF6" s="174"/>
      <c r="XG6" s="174"/>
      <c r="XH6" s="174"/>
      <c r="XI6" s="174"/>
      <c r="XJ6" s="174"/>
      <c r="XK6" s="174"/>
      <c r="XL6" s="174"/>
      <c r="XM6" s="174"/>
      <c r="XN6" s="174"/>
      <c r="XO6" s="174"/>
      <c r="XP6" s="174"/>
      <c r="XQ6" s="174"/>
      <c r="XR6" s="174"/>
      <c r="XS6" s="174"/>
      <c r="XT6" s="174"/>
      <c r="XU6" s="174"/>
      <c r="XV6" s="174"/>
      <c r="XW6" s="174"/>
      <c r="XX6" s="174"/>
      <c r="XY6" s="174"/>
      <c r="XZ6" s="174"/>
      <c r="YA6" s="174"/>
      <c r="YB6" s="174"/>
      <c r="YC6" s="174"/>
      <c r="YD6" s="174"/>
      <c r="YE6" s="174"/>
      <c r="YF6" s="174"/>
      <c r="YG6" s="174"/>
      <c r="YH6" s="174"/>
      <c r="YI6" s="174"/>
      <c r="YJ6" s="174"/>
      <c r="YK6" s="174"/>
      <c r="YL6" s="174"/>
      <c r="YM6" s="174"/>
      <c r="YN6" s="174"/>
      <c r="YO6" s="174"/>
      <c r="YP6" s="174"/>
      <c r="YQ6" s="174"/>
      <c r="YR6" s="174"/>
      <c r="YS6" s="174"/>
      <c r="YT6" s="174"/>
      <c r="YU6" s="174"/>
      <c r="YV6" s="174"/>
      <c r="YW6" s="174"/>
      <c r="YX6" s="174"/>
      <c r="YY6" s="174"/>
      <c r="YZ6" s="174"/>
      <c r="ZA6" s="174"/>
      <c r="ZB6" s="174"/>
      <c r="ZC6" s="174"/>
      <c r="ZD6" s="174"/>
      <c r="ZE6" s="174"/>
      <c r="ZF6" s="174"/>
      <c r="ZG6" s="174"/>
      <c r="ZH6" s="174"/>
      <c r="ZI6" s="174"/>
      <c r="ZJ6" s="174"/>
      <c r="ZK6" s="174"/>
      <c r="ZL6" s="174"/>
      <c r="ZM6" s="174"/>
      <c r="ZN6" s="174"/>
      <c r="ZO6" s="174"/>
      <c r="ZP6" s="174"/>
      <c r="ZQ6" s="174"/>
      <c r="ZR6" s="174"/>
      <c r="ZS6" s="174"/>
      <c r="ZT6" s="174"/>
      <c r="ZU6" s="174"/>
      <c r="ZV6" s="174"/>
      <c r="ZW6" s="174"/>
      <c r="ZX6" s="174"/>
      <c r="ZY6" s="174"/>
      <c r="ZZ6" s="174"/>
      <c r="AAA6" s="174"/>
      <c r="AAB6" s="174"/>
      <c r="AAC6" s="174"/>
      <c r="AAD6" s="174"/>
      <c r="AAE6" s="174"/>
      <c r="AAF6" s="174"/>
      <c r="AAG6" s="174"/>
      <c r="AAH6" s="174"/>
      <c r="AAI6" s="174"/>
      <c r="AAJ6" s="174"/>
      <c r="AAK6" s="174"/>
      <c r="AAL6" s="174"/>
      <c r="AAM6" s="174"/>
      <c r="AAN6" s="174"/>
      <c r="AAO6" s="174"/>
      <c r="AAP6" s="174"/>
      <c r="AAQ6" s="174"/>
      <c r="AAR6" s="174"/>
      <c r="AAS6" s="174"/>
      <c r="AAT6" s="174"/>
      <c r="AAU6" s="174"/>
      <c r="AAV6" s="174"/>
      <c r="AAW6" s="174"/>
      <c r="AAX6" s="174"/>
      <c r="AAY6" s="174"/>
      <c r="AAZ6" s="174"/>
      <c r="ABA6" s="174"/>
      <c r="ABB6" s="174"/>
      <c r="ABC6" s="174"/>
      <c r="ABD6" s="174"/>
      <c r="ABE6" s="174"/>
      <c r="ABF6" s="174"/>
      <c r="ABG6" s="174"/>
      <c r="ABH6" s="174"/>
      <c r="ABI6" s="174"/>
      <c r="ABJ6" s="174"/>
      <c r="ABK6" s="174"/>
      <c r="ABL6" s="174"/>
      <c r="ABM6" s="174"/>
      <c r="ABN6" s="174"/>
      <c r="ABO6" s="174"/>
      <c r="ABP6" s="174"/>
      <c r="ABQ6" s="174"/>
      <c r="ABR6" s="174"/>
      <c r="ABS6" s="174"/>
      <c r="ABT6" s="174"/>
      <c r="ABU6" s="174"/>
      <c r="ABV6" s="174"/>
      <c r="ABW6" s="174"/>
      <c r="ABX6" s="174"/>
      <c r="ABY6" s="174"/>
      <c r="ABZ6" s="174"/>
      <c r="ACA6" s="174"/>
      <c r="ACB6" s="174"/>
      <c r="ACC6" s="174"/>
      <c r="ACD6" s="174"/>
      <c r="ACE6" s="174"/>
      <c r="ACF6" s="174"/>
      <c r="ACG6" s="174"/>
      <c r="ACH6" s="174"/>
      <c r="ACI6" s="174"/>
      <c r="ACJ6" s="174"/>
      <c r="ACK6" s="174"/>
      <c r="ACL6" s="174"/>
      <c r="ACM6" s="174"/>
      <c r="ACN6" s="174"/>
      <c r="ACO6" s="174"/>
      <c r="ACP6" s="174"/>
      <c r="ACQ6" s="174"/>
      <c r="ACR6" s="174"/>
      <c r="ACS6" s="174"/>
      <c r="ACT6" s="174"/>
      <c r="ACU6" s="174"/>
      <c r="ACV6" s="174"/>
      <c r="ACW6" s="174"/>
      <c r="ACX6" s="174"/>
      <c r="ACY6" s="174"/>
      <c r="ACZ6" s="174"/>
      <c r="ADA6" s="174"/>
      <c r="ADB6" s="174"/>
      <c r="ADC6" s="174"/>
      <c r="ADD6" s="174"/>
      <c r="ADE6" s="174"/>
      <c r="ADF6" s="174"/>
      <c r="ADG6" s="174"/>
      <c r="ADH6" s="174"/>
      <c r="ADI6" s="174"/>
      <c r="ADJ6" s="174"/>
      <c r="ADK6" s="174"/>
      <c r="ADL6" s="174"/>
      <c r="ADM6" s="174"/>
      <c r="ADN6" s="174"/>
      <c r="ADO6" s="174"/>
      <c r="ADP6" s="174"/>
      <c r="ADQ6" s="174"/>
      <c r="ADR6" s="174"/>
      <c r="ADS6" s="174"/>
      <c r="ADT6" s="174"/>
      <c r="ADU6" s="174"/>
      <c r="ADV6" s="174"/>
      <c r="ADW6" s="174"/>
      <c r="ADX6" s="174"/>
      <c r="ADY6" s="174"/>
      <c r="ADZ6" s="174"/>
      <c r="AEA6" s="174"/>
      <c r="AEB6" s="174"/>
      <c r="AEC6" s="174"/>
      <c r="AED6" s="174"/>
      <c r="AEE6" s="174"/>
      <c r="AEF6" s="174"/>
      <c r="AEG6" s="174"/>
      <c r="AEH6" s="174"/>
      <c r="AEI6" s="174"/>
      <c r="AEJ6" s="174"/>
      <c r="AEK6" s="174"/>
      <c r="AEL6" s="174"/>
      <c r="AEM6" s="174"/>
      <c r="AEN6" s="174"/>
      <c r="AEO6" s="174"/>
      <c r="AEP6" s="174"/>
      <c r="AEQ6" s="174"/>
      <c r="AER6" s="174"/>
      <c r="AES6" s="174"/>
      <c r="AET6" s="174"/>
      <c r="AEU6" s="174"/>
      <c r="AEV6" s="174"/>
      <c r="AEW6" s="174"/>
      <c r="AEX6" s="174"/>
      <c r="AEY6" s="174"/>
      <c r="AEZ6" s="174"/>
      <c r="AFA6" s="174"/>
      <c r="AFB6" s="174"/>
      <c r="AFC6" s="174"/>
      <c r="AFD6" s="174"/>
      <c r="AFE6" s="174"/>
      <c r="AFF6" s="174"/>
      <c r="AFG6" s="174"/>
      <c r="AFH6" s="174"/>
      <c r="AFI6" s="174"/>
      <c r="AFJ6" s="174"/>
      <c r="AFK6" s="174"/>
      <c r="AFL6" s="174"/>
      <c r="AFM6" s="174"/>
      <c r="AFN6" s="174"/>
      <c r="AFO6" s="174"/>
      <c r="AFP6" s="174"/>
      <c r="AFQ6" s="174"/>
      <c r="AFR6" s="174"/>
      <c r="AFS6" s="174"/>
      <c r="AFT6" s="174"/>
      <c r="AFU6" s="174"/>
      <c r="AFV6" s="174"/>
      <c r="AFW6" s="174"/>
      <c r="AFX6" s="174"/>
      <c r="AFY6" s="174"/>
      <c r="AFZ6" s="174"/>
      <c r="AGA6" s="174"/>
      <c r="AGB6" s="174"/>
      <c r="AGC6" s="174"/>
      <c r="AGD6" s="174"/>
      <c r="AGE6" s="174"/>
      <c r="AGF6" s="174"/>
      <c r="AGG6" s="174"/>
      <c r="AGH6" s="174"/>
      <c r="AGI6" s="174"/>
      <c r="AGJ6" s="174"/>
      <c r="AGK6" s="174"/>
      <c r="AGL6" s="174"/>
      <c r="AGM6" s="174"/>
      <c r="AGN6" s="174"/>
      <c r="AGO6" s="174"/>
      <c r="AGP6" s="174"/>
      <c r="AGQ6" s="174"/>
      <c r="AGR6" s="174"/>
      <c r="AGS6" s="174"/>
      <c r="AGT6" s="174"/>
      <c r="AGU6" s="174"/>
      <c r="AGV6" s="174"/>
      <c r="AGW6" s="174"/>
      <c r="AGX6" s="174"/>
      <c r="AGY6" s="174"/>
      <c r="AGZ6" s="174"/>
      <c r="AHA6" s="174"/>
      <c r="AHB6" s="174"/>
      <c r="AHC6" s="174"/>
      <c r="AHD6" s="174"/>
      <c r="AHE6" s="174"/>
      <c r="AHF6" s="174"/>
      <c r="AHG6" s="174"/>
      <c r="AHH6" s="174"/>
      <c r="AHI6" s="174"/>
      <c r="AHJ6" s="174"/>
      <c r="AHK6" s="174"/>
      <c r="AHL6" s="174"/>
      <c r="AHM6" s="174"/>
      <c r="AHN6" s="174"/>
      <c r="AHO6" s="174"/>
      <c r="AHP6" s="174"/>
      <c r="AHQ6" s="174"/>
      <c r="AHR6" s="174"/>
      <c r="AHS6" s="174"/>
      <c r="AHT6" s="174"/>
      <c r="AHU6" s="174"/>
      <c r="AHV6" s="174"/>
      <c r="AHW6" s="174"/>
      <c r="AHX6" s="174"/>
      <c r="AHY6" s="174"/>
      <c r="AHZ6" s="174"/>
      <c r="AIA6" s="174"/>
      <c r="AIB6" s="174"/>
      <c r="AIC6" s="174"/>
      <c r="AID6" s="174"/>
      <c r="AIE6" s="174"/>
      <c r="AIF6" s="174"/>
      <c r="AIG6" s="174"/>
      <c r="AIH6" s="174"/>
      <c r="AII6" s="174"/>
      <c r="AIJ6" s="174"/>
      <c r="AIK6" s="174"/>
      <c r="AIL6" s="174"/>
      <c r="AIM6" s="174"/>
      <c r="AIN6" s="174"/>
      <c r="AIO6" s="174"/>
      <c r="AIP6" s="174"/>
      <c r="AIQ6" s="174"/>
      <c r="AIR6" s="174"/>
      <c r="AIS6" s="174"/>
      <c r="AIT6" s="174"/>
      <c r="AIU6" s="174"/>
      <c r="AIV6" s="174"/>
      <c r="AIW6" s="174"/>
      <c r="AIX6" s="174"/>
      <c r="AIY6" s="174"/>
      <c r="AIZ6" s="174"/>
      <c r="AJA6" s="174"/>
      <c r="AJB6" s="174"/>
      <c r="AJC6" s="174"/>
      <c r="AJD6" s="174"/>
      <c r="AJE6" s="174"/>
      <c r="AJF6" s="174"/>
      <c r="AJG6" s="174"/>
      <c r="AJH6" s="174"/>
      <c r="AJI6" s="174"/>
      <c r="AJJ6" s="174"/>
      <c r="AJK6" s="174"/>
      <c r="AJL6" s="174"/>
      <c r="AJM6" s="174"/>
      <c r="AJN6" s="174"/>
      <c r="AJO6" s="174"/>
      <c r="AJP6" s="174"/>
      <c r="AJQ6" s="174"/>
      <c r="AJR6" s="174"/>
      <c r="AJS6" s="174"/>
      <c r="AJT6" s="174"/>
      <c r="AJU6" s="174"/>
      <c r="AJV6" s="174"/>
      <c r="AJW6" s="174"/>
      <c r="AJX6" s="174"/>
      <c r="AJY6" s="174"/>
      <c r="AJZ6" s="174"/>
      <c r="AKA6" s="174"/>
      <c r="AKB6" s="174"/>
      <c r="AKC6" s="174"/>
      <c r="AKD6" s="174"/>
      <c r="AKE6" s="174"/>
      <c r="AKF6" s="174"/>
      <c r="AKG6" s="174"/>
      <c r="AKH6" s="174"/>
      <c r="AKI6" s="174"/>
      <c r="AKJ6" s="174"/>
      <c r="AKK6" s="174"/>
      <c r="AKL6" s="174"/>
      <c r="AKM6" s="174"/>
      <c r="AKN6" s="174"/>
      <c r="AKO6" s="174"/>
      <c r="AKP6" s="174"/>
      <c r="AKQ6" s="174"/>
      <c r="AKR6" s="174"/>
      <c r="AKS6" s="174"/>
      <c r="AKT6" s="174"/>
      <c r="AKU6" s="174"/>
      <c r="AKV6" s="174"/>
      <c r="AKW6" s="174"/>
      <c r="AKX6" s="174"/>
      <c r="AKY6" s="174"/>
      <c r="AKZ6" s="174"/>
      <c r="ALA6" s="174"/>
      <c r="ALB6" s="174"/>
      <c r="ALC6" s="174"/>
      <c r="ALD6" s="174"/>
      <c r="ALE6" s="174"/>
      <c r="ALF6" s="174"/>
      <c r="ALG6" s="174"/>
      <c r="ALH6" s="174"/>
      <c r="ALI6" s="174"/>
      <c r="ALJ6" s="174"/>
      <c r="ALK6" s="174"/>
      <c r="ALL6" s="174"/>
      <c r="ALM6" s="174"/>
      <c r="ALN6" s="174"/>
      <c r="ALO6" s="174"/>
      <c r="ALP6" s="174"/>
      <c r="ALQ6" s="174"/>
      <c r="ALR6" s="174"/>
      <c r="ALS6" s="174"/>
      <c r="ALT6" s="174"/>
      <c r="ALU6" s="174"/>
      <c r="ALV6" s="174"/>
      <c r="ALW6" s="174"/>
      <c r="ALX6" s="174"/>
      <c r="ALY6" s="174"/>
      <c r="ALZ6" s="174"/>
      <c r="AMA6" s="174"/>
      <c r="AMB6" s="174"/>
      <c r="AMC6" s="174"/>
      <c r="AMD6" s="174"/>
      <c r="AME6" s="174"/>
      <c r="AMF6" s="174"/>
      <c r="AMG6" s="174"/>
      <c r="AMH6" s="174"/>
      <c r="AMI6" s="174"/>
      <c r="AMJ6" s="174"/>
      <c r="AMK6" s="174"/>
      <c r="AML6" s="174"/>
      <c r="AMM6" s="174"/>
      <c r="AMN6" s="174"/>
      <c r="AMO6" s="174"/>
      <c r="AMP6" s="174"/>
      <c r="AMQ6" s="174"/>
      <c r="AMR6" s="174"/>
      <c r="AMS6" s="174"/>
      <c r="AMT6" s="174"/>
      <c r="AMU6" s="174"/>
      <c r="AMV6" s="174"/>
      <c r="AMW6" s="174"/>
      <c r="AMX6" s="174"/>
      <c r="AMY6" s="174"/>
      <c r="AMZ6" s="174"/>
      <c r="ANA6" s="174"/>
      <c r="ANB6" s="174"/>
      <c r="ANC6" s="174"/>
      <c r="AND6" s="174"/>
      <c r="ANE6" s="174"/>
      <c r="ANF6" s="174"/>
      <c r="ANG6" s="174"/>
      <c r="ANH6" s="174"/>
      <c r="ANI6" s="174"/>
      <c r="ANJ6" s="174"/>
      <c r="ANK6" s="174"/>
      <c r="ANL6" s="174"/>
      <c r="ANM6" s="174"/>
      <c r="ANN6" s="174"/>
      <c r="ANO6" s="174"/>
      <c r="ANP6" s="174"/>
      <c r="ANQ6" s="174"/>
      <c r="ANR6" s="174"/>
      <c r="ANS6" s="174"/>
      <c r="ANT6" s="174"/>
      <c r="ANU6" s="174"/>
      <c r="ANV6" s="174"/>
      <c r="ANW6" s="174"/>
      <c r="ANX6" s="174"/>
      <c r="ANY6" s="174"/>
      <c r="ANZ6" s="174"/>
      <c r="AOA6" s="174"/>
      <c r="AOB6" s="174"/>
      <c r="AOC6" s="174"/>
      <c r="AOD6" s="174"/>
      <c r="AOE6" s="174"/>
      <c r="AOF6" s="174"/>
      <c r="AOG6" s="174"/>
      <c r="AOH6" s="174"/>
      <c r="AOI6" s="174"/>
      <c r="AOJ6" s="174"/>
      <c r="AOK6" s="174"/>
      <c r="AOL6" s="174"/>
      <c r="AOM6" s="174"/>
      <c r="AON6" s="174"/>
      <c r="AOO6" s="174"/>
      <c r="AOP6" s="174"/>
      <c r="AOQ6" s="174"/>
      <c r="AOR6" s="174"/>
      <c r="AOS6" s="174"/>
      <c r="AOT6" s="174"/>
      <c r="AOU6" s="174"/>
      <c r="AOV6" s="174"/>
      <c r="AOW6" s="174"/>
      <c r="AOX6" s="174"/>
      <c r="AOY6" s="174"/>
      <c r="AOZ6" s="174"/>
      <c r="APA6" s="174"/>
      <c r="APB6" s="174"/>
      <c r="APC6" s="174"/>
      <c r="APD6" s="174"/>
      <c r="APE6" s="174"/>
      <c r="APF6" s="174"/>
      <c r="APG6" s="174"/>
      <c r="APH6" s="174"/>
      <c r="API6" s="174"/>
      <c r="APJ6" s="174"/>
      <c r="APK6" s="174"/>
      <c r="APL6" s="174"/>
      <c r="APM6" s="174"/>
      <c r="APN6" s="174"/>
      <c r="APO6" s="174"/>
      <c r="APP6" s="174"/>
      <c r="APQ6" s="174"/>
      <c r="APR6" s="174"/>
      <c r="APS6" s="174"/>
      <c r="APT6" s="174"/>
      <c r="APU6" s="174"/>
      <c r="APV6" s="174"/>
      <c r="APW6" s="174"/>
      <c r="APX6" s="174"/>
      <c r="APY6" s="174"/>
      <c r="APZ6" s="174"/>
      <c r="AQA6" s="174"/>
      <c r="AQB6" s="174"/>
      <c r="AQC6" s="174"/>
      <c r="AQD6" s="174"/>
      <c r="AQE6" s="174"/>
      <c r="AQF6" s="174"/>
      <c r="AQG6" s="174"/>
      <c r="AQH6" s="174"/>
      <c r="AQI6" s="174"/>
      <c r="AQJ6" s="174"/>
      <c r="AQK6" s="174"/>
      <c r="AQL6" s="174"/>
      <c r="AQM6" s="174"/>
      <c r="AQN6" s="174"/>
      <c r="AQO6" s="174"/>
      <c r="AQP6" s="174"/>
      <c r="AQQ6" s="174"/>
      <c r="AQR6" s="174"/>
      <c r="AQS6" s="174"/>
      <c r="AQT6" s="174"/>
      <c r="AQU6" s="174"/>
      <c r="AQV6" s="174"/>
      <c r="AQW6" s="174"/>
      <c r="AQX6" s="174"/>
      <c r="AQY6" s="174"/>
      <c r="AQZ6" s="174"/>
      <c r="ARA6" s="174"/>
      <c r="ARB6" s="174"/>
      <c r="ARC6" s="174"/>
      <c r="ARD6" s="174"/>
      <c r="ARE6" s="174"/>
      <c r="ARF6" s="174"/>
      <c r="ARG6" s="174"/>
      <c r="ARH6" s="174"/>
      <c r="ARI6" s="174"/>
      <c r="ARJ6" s="174"/>
      <c r="ARK6" s="174"/>
      <c r="ARL6" s="174"/>
      <c r="ARM6" s="174"/>
      <c r="ARN6" s="174"/>
      <c r="ARO6" s="174"/>
      <c r="ARP6" s="174"/>
      <c r="ARQ6" s="174"/>
      <c r="ARR6" s="174"/>
      <c r="ARS6" s="174"/>
      <c r="ART6" s="174"/>
      <c r="ARU6" s="174"/>
      <c r="ARV6" s="174"/>
      <c r="ARW6" s="174"/>
      <c r="ARX6" s="174"/>
      <c r="ARY6" s="174"/>
      <c r="ARZ6" s="174"/>
      <c r="ASA6" s="174"/>
      <c r="ASB6" s="174"/>
      <c r="ASC6" s="174"/>
      <c r="ASD6" s="174"/>
      <c r="ASE6" s="174"/>
      <c r="ASF6" s="174"/>
      <c r="ASG6" s="174"/>
      <c r="ASH6" s="174"/>
      <c r="ASI6" s="174"/>
      <c r="ASJ6" s="174"/>
      <c r="ASK6" s="174"/>
      <c r="ASL6" s="174"/>
      <c r="ASM6" s="174"/>
      <c r="ASN6" s="174"/>
      <c r="ASO6" s="174"/>
      <c r="ASP6" s="174"/>
      <c r="ASQ6" s="174"/>
      <c r="ASR6" s="174"/>
      <c r="ASS6" s="174"/>
      <c r="AST6" s="174"/>
      <c r="ASU6" s="174"/>
      <c r="ASV6" s="174"/>
      <c r="ASW6" s="174"/>
      <c r="ASX6" s="174"/>
      <c r="ASY6" s="174"/>
      <c r="ASZ6" s="174"/>
      <c r="ATA6" s="174"/>
      <c r="ATB6" s="174"/>
      <c r="ATC6" s="174"/>
      <c r="ATD6" s="174"/>
      <c r="ATE6" s="174"/>
      <c r="ATF6" s="174"/>
      <c r="ATG6" s="174"/>
      <c r="ATH6" s="174"/>
      <c r="ATI6" s="174"/>
      <c r="ATJ6" s="174"/>
      <c r="ATK6" s="174"/>
      <c r="ATL6" s="174"/>
      <c r="ATM6" s="174"/>
      <c r="ATN6" s="174"/>
      <c r="ATO6" s="174"/>
      <c r="ATP6" s="174"/>
      <c r="ATQ6" s="174"/>
      <c r="ATR6" s="174"/>
      <c r="ATS6" s="174"/>
      <c r="ATT6" s="174"/>
      <c r="ATU6" s="174"/>
      <c r="ATV6" s="174"/>
      <c r="ATW6" s="174"/>
      <c r="ATX6" s="174"/>
      <c r="ATY6" s="174"/>
      <c r="ATZ6" s="174"/>
      <c r="AUA6" s="174"/>
      <c r="AUB6" s="174"/>
      <c r="AUC6" s="174"/>
      <c r="AUD6" s="174"/>
      <c r="AUE6" s="174"/>
      <c r="AUF6" s="174"/>
      <c r="AUG6" s="174"/>
      <c r="AUH6" s="174"/>
      <c r="AUI6" s="174"/>
      <c r="AUJ6" s="174"/>
      <c r="AUK6" s="174"/>
      <c r="AUL6" s="174"/>
      <c r="AUM6" s="174"/>
      <c r="AUN6" s="174"/>
      <c r="AUO6" s="174"/>
      <c r="AUP6" s="174"/>
      <c r="AUQ6" s="174"/>
      <c r="AUR6" s="174"/>
      <c r="AUS6" s="174"/>
      <c r="AUT6" s="174"/>
      <c r="AUU6" s="174"/>
      <c r="AUV6" s="174"/>
      <c r="AUW6" s="174"/>
      <c r="AUX6" s="174"/>
      <c r="AUY6" s="174"/>
      <c r="AUZ6" s="174"/>
      <c r="AVA6" s="174"/>
      <c r="AVB6" s="174"/>
      <c r="AVC6" s="174"/>
      <c r="AVD6" s="174"/>
      <c r="AVE6" s="174"/>
      <c r="AVF6" s="174"/>
      <c r="AVG6" s="174"/>
      <c r="AVH6" s="174"/>
      <c r="AVI6" s="174"/>
      <c r="AVJ6" s="174"/>
      <c r="AVK6" s="174"/>
      <c r="AVL6" s="174"/>
      <c r="AVM6" s="174"/>
      <c r="AVN6" s="174"/>
      <c r="AVO6" s="174"/>
      <c r="AVP6" s="174"/>
      <c r="AVQ6" s="174"/>
      <c r="AVR6" s="174"/>
      <c r="AVS6" s="174"/>
      <c r="AVT6" s="174"/>
      <c r="AVU6" s="174"/>
      <c r="AVV6" s="174"/>
      <c r="AVW6" s="174"/>
      <c r="AVX6" s="174"/>
      <c r="AVY6" s="174"/>
      <c r="AVZ6" s="174"/>
      <c r="AWA6" s="174"/>
      <c r="AWB6" s="174"/>
      <c r="AWC6" s="174"/>
      <c r="AWD6" s="174"/>
      <c r="AWE6" s="174"/>
      <c r="AWF6" s="174"/>
      <c r="AWG6" s="174"/>
      <c r="AWH6" s="174"/>
      <c r="AWI6" s="174"/>
      <c r="AWJ6" s="174"/>
      <c r="AWK6" s="174"/>
      <c r="AWL6" s="174"/>
      <c r="AWM6" s="174"/>
      <c r="AWN6" s="174"/>
      <c r="AWO6" s="174"/>
      <c r="AWP6" s="174"/>
      <c r="AWQ6" s="174"/>
      <c r="AWR6" s="174"/>
      <c r="AWS6" s="174"/>
      <c r="AWT6" s="174"/>
      <c r="AWU6" s="174"/>
      <c r="AWV6" s="174"/>
      <c r="AWW6" s="174"/>
      <c r="AWX6" s="174"/>
      <c r="AWY6" s="174"/>
      <c r="AWZ6" s="174"/>
      <c r="AXA6" s="174"/>
      <c r="AXB6" s="174"/>
      <c r="AXC6" s="174"/>
      <c r="AXD6" s="174"/>
      <c r="AXE6" s="174"/>
      <c r="AXF6" s="174"/>
      <c r="AXG6" s="174"/>
      <c r="AXH6" s="174"/>
      <c r="AXI6" s="174"/>
      <c r="AXJ6" s="174"/>
      <c r="AXK6" s="174"/>
      <c r="AXL6" s="174"/>
      <c r="AXM6" s="174"/>
      <c r="AXN6" s="174"/>
      <c r="AXO6" s="174"/>
      <c r="AXP6" s="174"/>
      <c r="AXQ6" s="174"/>
      <c r="AXR6" s="174"/>
      <c r="AXS6" s="174"/>
      <c r="AXT6" s="174"/>
      <c r="AXU6" s="174"/>
      <c r="AXV6" s="174"/>
      <c r="AXW6" s="174"/>
      <c r="AXX6" s="174"/>
      <c r="AXY6" s="174"/>
      <c r="AXZ6" s="174"/>
      <c r="AYA6" s="174"/>
      <c r="AYB6" s="174"/>
      <c r="AYC6" s="174"/>
      <c r="AYD6" s="174"/>
      <c r="AYE6" s="174"/>
      <c r="AYF6" s="174"/>
      <c r="AYG6" s="174"/>
      <c r="AYH6" s="174"/>
      <c r="AYI6" s="174"/>
      <c r="AYJ6" s="174"/>
      <c r="AYK6" s="174"/>
      <c r="AYL6" s="174"/>
      <c r="AYM6" s="174"/>
      <c r="AYN6" s="174"/>
      <c r="AYO6" s="174"/>
      <c r="AYP6" s="174"/>
      <c r="AYQ6" s="174"/>
      <c r="AYR6" s="174"/>
      <c r="AYS6" s="174"/>
      <c r="AYT6" s="174"/>
      <c r="AYU6" s="174"/>
      <c r="AYV6" s="174"/>
      <c r="AYW6" s="174"/>
      <c r="AYX6" s="174"/>
      <c r="AYY6" s="174"/>
      <c r="AYZ6" s="174"/>
      <c r="AZA6" s="174"/>
      <c r="AZB6" s="174"/>
      <c r="AZC6" s="174"/>
      <c r="AZD6" s="174"/>
      <c r="AZE6" s="174"/>
      <c r="AZF6" s="174"/>
      <c r="AZG6" s="174"/>
      <c r="AZH6" s="174"/>
      <c r="AZI6" s="174"/>
      <c r="AZJ6" s="174"/>
      <c r="AZK6" s="174"/>
      <c r="AZL6" s="174"/>
      <c r="AZM6" s="174"/>
      <c r="AZN6" s="174"/>
      <c r="AZO6" s="174"/>
      <c r="AZP6" s="174"/>
      <c r="AZQ6" s="174"/>
      <c r="AZR6" s="174"/>
      <c r="AZS6" s="174"/>
      <c r="AZT6" s="174"/>
      <c r="AZU6" s="174"/>
      <c r="AZV6" s="174"/>
      <c r="AZW6" s="174"/>
      <c r="AZX6" s="174"/>
      <c r="AZY6" s="174"/>
      <c r="AZZ6" s="174"/>
      <c r="BAA6" s="174"/>
      <c r="BAB6" s="174"/>
      <c r="BAC6" s="174"/>
      <c r="BAD6" s="174"/>
      <c r="BAE6" s="174"/>
      <c r="BAF6" s="174"/>
      <c r="BAG6" s="174"/>
      <c r="BAH6" s="174"/>
      <c r="BAI6" s="174"/>
      <c r="BAJ6" s="174"/>
      <c r="BAK6" s="174"/>
      <c r="BAL6" s="174"/>
      <c r="BAM6" s="174"/>
      <c r="BAN6" s="174"/>
      <c r="BAO6" s="174"/>
      <c r="BAP6" s="174"/>
      <c r="BAQ6" s="174"/>
      <c r="BAR6" s="174"/>
      <c r="BAS6" s="174"/>
      <c r="BAT6" s="174"/>
      <c r="BAU6" s="174"/>
      <c r="BAV6" s="174"/>
      <c r="BAW6" s="174"/>
      <c r="BAX6" s="174"/>
      <c r="BAY6" s="174"/>
      <c r="BAZ6" s="174"/>
      <c r="BBA6" s="174"/>
      <c r="BBB6" s="174"/>
      <c r="BBC6" s="174"/>
      <c r="BBD6" s="174"/>
      <c r="BBE6" s="174"/>
      <c r="BBF6" s="174"/>
      <c r="BBG6" s="174"/>
      <c r="BBH6" s="174"/>
      <c r="BBI6" s="174"/>
      <c r="BBJ6" s="174"/>
      <c r="BBK6" s="174"/>
      <c r="BBL6" s="174"/>
      <c r="BBM6" s="174"/>
      <c r="BBN6" s="174"/>
      <c r="BBO6" s="174"/>
      <c r="BBP6" s="174"/>
      <c r="BBQ6" s="174"/>
      <c r="BBR6" s="174"/>
      <c r="BBS6" s="174"/>
      <c r="BBT6" s="174"/>
      <c r="BBU6" s="174"/>
      <c r="BBV6" s="174"/>
      <c r="BBW6" s="174"/>
      <c r="BBX6" s="174"/>
      <c r="BBY6" s="174"/>
      <c r="BBZ6" s="174"/>
      <c r="BCA6" s="174"/>
      <c r="BCB6" s="174"/>
      <c r="BCC6" s="174"/>
      <c r="BCD6" s="174"/>
      <c r="BCE6" s="174"/>
      <c r="BCF6" s="174"/>
      <c r="BCG6" s="174"/>
      <c r="BCH6" s="174"/>
      <c r="BCI6" s="174"/>
      <c r="BCJ6" s="174"/>
      <c r="BCK6" s="174"/>
      <c r="BCL6" s="174"/>
      <c r="BCM6" s="174"/>
      <c r="BCN6" s="174"/>
      <c r="BCO6" s="174"/>
      <c r="BCP6" s="174"/>
      <c r="BCQ6" s="174"/>
      <c r="BCR6" s="174"/>
      <c r="BCS6" s="174"/>
      <c r="BCT6" s="174"/>
      <c r="BCU6" s="174"/>
      <c r="BCV6" s="174"/>
      <c r="BCW6" s="174"/>
      <c r="BCX6" s="174"/>
      <c r="BCY6" s="174"/>
      <c r="BCZ6" s="174"/>
      <c r="BDA6" s="174"/>
      <c r="BDB6" s="174"/>
      <c r="BDC6" s="174"/>
      <c r="BDD6" s="174"/>
    </row>
    <row r="7" spans="1:1460" ht="9.9499999999999993" customHeight="1" thickBot="1">
      <c r="A7" s="174"/>
      <c r="B7" s="1"/>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7"/>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c r="FL7" s="174"/>
      <c r="FM7" s="174"/>
      <c r="FN7" s="174"/>
      <c r="FO7" s="174"/>
      <c r="FP7" s="174"/>
      <c r="FQ7" s="174"/>
      <c r="FR7" s="174"/>
      <c r="FS7" s="174"/>
      <c r="FT7" s="174"/>
      <c r="FU7" s="174"/>
      <c r="FV7" s="174"/>
      <c r="FW7" s="174"/>
      <c r="FX7" s="174"/>
      <c r="FY7" s="174"/>
      <c r="FZ7" s="174"/>
      <c r="GA7" s="174"/>
      <c r="GB7" s="174"/>
      <c r="GC7" s="174"/>
      <c r="GD7" s="174"/>
      <c r="GE7" s="174"/>
      <c r="GF7" s="174"/>
      <c r="GG7" s="174"/>
      <c r="GH7" s="174"/>
      <c r="GI7" s="174"/>
      <c r="GJ7" s="174"/>
      <c r="GK7" s="174"/>
      <c r="GL7" s="174"/>
      <c r="GM7" s="174"/>
      <c r="GN7" s="174"/>
      <c r="GO7" s="174"/>
      <c r="GP7" s="174"/>
      <c r="GQ7" s="174"/>
      <c r="GR7" s="174"/>
      <c r="GS7" s="174"/>
      <c r="GT7" s="174"/>
      <c r="GU7" s="174"/>
      <c r="GV7" s="174"/>
      <c r="GW7" s="174"/>
      <c r="GX7" s="174"/>
      <c r="GY7" s="174"/>
      <c r="GZ7" s="174"/>
      <c r="HA7" s="174"/>
      <c r="HB7" s="174"/>
      <c r="HC7" s="174"/>
      <c r="HD7" s="174"/>
      <c r="HE7" s="174"/>
      <c r="HF7" s="174"/>
      <c r="HG7" s="174"/>
      <c r="HH7" s="174"/>
      <c r="HI7" s="174"/>
      <c r="HJ7" s="174"/>
      <c r="HK7" s="174"/>
      <c r="HL7" s="174"/>
      <c r="HM7" s="174"/>
      <c r="HN7" s="174"/>
      <c r="HO7" s="174"/>
      <c r="HP7" s="174"/>
      <c r="HQ7" s="174"/>
      <c r="HR7" s="174"/>
      <c r="HS7" s="174"/>
      <c r="HT7" s="174"/>
      <c r="HU7" s="174"/>
      <c r="HV7" s="174"/>
      <c r="HW7" s="174"/>
      <c r="HX7" s="174"/>
      <c r="HY7" s="174"/>
      <c r="HZ7" s="174"/>
      <c r="IA7" s="174"/>
      <c r="IB7" s="174"/>
      <c r="IC7" s="174"/>
      <c r="ID7" s="174"/>
      <c r="IE7" s="174"/>
      <c r="IF7" s="174"/>
      <c r="IG7" s="174"/>
      <c r="IH7" s="174"/>
      <c r="II7" s="174"/>
      <c r="IJ7" s="174"/>
      <c r="IK7" s="174"/>
      <c r="IL7" s="174"/>
      <c r="IM7" s="174"/>
      <c r="IN7" s="174"/>
      <c r="IO7" s="174"/>
      <c r="IP7" s="174"/>
      <c r="IQ7" s="174"/>
      <c r="IR7" s="174"/>
      <c r="IS7" s="174"/>
      <c r="IT7" s="174"/>
      <c r="IU7" s="174"/>
      <c r="IV7" s="174"/>
      <c r="IW7" s="174"/>
      <c r="IX7" s="174"/>
      <c r="IY7" s="174"/>
      <c r="IZ7" s="174"/>
      <c r="JA7" s="174"/>
      <c r="JB7" s="174"/>
      <c r="JC7" s="174"/>
      <c r="JD7" s="174"/>
      <c r="JE7" s="174"/>
      <c r="JF7" s="174"/>
      <c r="JG7" s="174"/>
      <c r="JH7" s="174"/>
      <c r="JI7" s="174"/>
      <c r="JJ7" s="174"/>
      <c r="JK7" s="174"/>
      <c r="JL7" s="174"/>
      <c r="JM7" s="174"/>
      <c r="JN7" s="174"/>
      <c r="JO7" s="174"/>
      <c r="JP7" s="174"/>
      <c r="JQ7" s="174"/>
      <c r="JR7" s="174"/>
      <c r="JS7" s="174"/>
      <c r="JT7" s="174"/>
      <c r="JU7" s="174"/>
      <c r="JV7" s="174"/>
      <c r="JW7" s="174"/>
      <c r="JX7" s="174"/>
      <c r="JY7" s="174"/>
      <c r="JZ7" s="174"/>
      <c r="KA7" s="174"/>
      <c r="KB7" s="174"/>
      <c r="KC7" s="174"/>
      <c r="KD7" s="174"/>
      <c r="KE7" s="174"/>
      <c r="KF7" s="174"/>
      <c r="KG7" s="174"/>
      <c r="KH7" s="174"/>
      <c r="KI7" s="174"/>
      <c r="KJ7" s="174"/>
      <c r="KK7" s="174"/>
      <c r="KL7" s="174"/>
      <c r="KM7" s="174"/>
      <c r="KN7" s="174"/>
      <c r="KO7" s="174"/>
      <c r="KP7" s="174"/>
      <c r="KQ7" s="174"/>
      <c r="KR7" s="174"/>
      <c r="KS7" s="174"/>
      <c r="KT7" s="174"/>
      <c r="KU7" s="174"/>
      <c r="KV7" s="174"/>
      <c r="KW7" s="174"/>
      <c r="KX7" s="174"/>
      <c r="KY7" s="174"/>
      <c r="KZ7" s="174"/>
      <c r="LA7" s="174"/>
      <c r="LB7" s="174"/>
      <c r="LC7" s="174"/>
      <c r="LD7" s="174"/>
      <c r="LE7" s="174"/>
      <c r="LF7" s="174"/>
      <c r="LG7" s="174"/>
      <c r="LH7" s="174"/>
      <c r="LI7" s="174"/>
      <c r="LJ7" s="174"/>
      <c r="LK7" s="174"/>
      <c r="LL7" s="174"/>
      <c r="LM7" s="174"/>
      <c r="LN7" s="174"/>
      <c r="LO7" s="174"/>
      <c r="LP7" s="174"/>
      <c r="LQ7" s="174"/>
      <c r="LR7" s="174"/>
      <c r="LS7" s="174"/>
      <c r="LT7" s="174"/>
      <c r="LU7" s="174"/>
      <c r="LV7" s="174"/>
      <c r="LW7" s="174"/>
      <c r="LX7" s="174"/>
      <c r="LY7" s="174"/>
      <c r="LZ7" s="174"/>
      <c r="MA7" s="174"/>
      <c r="MB7" s="174"/>
      <c r="MC7" s="174"/>
      <c r="MD7" s="174"/>
      <c r="ME7" s="174"/>
      <c r="MF7" s="174"/>
      <c r="MG7" s="174"/>
      <c r="MH7" s="174"/>
      <c r="MI7" s="174"/>
      <c r="MJ7" s="174"/>
      <c r="MK7" s="174"/>
      <c r="ML7" s="174"/>
      <c r="MM7" s="174"/>
      <c r="MN7" s="174"/>
      <c r="MO7" s="174"/>
      <c r="MP7" s="174"/>
      <c r="MQ7" s="174"/>
      <c r="MR7" s="174"/>
      <c r="MS7" s="174"/>
      <c r="MT7" s="174"/>
      <c r="MU7" s="174"/>
      <c r="MV7" s="174"/>
      <c r="MW7" s="174"/>
      <c r="MX7" s="174"/>
      <c r="MY7" s="174"/>
      <c r="MZ7" s="174"/>
      <c r="NA7" s="174"/>
      <c r="NB7" s="174"/>
      <c r="NC7" s="174"/>
      <c r="ND7" s="174"/>
      <c r="NE7" s="174"/>
      <c r="NF7" s="174"/>
      <c r="NG7" s="174"/>
      <c r="NH7" s="174"/>
      <c r="NI7" s="174"/>
      <c r="NJ7" s="174"/>
      <c r="NK7" s="174"/>
      <c r="NL7" s="174"/>
      <c r="NM7" s="174"/>
      <c r="NN7" s="174"/>
      <c r="NO7" s="174"/>
      <c r="NP7" s="174"/>
      <c r="NQ7" s="174"/>
      <c r="NR7" s="174"/>
      <c r="NS7" s="174"/>
      <c r="NT7" s="174"/>
      <c r="NU7" s="174"/>
      <c r="NV7" s="174"/>
      <c r="NW7" s="174"/>
      <c r="NX7" s="174"/>
      <c r="NY7" s="174"/>
      <c r="NZ7" s="174"/>
      <c r="OA7" s="174"/>
      <c r="OB7" s="174"/>
      <c r="OC7" s="174"/>
      <c r="OD7" s="174"/>
      <c r="OE7" s="174"/>
      <c r="OF7" s="174"/>
      <c r="OG7" s="174"/>
      <c r="OH7" s="174"/>
      <c r="OI7" s="174"/>
      <c r="OJ7" s="174"/>
      <c r="OK7" s="174"/>
      <c r="OL7" s="174"/>
      <c r="OM7" s="174"/>
      <c r="ON7" s="174"/>
      <c r="OO7" s="174"/>
      <c r="OP7" s="174"/>
      <c r="OQ7" s="174"/>
      <c r="OR7" s="174"/>
      <c r="OS7" s="174"/>
      <c r="OT7" s="174"/>
      <c r="OU7" s="174"/>
      <c r="OV7" s="174"/>
      <c r="OW7" s="174"/>
      <c r="OX7" s="174"/>
      <c r="OY7" s="174"/>
      <c r="OZ7" s="174"/>
      <c r="PA7" s="174"/>
      <c r="PB7" s="174"/>
      <c r="PC7" s="174"/>
      <c r="PD7" s="174"/>
      <c r="PE7" s="174"/>
      <c r="PF7" s="174"/>
      <c r="PG7" s="174"/>
      <c r="PH7" s="174"/>
      <c r="PI7" s="174"/>
      <c r="PJ7" s="174"/>
      <c r="PK7" s="174"/>
      <c r="PL7" s="174"/>
      <c r="PM7" s="174"/>
      <c r="PN7" s="174"/>
      <c r="PO7" s="174"/>
      <c r="PP7" s="174"/>
      <c r="PQ7" s="174"/>
      <c r="PR7" s="174"/>
      <c r="PS7" s="174"/>
      <c r="PT7" s="174"/>
      <c r="PU7" s="174"/>
      <c r="PV7" s="174"/>
      <c r="PW7" s="174"/>
      <c r="PX7" s="174"/>
      <c r="PY7" s="174"/>
      <c r="PZ7" s="174"/>
      <c r="QA7" s="174"/>
      <c r="QB7" s="174"/>
      <c r="QC7" s="174"/>
      <c r="QD7" s="174"/>
      <c r="QE7" s="174"/>
      <c r="QF7" s="174"/>
      <c r="QG7" s="174"/>
      <c r="QH7" s="174"/>
      <c r="QI7" s="174"/>
      <c r="QJ7" s="174"/>
      <c r="QK7" s="174"/>
      <c r="QL7" s="174"/>
      <c r="QM7" s="174"/>
      <c r="QN7" s="174"/>
      <c r="QO7" s="174"/>
      <c r="QP7" s="174"/>
      <c r="QQ7" s="174"/>
      <c r="QR7" s="174"/>
      <c r="QS7" s="174"/>
      <c r="QT7" s="174"/>
      <c r="QU7" s="174"/>
      <c r="QV7" s="174"/>
      <c r="QW7" s="174"/>
      <c r="QX7" s="174"/>
      <c r="QY7" s="174"/>
      <c r="QZ7" s="174"/>
      <c r="RA7" s="174"/>
      <c r="RB7" s="174"/>
      <c r="RC7" s="174"/>
      <c r="RD7" s="174"/>
      <c r="RE7" s="174"/>
      <c r="RF7" s="174"/>
      <c r="RG7" s="174"/>
      <c r="RH7" s="174"/>
      <c r="RI7" s="174"/>
      <c r="RJ7" s="174"/>
      <c r="RK7" s="174"/>
      <c r="RL7" s="174"/>
      <c r="RM7" s="174"/>
      <c r="RN7" s="174"/>
      <c r="RO7" s="174"/>
      <c r="RP7" s="174"/>
      <c r="RQ7" s="174"/>
      <c r="RR7" s="174"/>
      <c r="RS7" s="174"/>
      <c r="RT7" s="174"/>
      <c r="RU7" s="174"/>
      <c r="RV7" s="174"/>
      <c r="RW7" s="174"/>
      <c r="RX7" s="174"/>
      <c r="RY7" s="174"/>
      <c r="RZ7" s="174"/>
      <c r="SA7" s="174"/>
      <c r="SB7" s="174"/>
      <c r="SC7" s="174"/>
      <c r="SD7" s="174"/>
      <c r="SE7" s="174"/>
      <c r="SF7" s="174"/>
      <c r="SG7" s="174"/>
      <c r="SH7" s="174"/>
      <c r="SI7" s="174"/>
      <c r="SJ7" s="174"/>
      <c r="SK7" s="174"/>
      <c r="SL7" s="174"/>
      <c r="SM7" s="174"/>
      <c r="SN7" s="174"/>
      <c r="SO7" s="174"/>
      <c r="SP7" s="174"/>
      <c r="SQ7" s="174"/>
      <c r="SR7" s="174"/>
      <c r="SS7" s="174"/>
      <c r="ST7" s="174"/>
      <c r="SU7" s="174"/>
      <c r="SV7" s="174"/>
      <c r="SW7" s="174"/>
      <c r="SX7" s="174"/>
      <c r="SY7" s="174"/>
      <c r="SZ7" s="174"/>
      <c r="TA7" s="174"/>
      <c r="TB7" s="174"/>
      <c r="TC7" s="174"/>
      <c r="TD7" s="174"/>
      <c r="TE7" s="174"/>
      <c r="TF7" s="174"/>
      <c r="TG7" s="174"/>
      <c r="TH7" s="174"/>
      <c r="TI7" s="174"/>
      <c r="TJ7" s="174"/>
      <c r="TK7" s="174"/>
      <c r="TL7" s="174"/>
      <c r="TM7" s="174"/>
      <c r="TN7" s="174"/>
      <c r="TO7" s="174"/>
      <c r="TP7" s="174"/>
      <c r="TQ7" s="174"/>
      <c r="TR7" s="174"/>
      <c r="TS7" s="174"/>
      <c r="TT7" s="174"/>
      <c r="TU7" s="174"/>
      <c r="TV7" s="174"/>
      <c r="TW7" s="174"/>
      <c r="TX7" s="174"/>
      <c r="TY7" s="174"/>
      <c r="TZ7" s="174"/>
      <c r="UA7" s="174"/>
      <c r="UB7" s="174"/>
      <c r="UC7" s="174"/>
      <c r="UD7" s="174"/>
      <c r="UE7" s="174"/>
      <c r="UF7" s="174"/>
      <c r="UG7" s="174"/>
      <c r="UH7" s="174"/>
      <c r="UI7" s="174"/>
      <c r="UJ7" s="174"/>
      <c r="UK7" s="174"/>
      <c r="UL7" s="174"/>
      <c r="UM7" s="174"/>
      <c r="UN7" s="174"/>
      <c r="UO7" s="174"/>
      <c r="UP7" s="174"/>
      <c r="UQ7" s="174"/>
      <c r="UR7" s="174"/>
      <c r="US7" s="174"/>
      <c r="UT7" s="174"/>
      <c r="UU7" s="174"/>
      <c r="UV7" s="174"/>
      <c r="UW7" s="174"/>
      <c r="UX7" s="174"/>
      <c r="UY7" s="174"/>
      <c r="UZ7" s="174"/>
      <c r="VA7" s="174"/>
      <c r="VB7" s="174"/>
      <c r="VC7" s="174"/>
      <c r="VD7" s="174"/>
      <c r="VE7" s="174"/>
      <c r="VF7" s="174"/>
      <c r="VG7" s="174"/>
      <c r="VH7" s="174"/>
      <c r="VI7" s="174"/>
      <c r="VJ7" s="174"/>
      <c r="VK7" s="174"/>
      <c r="VL7" s="174"/>
      <c r="VM7" s="174"/>
      <c r="VN7" s="174"/>
      <c r="VO7" s="174"/>
      <c r="VP7" s="174"/>
      <c r="VQ7" s="174"/>
      <c r="VR7" s="174"/>
      <c r="VS7" s="174"/>
      <c r="VT7" s="174"/>
      <c r="VU7" s="174"/>
      <c r="VV7" s="174"/>
      <c r="VW7" s="174"/>
      <c r="VX7" s="174"/>
      <c r="VY7" s="174"/>
      <c r="VZ7" s="174"/>
      <c r="WA7" s="174"/>
      <c r="WB7" s="174"/>
      <c r="WC7" s="174"/>
      <c r="WD7" s="174"/>
      <c r="WE7" s="174"/>
      <c r="WF7" s="174"/>
      <c r="WG7" s="174"/>
      <c r="WH7" s="174"/>
      <c r="WI7" s="174"/>
      <c r="WJ7" s="174"/>
      <c r="WK7" s="174"/>
      <c r="WL7" s="174"/>
      <c r="WM7" s="174"/>
      <c r="WN7" s="174"/>
      <c r="WO7" s="174"/>
      <c r="WP7" s="174"/>
      <c r="WQ7" s="174"/>
      <c r="WR7" s="174"/>
      <c r="WS7" s="174"/>
      <c r="WT7" s="174"/>
      <c r="WU7" s="174"/>
      <c r="WV7" s="174"/>
      <c r="WW7" s="174"/>
      <c r="WX7" s="174"/>
      <c r="WY7" s="174"/>
      <c r="WZ7" s="174"/>
      <c r="XA7" s="174"/>
      <c r="XB7" s="174"/>
      <c r="XC7" s="174"/>
      <c r="XD7" s="174"/>
      <c r="XE7" s="174"/>
      <c r="XF7" s="174"/>
      <c r="XG7" s="174"/>
      <c r="XH7" s="174"/>
      <c r="XI7" s="174"/>
      <c r="XJ7" s="174"/>
      <c r="XK7" s="174"/>
      <c r="XL7" s="174"/>
      <c r="XM7" s="174"/>
      <c r="XN7" s="174"/>
      <c r="XO7" s="174"/>
      <c r="XP7" s="174"/>
      <c r="XQ7" s="174"/>
      <c r="XR7" s="174"/>
      <c r="XS7" s="174"/>
      <c r="XT7" s="174"/>
      <c r="XU7" s="174"/>
      <c r="XV7" s="174"/>
      <c r="XW7" s="174"/>
      <c r="XX7" s="174"/>
      <c r="XY7" s="174"/>
      <c r="XZ7" s="174"/>
      <c r="YA7" s="174"/>
      <c r="YB7" s="174"/>
      <c r="YC7" s="174"/>
      <c r="YD7" s="174"/>
      <c r="YE7" s="174"/>
      <c r="YF7" s="174"/>
      <c r="YG7" s="174"/>
      <c r="YH7" s="174"/>
      <c r="YI7" s="174"/>
      <c r="YJ7" s="174"/>
      <c r="YK7" s="174"/>
      <c r="YL7" s="174"/>
      <c r="YM7" s="174"/>
      <c r="YN7" s="174"/>
      <c r="YO7" s="174"/>
      <c r="YP7" s="174"/>
      <c r="YQ7" s="174"/>
      <c r="YR7" s="174"/>
      <c r="YS7" s="174"/>
      <c r="YT7" s="174"/>
      <c r="YU7" s="174"/>
      <c r="YV7" s="174"/>
      <c r="YW7" s="174"/>
      <c r="YX7" s="174"/>
      <c r="YY7" s="174"/>
      <c r="YZ7" s="174"/>
      <c r="ZA7" s="174"/>
      <c r="ZB7" s="174"/>
      <c r="ZC7" s="174"/>
      <c r="ZD7" s="174"/>
      <c r="ZE7" s="174"/>
      <c r="ZF7" s="174"/>
      <c r="ZG7" s="174"/>
      <c r="ZH7" s="174"/>
      <c r="ZI7" s="174"/>
      <c r="ZJ7" s="174"/>
      <c r="ZK7" s="174"/>
      <c r="ZL7" s="174"/>
      <c r="ZM7" s="174"/>
      <c r="ZN7" s="174"/>
      <c r="ZO7" s="174"/>
      <c r="ZP7" s="174"/>
      <c r="ZQ7" s="174"/>
      <c r="ZR7" s="174"/>
      <c r="ZS7" s="174"/>
      <c r="ZT7" s="174"/>
      <c r="ZU7" s="174"/>
      <c r="ZV7" s="174"/>
      <c r="ZW7" s="174"/>
      <c r="ZX7" s="174"/>
      <c r="ZY7" s="174"/>
      <c r="ZZ7" s="174"/>
      <c r="AAA7" s="174"/>
      <c r="AAB7" s="174"/>
      <c r="AAC7" s="174"/>
      <c r="AAD7" s="174"/>
      <c r="AAE7" s="174"/>
      <c r="AAF7" s="174"/>
      <c r="AAG7" s="174"/>
      <c r="AAH7" s="174"/>
      <c r="AAI7" s="174"/>
      <c r="AAJ7" s="174"/>
      <c r="AAK7" s="174"/>
      <c r="AAL7" s="174"/>
      <c r="AAM7" s="174"/>
      <c r="AAN7" s="174"/>
      <c r="AAO7" s="174"/>
      <c r="AAP7" s="174"/>
      <c r="AAQ7" s="174"/>
      <c r="AAR7" s="174"/>
      <c r="AAS7" s="174"/>
      <c r="AAT7" s="174"/>
      <c r="AAU7" s="174"/>
      <c r="AAV7" s="174"/>
      <c r="AAW7" s="174"/>
      <c r="AAX7" s="174"/>
      <c r="AAY7" s="174"/>
      <c r="AAZ7" s="174"/>
      <c r="ABA7" s="174"/>
      <c r="ABB7" s="174"/>
      <c r="ABC7" s="174"/>
      <c r="ABD7" s="174"/>
      <c r="ABE7" s="174"/>
      <c r="ABF7" s="174"/>
      <c r="ABG7" s="174"/>
      <c r="ABH7" s="174"/>
      <c r="ABI7" s="174"/>
      <c r="ABJ7" s="174"/>
      <c r="ABK7" s="174"/>
      <c r="ABL7" s="174"/>
      <c r="ABM7" s="174"/>
      <c r="ABN7" s="174"/>
      <c r="ABO7" s="174"/>
      <c r="ABP7" s="174"/>
      <c r="ABQ7" s="174"/>
      <c r="ABR7" s="174"/>
      <c r="ABS7" s="174"/>
      <c r="ABT7" s="174"/>
      <c r="ABU7" s="174"/>
      <c r="ABV7" s="174"/>
      <c r="ABW7" s="174"/>
      <c r="ABX7" s="174"/>
      <c r="ABY7" s="174"/>
      <c r="ABZ7" s="174"/>
      <c r="ACA7" s="174"/>
      <c r="ACB7" s="174"/>
      <c r="ACC7" s="174"/>
      <c r="ACD7" s="174"/>
      <c r="ACE7" s="174"/>
      <c r="ACF7" s="174"/>
      <c r="ACG7" s="174"/>
      <c r="ACH7" s="174"/>
      <c r="ACI7" s="174"/>
      <c r="ACJ7" s="174"/>
      <c r="ACK7" s="174"/>
      <c r="ACL7" s="174"/>
      <c r="ACM7" s="174"/>
      <c r="ACN7" s="174"/>
      <c r="ACO7" s="174"/>
      <c r="ACP7" s="174"/>
      <c r="ACQ7" s="174"/>
      <c r="ACR7" s="174"/>
      <c r="ACS7" s="174"/>
      <c r="ACT7" s="174"/>
      <c r="ACU7" s="174"/>
      <c r="ACV7" s="174"/>
      <c r="ACW7" s="174"/>
      <c r="ACX7" s="174"/>
      <c r="ACY7" s="174"/>
      <c r="ACZ7" s="174"/>
      <c r="ADA7" s="174"/>
      <c r="ADB7" s="174"/>
      <c r="ADC7" s="174"/>
      <c r="ADD7" s="174"/>
      <c r="ADE7" s="174"/>
      <c r="ADF7" s="174"/>
      <c r="ADG7" s="174"/>
      <c r="ADH7" s="174"/>
      <c r="ADI7" s="174"/>
      <c r="ADJ7" s="174"/>
      <c r="ADK7" s="174"/>
      <c r="ADL7" s="174"/>
      <c r="ADM7" s="174"/>
      <c r="ADN7" s="174"/>
      <c r="ADO7" s="174"/>
      <c r="ADP7" s="174"/>
      <c r="ADQ7" s="174"/>
      <c r="ADR7" s="174"/>
      <c r="ADS7" s="174"/>
      <c r="ADT7" s="174"/>
      <c r="ADU7" s="174"/>
      <c r="ADV7" s="174"/>
      <c r="ADW7" s="174"/>
      <c r="ADX7" s="174"/>
      <c r="ADY7" s="174"/>
      <c r="ADZ7" s="174"/>
      <c r="AEA7" s="174"/>
      <c r="AEB7" s="174"/>
      <c r="AEC7" s="174"/>
      <c r="AED7" s="174"/>
      <c r="AEE7" s="174"/>
      <c r="AEF7" s="174"/>
      <c r="AEG7" s="174"/>
      <c r="AEH7" s="174"/>
      <c r="AEI7" s="174"/>
      <c r="AEJ7" s="174"/>
      <c r="AEK7" s="174"/>
      <c r="AEL7" s="174"/>
      <c r="AEM7" s="174"/>
      <c r="AEN7" s="174"/>
      <c r="AEO7" s="174"/>
      <c r="AEP7" s="174"/>
      <c r="AEQ7" s="174"/>
      <c r="AER7" s="174"/>
      <c r="AES7" s="174"/>
      <c r="AET7" s="174"/>
      <c r="AEU7" s="174"/>
      <c r="AEV7" s="174"/>
      <c r="AEW7" s="174"/>
      <c r="AEX7" s="174"/>
      <c r="AEY7" s="174"/>
      <c r="AEZ7" s="174"/>
      <c r="AFA7" s="174"/>
      <c r="AFB7" s="174"/>
      <c r="AFC7" s="174"/>
      <c r="AFD7" s="174"/>
      <c r="AFE7" s="174"/>
      <c r="AFF7" s="174"/>
      <c r="AFG7" s="174"/>
      <c r="AFH7" s="174"/>
      <c r="AFI7" s="174"/>
      <c r="AFJ7" s="174"/>
      <c r="AFK7" s="174"/>
      <c r="AFL7" s="174"/>
      <c r="AFM7" s="174"/>
      <c r="AFN7" s="174"/>
      <c r="AFO7" s="174"/>
      <c r="AFP7" s="174"/>
      <c r="AFQ7" s="174"/>
      <c r="AFR7" s="174"/>
      <c r="AFS7" s="174"/>
      <c r="AFT7" s="174"/>
      <c r="AFU7" s="174"/>
      <c r="AFV7" s="174"/>
      <c r="AFW7" s="174"/>
      <c r="AFX7" s="174"/>
      <c r="AFY7" s="174"/>
      <c r="AFZ7" s="174"/>
      <c r="AGA7" s="174"/>
      <c r="AGB7" s="174"/>
      <c r="AGC7" s="174"/>
      <c r="AGD7" s="174"/>
      <c r="AGE7" s="174"/>
      <c r="AGF7" s="174"/>
      <c r="AGG7" s="174"/>
      <c r="AGH7" s="174"/>
      <c r="AGI7" s="174"/>
      <c r="AGJ7" s="174"/>
      <c r="AGK7" s="174"/>
      <c r="AGL7" s="174"/>
      <c r="AGM7" s="174"/>
      <c r="AGN7" s="174"/>
      <c r="AGO7" s="174"/>
      <c r="AGP7" s="174"/>
      <c r="AGQ7" s="174"/>
      <c r="AGR7" s="174"/>
      <c r="AGS7" s="174"/>
      <c r="AGT7" s="174"/>
      <c r="AGU7" s="174"/>
      <c r="AGV7" s="174"/>
      <c r="AGW7" s="174"/>
      <c r="AGX7" s="174"/>
      <c r="AGY7" s="174"/>
      <c r="AGZ7" s="174"/>
      <c r="AHA7" s="174"/>
      <c r="AHB7" s="174"/>
      <c r="AHC7" s="174"/>
      <c r="AHD7" s="174"/>
      <c r="AHE7" s="174"/>
      <c r="AHF7" s="174"/>
      <c r="AHG7" s="174"/>
      <c r="AHH7" s="174"/>
      <c r="AHI7" s="174"/>
      <c r="AHJ7" s="174"/>
      <c r="AHK7" s="174"/>
      <c r="AHL7" s="174"/>
      <c r="AHM7" s="174"/>
      <c r="AHN7" s="174"/>
      <c r="AHO7" s="174"/>
      <c r="AHP7" s="174"/>
      <c r="AHQ7" s="174"/>
      <c r="AHR7" s="174"/>
      <c r="AHS7" s="174"/>
      <c r="AHT7" s="174"/>
      <c r="AHU7" s="174"/>
      <c r="AHV7" s="174"/>
      <c r="AHW7" s="174"/>
      <c r="AHX7" s="174"/>
      <c r="AHY7" s="174"/>
      <c r="AHZ7" s="174"/>
      <c r="AIA7" s="174"/>
      <c r="AIB7" s="174"/>
      <c r="AIC7" s="174"/>
      <c r="AID7" s="174"/>
      <c r="AIE7" s="174"/>
      <c r="AIF7" s="174"/>
      <c r="AIG7" s="174"/>
      <c r="AIH7" s="174"/>
      <c r="AII7" s="174"/>
      <c r="AIJ7" s="174"/>
      <c r="AIK7" s="174"/>
      <c r="AIL7" s="174"/>
      <c r="AIM7" s="174"/>
      <c r="AIN7" s="174"/>
      <c r="AIO7" s="174"/>
      <c r="AIP7" s="174"/>
      <c r="AIQ7" s="174"/>
      <c r="AIR7" s="174"/>
      <c r="AIS7" s="174"/>
      <c r="AIT7" s="174"/>
      <c r="AIU7" s="174"/>
      <c r="AIV7" s="174"/>
      <c r="AIW7" s="174"/>
      <c r="AIX7" s="174"/>
      <c r="AIY7" s="174"/>
      <c r="AIZ7" s="174"/>
      <c r="AJA7" s="174"/>
      <c r="AJB7" s="174"/>
      <c r="AJC7" s="174"/>
      <c r="AJD7" s="174"/>
      <c r="AJE7" s="174"/>
      <c r="AJF7" s="174"/>
      <c r="AJG7" s="174"/>
      <c r="AJH7" s="174"/>
      <c r="AJI7" s="174"/>
      <c r="AJJ7" s="174"/>
      <c r="AJK7" s="174"/>
      <c r="AJL7" s="174"/>
      <c r="AJM7" s="174"/>
      <c r="AJN7" s="174"/>
      <c r="AJO7" s="174"/>
      <c r="AJP7" s="174"/>
      <c r="AJQ7" s="174"/>
      <c r="AJR7" s="174"/>
      <c r="AJS7" s="174"/>
      <c r="AJT7" s="174"/>
      <c r="AJU7" s="174"/>
      <c r="AJV7" s="174"/>
      <c r="AJW7" s="174"/>
      <c r="AJX7" s="174"/>
      <c r="AJY7" s="174"/>
      <c r="AJZ7" s="174"/>
      <c r="AKA7" s="174"/>
      <c r="AKB7" s="174"/>
      <c r="AKC7" s="174"/>
      <c r="AKD7" s="174"/>
      <c r="AKE7" s="174"/>
      <c r="AKF7" s="174"/>
      <c r="AKG7" s="174"/>
      <c r="AKH7" s="174"/>
      <c r="AKI7" s="174"/>
      <c r="AKJ7" s="174"/>
      <c r="AKK7" s="174"/>
      <c r="AKL7" s="174"/>
      <c r="AKM7" s="174"/>
      <c r="AKN7" s="174"/>
      <c r="AKO7" s="174"/>
      <c r="AKP7" s="174"/>
      <c r="AKQ7" s="174"/>
      <c r="AKR7" s="174"/>
      <c r="AKS7" s="174"/>
      <c r="AKT7" s="174"/>
      <c r="AKU7" s="174"/>
      <c r="AKV7" s="174"/>
      <c r="AKW7" s="174"/>
      <c r="AKX7" s="174"/>
      <c r="AKY7" s="174"/>
      <c r="AKZ7" s="174"/>
      <c r="ALA7" s="174"/>
      <c r="ALB7" s="174"/>
      <c r="ALC7" s="174"/>
      <c r="ALD7" s="174"/>
      <c r="ALE7" s="174"/>
      <c r="ALF7" s="174"/>
      <c r="ALG7" s="174"/>
      <c r="ALH7" s="174"/>
      <c r="ALI7" s="174"/>
      <c r="ALJ7" s="174"/>
      <c r="ALK7" s="174"/>
      <c r="ALL7" s="174"/>
      <c r="ALM7" s="174"/>
      <c r="ALN7" s="174"/>
      <c r="ALO7" s="174"/>
      <c r="ALP7" s="174"/>
      <c r="ALQ7" s="174"/>
      <c r="ALR7" s="174"/>
      <c r="ALS7" s="174"/>
      <c r="ALT7" s="174"/>
      <c r="ALU7" s="174"/>
      <c r="ALV7" s="174"/>
      <c r="ALW7" s="174"/>
      <c r="ALX7" s="174"/>
      <c r="ALY7" s="174"/>
      <c r="ALZ7" s="174"/>
      <c r="AMA7" s="174"/>
      <c r="AMB7" s="174"/>
      <c r="AMC7" s="174"/>
      <c r="AMD7" s="174"/>
      <c r="AME7" s="174"/>
      <c r="AMF7" s="174"/>
      <c r="AMG7" s="174"/>
      <c r="AMH7" s="174"/>
      <c r="AMI7" s="174"/>
      <c r="AMJ7" s="174"/>
      <c r="AMK7" s="174"/>
      <c r="AML7" s="174"/>
      <c r="AMM7" s="174"/>
      <c r="AMN7" s="174"/>
      <c r="AMO7" s="174"/>
      <c r="AMP7" s="174"/>
      <c r="AMQ7" s="174"/>
      <c r="AMR7" s="174"/>
      <c r="AMS7" s="174"/>
      <c r="AMT7" s="174"/>
      <c r="AMU7" s="174"/>
      <c r="AMV7" s="174"/>
      <c r="AMW7" s="174"/>
      <c r="AMX7" s="174"/>
      <c r="AMY7" s="174"/>
      <c r="AMZ7" s="174"/>
      <c r="ANA7" s="174"/>
      <c r="ANB7" s="174"/>
      <c r="ANC7" s="174"/>
      <c r="AND7" s="174"/>
      <c r="ANE7" s="174"/>
      <c r="ANF7" s="174"/>
      <c r="ANG7" s="174"/>
      <c r="ANH7" s="174"/>
      <c r="ANI7" s="174"/>
      <c r="ANJ7" s="174"/>
      <c r="ANK7" s="174"/>
      <c r="ANL7" s="174"/>
      <c r="ANM7" s="174"/>
      <c r="ANN7" s="174"/>
      <c r="ANO7" s="174"/>
      <c r="ANP7" s="174"/>
      <c r="ANQ7" s="174"/>
      <c r="ANR7" s="174"/>
      <c r="ANS7" s="174"/>
      <c r="ANT7" s="174"/>
      <c r="ANU7" s="174"/>
      <c r="ANV7" s="174"/>
      <c r="ANW7" s="174"/>
      <c r="ANX7" s="174"/>
      <c r="ANY7" s="174"/>
      <c r="ANZ7" s="174"/>
      <c r="AOA7" s="174"/>
      <c r="AOB7" s="174"/>
      <c r="AOC7" s="174"/>
      <c r="AOD7" s="174"/>
      <c r="AOE7" s="174"/>
      <c r="AOF7" s="174"/>
      <c r="AOG7" s="174"/>
      <c r="AOH7" s="174"/>
      <c r="AOI7" s="174"/>
      <c r="AOJ7" s="174"/>
      <c r="AOK7" s="174"/>
      <c r="AOL7" s="174"/>
      <c r="AOM7" s="174"/>
      <c r="AON7" s="174"/>
      <c r="AOO7" s="174"/>
      <c r="AOP7" s="174"/>
      <c r="AOQ7" s="174"/>
      <c r="AOR7" s="174"/>
      <c r="AOS7" s="174"/>
      <c r="AOT7" s="174"/>
      <c r="AOU7" s="174"/>
      <c r="AOV7" s="174"/>
      <c r="AOW7" s="174"/>
      <c r="AOX7" s="174"/>
      <c r="AOY7" s="174"/>
      <c r="AOZ7" s="174"/>
      <c r="APA7" s="174"/>
      <c r="APB7" s="174"/>
      <c r="APC7" s="174"/>
      <c r="APD7" s="174"/>
      <c r="APE7" s="174"/>
      <c r="APF7" s="174"/>
      <c r="APG7" s="174"/>
      <c r="APH7" s="174"/>
      <c r="API7" s="174"/>
      <c r="APJ7" s="174"/>
      <c r="APK7" s="174"/>
      <c r="APL7" s="174"/>
      <c r="APM7" s="174"/>
      <c r="APN7" s="174"/>
      <c r="APO7" s="174"/>
      <c r="APP7" s="174"/>
      <c r="APQ7" s="174"/>
      <c r="APR7" s="174"/>
      <c r="APS7" s="174"/>
      <c r="APT7" s="174"/>
      <c r="APU7" s="174"/>
      <c r="APV7" s="174"/>
      <c r="APW7" s="174"/>
      <c r="APX7" s="174"/>
      <c r="APY7" s="174"/>
      <c r="APZ7" s="174"/>
      <c r="AQA7" s="174"/>
      <c r="AQB7" s="174"/>
      <c r="AQC7" s="174"/>
      <c r="AQD7" s="174"/>
      <c r="AQE7" s="174"/>
      <c r="AQF7" s="174"/>
      <c r="AQG7" s="174"/>
      <c r="AQH7" s="174"/>
      <c r="AQI7" s="174"/>
      <c r="AQJ7" s="174"/>
      <c r="AQK7" s="174"/>
      <c r="AQL7" s="174"/>
      <c r="AQM7" s="174"/>
      <c r="AQN7" s="174"/>
      <c r="AQO7" s="174"/>
      <c r="AQP7" s="174"/>
      <c r="AQQ7" s="174"/>
      <c r="AQR7" s="174"/>
      <c r="AQS7" s="174"/>
      <c r="AQT7" s="174"/>
      <c r="AQU7" s="174"/>
      <c r="AQV7" s="174"/>
      <c r="AQW7" s="174"/>
      <c r="AQX7" s="174"/>
      <c r="AQY7" s="174"/>
      <c r="AQZ7" s="174"/>
      <c r="ARA7" s="174"/>
      <c r="ARB7" s="174"/>
      <c r="ARC7" s="174"/>
      <c r="ARD7" s="174"/>
      <c r="ARE7" s="174"/>
      <c r="ARF7" s="174"/>
      <c r="ARG7" s="174"/>
      <c r="ARH7" s="174"/>
      <c r="ARI7" s="174"/>
      <c r="ARJ7" s="174"/>
      <c r="ARK7" s="174"/>
      <c r="ARL7" s="174"/>
      <c r="ARM7" s="174"/>
      <c r="ARN7" s="174"/>
      <c r="ARO7" s="174"/>
      <c r="ARP7" s="174"/>
      <c r="ARQ7" s="174"/>
      <c r="ARR7" s="174"/>
      <c r="ARS7" s="174"/>
      <c r="ART7" s="174"/>
      <c r="ARU7" s="174"/>
      <c r="ARV7" s="174"/>
      <c r="ARW7" s="174"/>
      <c r="ARX7" s="174"/>
      <c r="ARY7" s="174"/>
      <c r="ARZ7" s="174"/>
      <c r="ASA7" s="174"/>
      <c r="ASB7" s="174"/>
      <c r="ASC7" s="174"/>
      <c r="ASD7" s="174"/>
      <c r="ASE7" s="174"/>
      <c r="ASF7" s="174"/>
      <c r="ASG7" s="174"/>
      <c r="ASH7" s="174"/>
      <c r="ASI7" s="174"/>
      <c r="ASJ7" s="174"/>
      <c r="ASK7" s="174"/>
      <c r="ASL7" s="174"/>
      <c r="ASM7" s="174"/>
      <c r="ASN7" s="174"/>
      <c r="ASO7" s="174"/>
      <c r="ASP7" s="174"/>
      <c r="ASQ7" s="174"/>
      <c r="ASR7" s="174"/>
      <c r="ASS7" s="174"/>
      <c r="AST7" s="174"/>
      <c r="ASU7" s="174"/>
      <c r="ASV7" s="174"/>
      <c r="ASW7" s="174"/>
      <c r="ASX7" s="174"/>
      <c r="ASY7" s="174"/>
      <c r="ASZ7" s="174"/>
      <c r="ATA7" s="174"/>
      <c r="ATB7" s="174"/>
      <c r="ATC7" s="174"/>
      <c r="ATD7" s="174"/>
      <c r="ATE7" s="174"/>
      <c r="ATF7" s="174"/>
      <c r="ATG7" s="174"/>
      <c r="ATH7" s="174"/>
      <c r="ATI7" s="174"/>
      <c r="ATJ7" s="174"/>
      <c r="ATK7" s="174"/>
      <c r="ATL7" s="174"/>
      <c r="ATM7" s="174"/>
      <c r="ATN7" s="174"/>
      <c r="ATO7" s="174"/>
      <c r="ATP7" s="174"/>
      <c r="ATQ7" s="174"/>
      <c r="ATR7" s="174"/>
      <c r="ATS7" s="174"/>
      <c r="ATT7" s="174"/>
      <c r="ATU7" s="174"/>
      <c r="ATV7" s="174"/>
      <c r="ATW7" s="174"/>
      <c r="ATX7" s="174"/>
      <c r="ATY7" s="174"/>
      <c r="ATZ7" s="174"/>
      <c r="AUA7" s="174"/>
      <c r="AUB7" s="174"/>
      <c r="AUC7" s="174"/>
      <c r="AUD7" s="174"/>
      <c r="AUE7" s="174"/>
      <c r="AUF7" s="174"/>
      <c r="AUG7" s="174"/>
      <c r="AUH7" s="174"/>
      <c r="AUI7" s="174"/>
      <c r="AUJ7" s="174"/>
      <c r="AUK7" s="174"/>
      <c r="AUL7" s="174"/>
      <c r="AUM7" s="174"/>
      <c r="AUN7" s="174"/>
      <c r="AUO7" s="174"/>
      <c r="AUP7" s="174"/>
      <c r="AUQ7" s="174"/>
      <c r="AUR7" s="174"/>
      <c r="AUS7" s="174"/>
      <c r="AUT7" s="174"/>
      <c r="AUU7" s="174"/>
      <c r="AUV7" s="174"/>
      <c r="AUW7" s="174"/>
      <c r="AUX7" s="174"/>
      <c r="AUY7" s="174"/>
      <c r="AUZ7" s="174"/>
      <c r="AVA7" s="174"/>
      <c r="AVB7" s="174"/>
      <c r="AVC7" s="174"/>
      <c r="AVD7" s="174"/>
      <c r="AVE7" s="174"/>
      <c r="AVF7" s="174"/>
      <c r="AVG7" s="174"/>
      <c r="AVH7" s="174"/>
      <c r="AVI7" s="174"/>
      <c r="AVJ7" s="174"/>
      <c r="AVK7" s="174"/>
      <c r="AVL7" s="174"/>
      <c r="AVM7" s="174"/>
      <c r="AVN7" s="174"/>
      <c r="AVO7" s="174"/>
      <c r="AVP7" s="174"/>
      <c r="AVQ7" s="174"/>
      <c r="AVR7" s="174"/>
      <c r="AVS7" s="174"/>
      <c r="AVT7" s="174"/>
      <c r="AVU7" s="174"/>
      <c r="AVV7" s="174"/>
      <c r="AVW7" s="174"/>
      <c r="AVX7" s="174"/>
      <c r="AVY7" s="174"/>
      <c r="AVZ7" s="174"/>
      <c r="AWA7" s="174"/>
      <c r="AWB7" s="174"/>
      <c r="AWC7" s="174"/>
      <c r="AWD7" s="174"/>
      <c r="AWE7" s="174"/>
      <c r="AWF7" s="174"/>
      <c r="AWG7" s="174"/>
      <c r="AWH7" s="174"/>
      <c r="AWI7" s="174"/>
      <c r="AWJ7" s="174"/>
      <c r="AWK7" s="174"/>
      <c r="AWL7" s="174"/>
      <c r="AWM7" s="174"/>
      <c r="AWN7" s="174"/>
      <c r="AWO7" s="174"/>
      <c r="AWP7" s="174"/>
      <c r="AWQ7" s="174"/>
      <c r="AWR7" s="174"/>
      <c r="AWS7" s="174"/>
      <c r="AWT7" s="174"/>
      <c r="AWU7" s="174"/>
      <c r="AWV7" s="174"/>
      <c r="AWW7" s="174"/>
      <c r="AWX7" s="174"/>
      <c r="AWY7" s="174"/>
      <c r="AWZ7" s="174"/>
      <c r="AXA7" s="174"/>
      <c r="AXB7" s="174"/>
      <c r="AXC7" s="174"/>
      <c r="AXD7" s="174"/>
      <c r="AXE7" s="174"/>
      <c r="AXF7" s="174"/>
      <c r="AXG7" s="174"/>
      <c r="AXH7" s="174"/>
      <c r="AXI7" s="174"/>
      <c r="AXJ7" s="174"/>
      <c r="AXK7" s="174"/>
      <c r="AXL7" s="174"/>
      <c r="AXM7" s="174"/>
      <c r="AXN7" s="174"/>
      <c r="AXO7" s="174"/>
      <c r="AXP7" s="174"/>
      <c r="AXQ7" s="174"/>
      <c r="AXR7" s="174"/>
      <c r="AXS7" s="174"/>
      <c r="AXT7" s="174"/>
      <c r="AXU7" s="174"/>
      <c r="AXV7" s="174"/>
      <c r="AXW7" s="174"/>
      <c r="AXX7" s="174"/>
      <c r="AXY7" s="174"/>
      <c r="AXZ7" s="174"/>
      <c r="AYA7" s="174"/>
      <c r="AYB7" s="174"/>
      <c r="AYC7" s="174"/>
      <c r="AYD7" s="174"/>
      <c r="AYE7" s="174"/>
      <c r="AYF7" s="174"/>
      <c r="AYG7" s="174"/>
      <c r="AYH7" s="174"/>
      <c r="AYI7" s="174"/>
      <c r="AYJ7" s="174"/>
      <c r="AYK7" s="174"/>
      <c r="AYL7" s="174"/>
      <c r="AYM7" s="174"/>
      <c r="AYN7" s="174"/>
      <c r="AYO7" s="174"/>
      <c r="AYP7" s="174"/>
      <c r="AYQ7" s="174"/>
      <c r="AYR7" s="174"/>
      <c r="AYS7" s="174"/>
      <c r="AYT7" s="174"/>
      <c r="AYU7" s="174"/>
      <c r="AYV7" s="174"/>
      <c r="AYW7" s="174"/>
      <c r="AYX7" s="174"/>
      <c r="AYY7" s="174"/>
      <c r="AYZ7" s="174"/>
      <c r="AZA7" s="174"/>
      <c r="AZB7" s="174"/>
      <c r="AZC7" s="174"/>
      <c r="AZD7" s="174"/>
      <c r="AZE7" s="174"/>
      <c r="AZF7" s="174"/>
      <c r="AZG7" s="174"/>
      <c r="AZH7" s="174"/>
      <c r="AZI7" s="174"/>
      <c r="AZJ7" s="174"/>
      <c r="AZK7" s="174"/>
      <c r="AZL7" s="174"/>
      <c r="AZM7" s="174"/>
      <c r="AZN7" s="174"/>
      <c r="AZO7" s="174"/>
      <c r="AZP7" s="174"/>
      <c r="AZQ7" s="174"/>
      <c r="AZR7" s="174"/>
      <c r="AZS7" s="174"/>
      <c r="AZT7" s="174"/>
      <c r="AZU7" s="174"/>
      <c r="AZV7" s="174"/>
      <c r="AZW7" s="174"/>
      <c r="AZX7" s="174"/>
      <c r="AZY7" s="174"/>
      <c r="AZZ7" s="174"/>
      <c r="BAA7" s="174"/>
      <c r="BAB7" s="174"/>
      <c r="BAC7" s="174"/>
      <c r="BAD7" s="174"/>
      <c r="BAE7" s="174"/>
      <c r="BAF7" s="174"/>
      <c r="BAG7" s="174"/>
      <c r="BAH7" s="174"/>
      <c r="BAI7" s="174"/>
      <c r="BAJ7" s="174"/>
      <c r="BAK7" s="174"/>
      <c r="BAL7" s="174"/>
      <c r="BAM7" s="174"/>
      <c r="BAN7" s="174"/>
      <c r="BAO7" s="174"/>
      <c r="BAP7" s="174"/>
      <c r="BAQ7" s="174"/>
      <c r="BAR7" s="174"/>
      <c r="BAS7" s="174"/>
      <c r="BAT7" s="174"/>
      <c r="BAU7" s="174"/>
      <c r="BAV7" s="174"/>
      <c r="BAW7" s="174"/>
      <c r="BAX7" s="174"/>
      <c r="BAY7" s="174"/>
      <c r="BAZ7" s="174"/>
      <c r="BBA7" s="174"/>
      <c r="BBB7" s="174"/>
      <c r="BBC7" s="174"/>
      <c r="BBD7" s="174"/>
      <c r="BBE7" s="174"/>
      <c r="BBF7" s="174"/>
      <c r="BBG7" s="174"/>
      <c r="BBH7" s="174"/>
      <c r="BBI7" s="174"/>
      <c r="BBJ7" s="174"/>
      <c r="BBK7" s="174"/>
      <c r="BBL7" s="174"/>
      <c r="BBM7" s="174"/>
      <c r="BBN7" s="174"/>
      <c r="BBO7" s="174"/>
      <c r="BBP7" s="174"/>
      <c r="BBQ7" s="174"/>
      <c r="BBR7" s="174"/>
      <c r="BBS7" s="174"/>
      <c r="BBT7" s="174"/>
      <c r="BBU7" s="174"/>
      <c r="BBV7" s="174"/>
      <c r="BBW7" s="174"/>
      <c r="BBX7" s="174"/>
      <c r="BBY7" s="174"/>
      <c r="BBZ7" s="174"/>
      <c r="BCA7" s="174"/>
      <c r="BCB7" s="174"/>
      <c r="BCC7" s="174"/>
      <c r="BCD7" s="174"/>
      <c r="BCE7" s="174"/>
      <c r="BCF7" s="174"/>
      <c r="BCG7" s="174"/>
      <c r="BCH7" s="174"/>
      <c r="BCI7" s="174"/>
      <c r="BCJ7" s="174"/>
      <c r="BCK7" s="174"/>
      <c r="BCL7" s="174"/>
      <c r="BCM7" s="174"/>
      <c r="BCN7" s="174"/>
      <c r="BCO7" s="174"/>
      <c r="BCP7" s="174"/>
      <c r="BCQ7" s="174"/>
      <c r="BCR7" s="174"/>
      <c r="BCS7" s="174"/>
      <c r="BCT7" s="174"/>
      <c r="BCU7" s="174"/>
      <c r="BCV7" s="174"/>
      <c r="BCW7" s="174"/>
      <c r="BCX7" s="174"/>
      <c r="BCY7" s="174"/>
      <c r="BCZ7" s="174"/>
      <c r="BDA7" s="174"/>
      <c r="BDB7" s="174"/>
      <c r="BDC7" s="174"/>
      <c r="BDD7" s="174"/>
    </row>
    <row r="8" spans="1:1460" ht="9.9499999999999993" customHeight="1">
      <c r="A8" s="174"/>
      <c r="B8" s="1"/>
      <c r="C8" s="174"/>
      <c r="D8" s="174"/>
      <c r="E8" s="205" t="s">
        <v>3</v>
      </c>
      <c r="F8" s="206"/>
      <c r="G8" s="206"/>
      <c r="H8" s="206"/>
      <c r="I8" s="206"/>
      <c r="J8" s="206"/>
      <c r="K8" s="206"/>
      <c r="L8" s="206"/>
      <c r="M8" s="209" t="s">
        <v>4</v>
      </c>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10"/>
      <c r="BG8" s="174"/>
      <c r="BH8" s="174"/>
      <c r="BI8" s="177"/>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4"/>
      <c r="DT8" s="174"/>
      <c r="DU8" s="174"/>
      <c r="DV8" s="174"/>
      <c r="DW8" s="174"/>
      <c r="DX8" s="174"/>
      <c r="DY8" s="174"/>
      <c r="DZ8" s="174"/>
      <c r="EA8" s="174"/>
      <c r="EB8" s="174"/>
      <c r="EC8" s="174"/>
      <c r="ED8" s="174"/>
      <c r="EE8" s="174"/>
      <c r="EF8" s="174"/>
      <c r="EG8" s="174"/>
      <c r="EH8" s="174"/>
      <c r="EI8" s="174"/>
      <c r="EJ8" s="174"/>
      <c r="EK8" s="174"/>
      <c r="EL8" s="174"/>
      <c r="EM8" s="174"/>
      <c r="EN8" s="174"/>
      <c r="EO8" s="174"/>
      <c r="EP8" s="174"/>
      <c r="EQ8" s="174"/>
      <c r="ER8" s="174"/>
      <c r="ES8" s="174"/>
      <c r="ET8" s="174"/>
      <c r="EU8" s="174"/>
      <c r="EV8" s="174"/>
      <c r="EW8" s="174"/>
      <c r="EX8" s="174"/>
      <c r="EY8" s="174"/>
      <c r="EZ8" s="174"/>
      <c r="FA8" s="174"/>
      <c r="FB8" s="174"/>
      <c r="FC8" s="174"/>
      <c r="FD8" s="174"/>
      <c r="FE8" s="174"/>
      <c r="FF8" s="174"/>
      <c r="FG8" s="174"/>
      <c r="FH8" s="174"/>
      <c r="FI8" s="174"/>
      <c r="FJ8" s="174"/>
      <c r="FK8" s="174"/>
      <c r="FL8" s="174"/>
      <c r="FM8" s="174"/>
      <c r="FN8" s="174"/>
      <c r="FO8" s="174"/>
      <c r="FP8" s="174"/>
      <c r="FQ8" s="174"/>
      <c r="FR8" s="174"/>
      <c r="FS8" s="174"/>
      <c r="FT8" s="174"/>
      <c r="FU8" s="174"/>
      <c r="FV8" s="174"/>
      <c r="FW8" s="174"/>
      <c r="FX8" s="174"/>
      <c r="FY8" s="174"/>
      <c r="FZ8" s="174"/>
      <c r="GA8" s="174"/>
      <c r="GB8" s="174"/>
      <c r="GC8" s="174"/>
      <c r="GD8" s="174"/>
      <c r="GE8" s="174"/>
      <c r="GF8" s="174"/>
      <c r="GG8" s="174"/>
      <c r="GH8" s="174"/>
      <c r="GI8" s="174"/>
      <c r="GJ8" s="174"/>
      <c r="GK8" s="174"/>
      <c r="GL8" s="174"/>
      <c r="GM8" s="174"/>
      <c r="GN8" s="174"/>
      <c r="GO8" s="174"/>
      <c r="GP8" s="174"/>
      <c r="GQ8" s="174"/>
      <c r="GR8" s="174"/>
      <c r="GS8" s="174"/>
      <c r="GT8" s="174"/>
      <c r="GU8" s="174"/>
      <c r="GV8" s="174"/>
      <c r="GW8" s="174"/>
      <c r="GX8" s="174"/>
      <c r="GY8" s="174"/>
      <c r="GZ8" s="174"/>
      <c r="HA8" s="174"/>
      <c r="HB8" s="174"/>
      <c r="HC8" s="174"/>
      <c r="HD8" s="174"/>
      <c r="HE8" s="174"/>
      <c r="HF8" s="174"/>
      <c r="HG8" s="174"/>
      <c r="HH8" s="174"/>
      <c r="HI8" s="174"/>
      <c r="HJ8" s="174"/>
      <c r="HK8" s="174"/>
      <c r="HL8" s="174"/>
      <c r="HM8" s="174"/>
      <c r="HN8" s="174"/>
      <c r="HO8" s="174"/>
      <c r="HP8" s="174"/>
      <c r="HQ8" s="174"/>
      <c r="HR8" s="174"/>
      <c r="HS8" s="174"/>
      <c r="HT8" s="174"/>
      <c r="HU8" s="174"/>
      <c r="HV8" s="174"/>
      <c r="HW8" s="174"/>
      <c r="HX8" s="174"/>
      <c r="HY8" s="174"/>
      <c r="HZ8" s="174"/>
      <c r="IA8" s="174"/>
      <c r="IB8" s="174"/>
      <c r="IC8" s="174"/>
      <c r="ID8" s="174"/>
      <c r="IE8" s="174"/>
      <c r="IF8" s="174"/>
      <c r="IG8" s="174"/>
      <c r="IH8" s="174"/>
      <c r="II8" s="174"/>
      <c r="IJ8" s="174"/>
      <c r="IK8" s="174"/>
      <c r="IL8" s="174"/>
      <c r="IM8" s="174"/>
      <c r="IN8" s="174"/>
      <c r="IO8" s="174"/>
      <c r="IP8" s="174"/>
      <c r="IQ8" s="174"/>
      <c r="IR8" s="174"/>
      <c r="IS8" s="174"/>
      <c r="IT8" s="174"/>
      <c r="IU8" s="174"/>
      <c r="IV8" s="174"/>
      <c r="IW8" s="174"/>
      <c r="IX8" s="174"/>
      <c r="IY8" s="174"/>
      <c r="IZ8" s="174"/>
      <c r="JA8" s="174"/>
      <c r="JB8" s="174"/>
      <c r="JC8" s="174"/>
      <c r="JD8" s="174"/>
      <c r="JE8" s="174"/>
      <c r="JF8" s="174"/>
      <c r="JG8" s="174"/>
      <c r="JH8" s="174"/>
      <c r="JI8" s="174"/>
      <c r="JJ8" s="174"/>
      <c r="JK8" s="174"/>
      <c r="JL8" s="174"/>
      <c r="JM8" s="174"/>
      <c r="JN8" s="174"/>
      <c r="JO8" s="174"/>
      <c r="JP8" s="174"/>
      <c r="JQ8" s="174"/>
      <c r="JR8" s="174"/>
      <c r="JS8" s="174"/>
      <c r="JT8" s="174"/>
      <c r="JU8" s="174"/>
      <c r="JV8" s="174"/>
      <c r="JW8" s="174"/>
      <c r="JX8" s="174"/>
      <c r="JY8" s="174"/>
      <c r="JZ8" s="174"/>
      <c r="KA8" s="174"/>
      <c r="KB8" s="174"/>
      <c r="KC8" s="174"/>
      <c r="KD8" s="174"/>
      <c r="KE8" s="174"/>
      <c r="KF8" s="174"/>
      <c r="KG8" s="174"/>
      <c r="KH8" s="174"/>
      <c r="KI8" s="174"/>
      <c r="KJ8" s="174"/>
      <c r="KK8" s="174"/>
      <c r="KL8" s="174"/>
      <c r="KM8" s="174"/>
      <c r="KN8" s="174"/>
      <c r="KO8" s="174"/>
      <c r="KP8" s="174"/>
      <c r="KQ8" s="174"/>
      <c r="KR8" s="174"/>
      <c r="KS8" s="174"/>
      <c r="KT8" s="174"/>
      <c r="KU8" s="174"/>
      <c r="KV8" s="174"/>
      <c r="KW8" s="174"/>
      <c r="KX8" s="174"/>
      <c r="KY8" s="174"/>
      <c r="KZ8" s="174"/>
      <c r="LA8" s="174"/>
      <c r="LB8" s="174"/>
      <c r="LC8" s="174"/>
      <c r="LD8" s="174"/>
      <c r="LE8" s="174"/>
      <c r="LF8" s="174"/>
      <c r="LG8" s="174"/>
      <c r="LH8" s="174"/>
      <c r="LI8" s="174"/>
      <c r="LJ8" s="174"/>
      <c r="LK8" s="174"/>
      <c r="LL8" s="174"/>
      <c r="LM8" s="174"/>
      <c r="LN8" s="174"/>
      <c r="LO8" s="174"/>
      <c r="LP8" s="174"/>
      <c r="LQ8" s="174"/>
      <c r="LR8" s="174"/>
      <c r="LS8" s="174"/>
      <c r="LT8" s="174"/>
      <c r="LU8" s="174"/>
      <c r="LV8" s="174"/>
      <c r="LW8" s="174"/>
      <c r="LX8" s="174"/>
      <c r="LY8" s="174"/>
      <c r="LZ8" s="174"/>
      <c r="MA8" s="174"/>
      <c r="MB8" s="174"/>
      <c r="MC8" s="174"/>
      <c r="MD8" s="174"/>
      <c r="ME8" s="174"/>
      <c r="MF8" s="174"/>
      <c r="MG8" s="174"/>
      <c r="MH8" s="174"/>
      <c r="MI8" s="174"/>
      <c r="MJ8" s="174"/>
      <c r="MK8" s="174"/>
      <c r="ML8" s="174"/>
      <c r="MM8" s="174"/>
      <c r="MN8" s="174"/>
      <c r="MO8" s="174"/>
      <c r="MP8" s="174"/>
      <c r="MQ8" s="174"/>
      <c r="MR8" s="174"/>
      <c r="MS8" s="174"/>
      <c r="MT8" s="174"/>
      <c r="MU8" s="174"/>
      <c r="MV8" s="174"/>
      <c r="MW8" s="174"/>
      <c r="MX8" s="174"/>
      <c r="MY8" s="174"/>
      <c r="MZ8" s="174"/>
      <c r="NA8" s="174"/>
      <c r="NB8" s="174"/>
      <c r="NC8" s="174"/>
      <c r="ND8" s="174"/>
      <c r="NE8" s="174"/>
      <c r="NF8" s="174"/>
      <c r="NG8" s="174"/>
      <c r="NH8" s="174"/>
      <c r="NI8" s="174"/>
      <c r="NJ8" s="174"/>
      <c r="NK8" s="174"/>
      <c r="NL8" s="174"/>
      <c r="NM8" s="174"/>
      <c r="NN8" s="174"/>
      <c r="NO8" s="174"/>
      <c r="NP8" s="174"/>
      <c r="NQ8" s="174"/>
      <c r="NR8" s="174"/>
      <c r="NS8" s="174"/>
      <c r="NT8" s="174"/>
      <c r="NU8" s="174"/>
      <c r="NV8" s="174"/>
      <c r="NW8" s="174"/>
      <c r="NX8" s="174"/>
      <c r="NY8" s="174"/>
      <c r="NZ8" s="174"/>
      <c r="OA8" s="174"/>
      <c r="OB8" s="174"/>
      <c r="OC8" s="174"/>
      <c r="OD8" s="174"/>
      <c r="OE8" s="174"/>
      <c r="OF8" s="174"/>
      <c r="OG8" s="174"/>
      <c r="OH8" s="174"/>
      <c r="OI8" s="174"/>
      <c r="OJ8" s="174"/>
      <c r="OK8" s="174"/>
      <c r="OL8" s="174"/>
      <c r="OM8" s="174"/>
      <c r="ON8" s="174"/>
      <c r="OO8" s="174"/>
      <c r="OP8" s="174"/>
      <c r="OQ8" s="174"/>
      <c r="OR8" s="174"/>
      <c r="OS8" s="174"/>
      <c r="OT8" s="174"/>
      <c r="OU8" s="174"/>
      <c r="OV8" s="174"/>
      <c r="OW8" s="174"/>
      <c r="OX8" s="174"/>
      <c r="OY8" s="174"/>
      <c r="OZ8" s="174"/>
      <c r="PA8" s="174"/>
      <c r="PB8" s="174"/>
      <c r="PC8" s="174"/>
      <c r="PD8" s="174"/>
      <c r="PE8" s="174"/>
      <c r="PF8" s="174"/>
      <c r="PG8" s="174"/>
      <c r="PH8" s="174"/>
      <c r="PI8" s="174"/>
      <c r="PJ8" s="174"/>
      <c r="PK8" s="174"/>
      <c r="PL8" s="174"/>
      <c r="PM8" s="174"/>
      <c r="PN8" s="174"/>
      <c r="PO8" s="174"/>
      <c r="PP8" s="174"/>
      <c r="PQ8" s="174"/>
      <c r="PR8" s="174"/>
      <c r="PS8" s="174"/>
      <c r="PT8" s="174"/>
      <c r="PU8" s="174"/>
      <c r="PV8" s="174"/>
      <c r="PW8" s="174"/>
      <c r="PX8" s="174"/>
      <c r="PY8" s="174"/>
      <c r="PZ8" s="174"/>
      <c r="QA8" s="174"/>
      <c r="QB8" s="174"/>
      <c r="QC8" s="174"/>
      <c r="QD8" s="174"/>
      <c r="QE8" s="174"/>
      <c r="QF8" s="174"/>
      <c r="QG8" s="174"/>
      <c r="QH8" s="174"/>
      <c r="QI8" s="174"/>
      <c r="QJ8" s="174"/>
      <c r="QK8" s="174"/>
      <c r="QL8" s="174"/>
      <c r="QM8" s="174"/>
      <c r="QN8" s="174"/>
      <c r="QO8" s="174"/>
      <c r="QP8" s="174"/>
      <c r="QQ8" s="174"/>
      <c r="QR8" s="174"/>
      <c r="QS8" s="174"/>
      <c r="QT8" s="174"/>
      <c r="QU8" s="174"/>
      <c r="QV8" s="174"/>
      <c r="QW8" s="174"/>
      <c r="QX8" s="174"/>
      <c r="QY8" s="174"/>
      <c r="QZ8" s="174"/>
      <c r="RA8" s="174"/>
      <c r="RB8" s="174"/>
      <c r="RC8" s="174"/>
      <c r="RD8" s="174"/>
      <c r="RE8" s="174"/>
      <c r="RF8" s="174"/>
      <c r="RG8" s="174"/>
      <c r="RH8" s="174"/>
      <c r="RI8" s="174"/>
      <c r="RJ8" s="174"/>
      <c r="RK8" s="174"/>
      <c r="RL8" s="174"/>
      <c r="RM8" s="174"/>
      <c r="RN8" s="174"/>
      <c r="RO8" s="174"/>
      <c r="RP8" s="174"/>
      <c r="RQ8" s="174"/>
      <c r="RR8" s="174"/>
      <c r="RS8" s="174"/>
      <c r="RT8" s="174"/>
      <c r="RU8" s="174"/>
      <c r="RV8" s="174"/>
      <c r="RW8" s="174"/>
      <c r="RX8" s="174"/>
      <c r="RY8" s="174"/>
      <c r="RZ8" s="174"/>
      <c r="SA8" s="174"/>
      <c r="SB8" s="174"/>
      <c r="SC8" s="174"/>
      <c r="SD8" s="174"/>
      <c r="SE8" s="174"/>
      <c r="SF8" s="174"/>
      <c r="SG8" s="174"/>
      <c r="SH8" s="174"/>
      <c r="SI8" s="174"/>
      <c r="SJ8" s="174"/>
      <c r="SK8" s="174"/>
      <c r="SL8" s="174"/>
      <c r="SM8" s="174"/>
      <c r="SN8" s="174"/>
      <c r="SO8" s="174"/>
      <c r="SP8" s="174"/>
      <c r="SQ8" s="174"/>
      <c r="SR8" s="174"/>
      <c r="SS8" s="174"/>
      <c r="ST8" s="174"/>
      <c r="SU8" s="174"/>
      <c r="SV8" s="174"/>
      <c r="SW8" s="174"/>
      <c r="SX8" s="174"/>
      <c r="SY8" s="174"/>
      <c r="SZ8" s="174"/>
      <c r="TA8" s="174"/>
      <c r="TB8" s="174"/>
      <c r="TC8" s="174"/>
      <c r="TD8" s="174"/>
      <c r="TE8" s="174"/>
      <c r="TF8" s="174"/>
      <c r="TG8" s="174"/>
      <c r="TH8" s="174"/>
      <c r="TI8" s="174"/>
      <c r="TJ8" s="174"/>
      <c r="TK8" s="174"/>
      <c r="TL8" s="174"/>
      <c r="TM8" s="174"/>
      <c r="TN8" s="174"/>
      <c r="TO8" s="174"/>
      <c r="TP8" s="174"/>
      <c r="TQ8" s="174"/>
      <c r="TR8" s="174"/>
      <c r="TS8" s="174"/>
      <c r="TT8" s="174"/>
      <c r="TU8" s="174"/>
      <c r="TV8" s="174"/>
      <c r="TW8" s="174"/>
      <c r="TX8" s="174"/>
      <c r="TY8" s="174"/>
      <c r="TZ8" s="174"/>
      <c r="UA8" s="174"/>
      <c r="UB8" s="174"/>
      <c r="UC8" s="174"/>
      <c r="UD8" s="174"/>
      <c r="UE8" s="174"/>
      <c r="UF8" s="174"/>
      <c r="UG8" s="174"/>
      <c r="UH8" s="174"/>
      <c r="UI8" s="174"/>
      <c r="UJ8" s="174"/>
      <c r="UK8" s="174"/>
      <c r="UL8" s="174"/>
      <c r="UM8" s="174"/>
      <c r="UN8" s="174"/>
      <c r="UO8" s="174"/>
      <c r="UP8" s="174"/>
      <c r="UQ8" s="174"/>
      <c r="UR8" s="174"/>
      <c r="US8" s="174"/>
      <c r="UT8" s="174"/>
      <c r="UU8" s="174"/>
      <c r="UV8" s="174"/>
      <c r="UW8" s="174"/>
      <c r="UX8" s="174"/>
      <c r="UY8" s="174"/>
      <c r="UZ8" s="174"/>
      <c r="VA8" s="174"/>
      <c r="VB8" s="174"/>
      <c r="VC8" s="174"/>
      <c r="VD8" s="174"/>
      <c r="VE8" s="174"/>
      <c r="VF8" s="174"/>
      <c r="VG8" s="174"/>
      <c r="VH8" s="174"/>
      <c r="VI8" s="174"/>
      <c r="VJ8" s="174"/>
      <c r="VK8" s="174"/>
      <c r="VL8" s="174"/>
      <c r="VM8" s="174"/>
      <c r="VN8" s="174"/>
      <c r="VO8" s="174"/>
      <c r="VP8" s="174"/>
      <c r="VQ8" s="174"/>
      <c r="VR8" s="174"/>
      <c r="VS8" s="174"/>
      <c r="VT8" s="174"/>
      <c r="VU8" s="174"/>
      <c r="VV8" s="174"/>
      <c r="VW8" s="174"/>
      <c r="VX8" s="174"/>
      <c r="VY8" s="174"/>
      <c r="VZ8" s="174"/>
      <c r="WA8" s="174"/>
      <c r="WB8" s="174"/>
      <c r="WC8" s="174"/>
      <c r="WD8" s="174"/>
      <c r="WE8" s="174"/>
      <c r="WF8" s="174"/>
      <c r="WG8" s="174"/>
      <c r="WH8" s="174"/>
      <c r="WI8" s="174"/>
      <c r="WJ8" s="174"/>
      <c r="WK8" s="174"/>
      <c r="WL8" s="174"/>
      <c r="WM8" s="174"/>
      <c r="WN8" s="174"/>
      <c r="WO8" s="174"/>
      <c r="WP8" s="174"/>
      <c r="WQ8" s="174"/>
      <c r="WR8" s="174"/>
      <c r="WS8" s="174"/>
      <c r="WT8" s="174"/>
      <c r="WU8" s="174"/>
      <c r="WV8" s="174"/>
      <c r="WW8" s="174"/>
      <c r="WX8" s="174"/>
      <c r="WY8" s="174"/>
      <c r="WZ8" s="174"/>
      <c r="XA8" s="174"/>
      <c r="XB8" s="174"/>
      <c r="XC8" s="174"/>
      <c r="XD8" s="174"/>
      <c r="XE8" s="174"/>
      <c r="XF8" s="174"/>
      <c r="XG8" s="174"/>
      <c r="XH8" s="174"/>
      <c r="XI8" s="174"/>
      <c r="XJ8" s="174"/>
      <c r="XK8" s="174"/>
      <c r="XL8" s="174"/>
      <c r="XM8" s="174"/>
      <c r="XN8" s="174"/>
      <c r="XO8" s="174"/>
      <c r="XP8" s="174"/>
      <c r="XQ8" s="174"/>
      <c r="XR8" s="174"/>
      <c r="XS8" s="174"/>
      <c r="XT8" s="174"/>
      <c r="XU8" s="174"/>
      <c r="XV8" s="174"/>
      <c r="XW8" s="174"/>
      <c r="XX8" s="174"/>
      <c r="XY8" s="174"/>
      <c r="XZ8" s="174"/>
      <c r="YA8" s="174"/>
      <c r="YB8" s="174"/>
      <c r="YC8" s="174"/>
      <c r="YD8" s="174"/>
      <c r="YE8" s="174"/>
      <c r="YF8" s="174"/>
      <c r="YG8" s="174"/>
      <c r="YH8" s="174"/>
      <c r="YI8" s="174"/>
      <c r="YJ8" s="174"/>
      <c r="YK8" s="174"/>
      <c r="YL8" s="174"/>
      <c r="YM8" s="174"/>
      <c r="YN8" s="174"/>
      <c r="YO8" s="174"/>
      <c r="YP8" s="174"/>
      <c r="YQ8" s="174"/>
      <c r="YR8" s="174"/>
      <c r="YS8" s="174"/>
      <c r="YT8" s="174"/>
      <c r="YU8" s="174"/>
      <c r="YV8" s="174"/>
      <c r="YW8" s="174"/>
      <c r="YX8" s="174"/>
      <c r="YY8" s="174"/>
      <c r="YZ8" s="174"/>
      <c r="ZA8" s="174"/>
      <c r="ZB8" s="174"/>
      <c r="ZC8" s="174"/>
      <c r="ZD8" s="174"/>
      <c r="ZE8" s="174"/>
      <c r="ZF8" s="174"/>
      <c r="ZG8" s="174"/>
      <c r="ZH8" s="174"/>
      <c r="ZI8" s="174"/>
      <c r="ZJ8" s="174"/>
      <c r="ZK8" s="174"/>
      <c r="ZL8" s="174"/>
      <c r="ZM8" s="174"/>
      <c r="ZN8" s="174"/>
      <c r="ZO8" s="174"/>
      <c r="ZP8" s="174"/>
      <c r="ZQ8" s="174"/>
      <c r="ZR8" s="174"/>
      <c r="ZS8" s="174"/>
      <c r="ZT8" s="174"/>
      <c r="ZU8" s="174"/>
      <c r="ZV8" s="174"/>
      <c r="ZW8" s="174"/>
      <c r="ZX8" s="174"/>
      <c r="ZY8" s="174"/>
      <c r="ZZ8" s="174"/>
      <c r="AAA8" s="174"/>
      <c r="AAB8" s="174"/>
      <c r="AAC8" s="174"/>
      <c r="AAD8" s="174"/>
      <c r="AAE8" s="174"/>
      <c r="AAF8" s="174"/>
      <c r="AAG8" s="174"/>
      <c r="AAH8" s="174"/>
      <c r="AAI8" s="174"/>
      <c r="AAJ8" s="174"/>
      <c r="AAK8" s="174"/>
      <c r="AAL8" s="174"/>
      <c r="AAM8" s="174"/>
      <c r="AAN8" s="174"/>
      <c r="AAO8" s="174"/>
      <c r="AAP8" s="174"/>
      <c r="AAQ8" s="174"/>
      <c r="AAR8" s="174"/>
      <c r="AAS8" s="174"/>
      <c r="AAT8" s="174"/>
      <c r="AAU8" s="174"/>
      <c r="AAV8" s="174"/>
      <c r="AAW8" s="174"/>
      <c r="AAX8" s="174"/>
      <c r="AAY8" s="174"/>
      <c r="AAZ8" s="174"/>
      <c r="ABA8" s="174"/>
      <c r="ABB8" s="174"/>
      <c r="ABC8" s="174"/>
      <c r="ABD8" s="174"/>
      <c r="ABE8" s="174"/>
      <c r="ABF8" s="174"/>
      <c r="ABG8" s="174"/>
      <c r="ABH8" s="174"/>
      <c r="ABI8" s="174"/>
      <c r="ABJ8" s="174"/>
      <c r="ABK8" s="174"/>
      <c r="ABL8" s="174"/>
      <c r="ABM8" s="174"/>
      <c r="ABN8" s="174"/>
      <c r="ABO8" s="174"/>
      <c r="ABP8" s="174"/>
      <c r="ABQ8" s="174"/>
      <c r="ABR8" s="174"/>
      <c r="ABS8" s="174"/>
      <c r="ABT8" s="174"/>
      <c r="ABU8" s="174"/>
      <c r="ABV8" s="174"/>
      <c r="ABW8" s="174"/>
      <c r="ABX8" s="174"/>
      <c r="ABY8" s="174"/>
      <c r="ABZ8" s="174"/>
      <c r="ACA8" s="174"/>
      <c r="ACB8" s="174"/>
      <c r="ACC8" s="174"/>
      <c r="ACD8" s="174"/>
      <c r="ACE8" s="174"/>
      <c r="ACF8" s="174"/>
      <c r="ACG8" s="174"/>
      <c r="ACH8" s="174"/>
      <c r="ACI8" s="174"/>
      <c r="ACJ8" s="174"/>
      <c r="ACK8" s="174"/>
      <c r="ACL8" s="174"/>
      <c r="ACM8" s="174"/>
      <c r="ACN8" s="174"/>
      <c r="ACO8" s="174"/>
      <c r="ACP8" s="174"/>
      <c r="ACQ8" s="174"/>
      <c r="ACR8" s="174"/>
      <c r="ACS8" s="174"/>
      <c r="ACT8" s="174"/>
      <c r="ACU8" s="174"/>
      <c r="ACV8" s="174"/>
      <c r="ACW8" s="174"/>
      <c r="ACX8" s="174"/>
      <c r="ACY8" s="174"/>
      <c r="ACZ8" s="174"/>
      <c r="ADA8" s="174"/>
      <c r="ADB8" s="174"/>
      <c r="ADC8" s="174"/>
      <c r="ADD8" s="174"/>
      <c r="ADE8" s="174"/>
      <c r="ADF8" s="174"/>
      <c r="ADG8" s="174"/>
      <c r="ADH8" s="174"/>
      <c r="ADI8" s="174"/>
      <c r="ADJ8" s="174"/>
      <c r="ADK8" s="174"/>
      <c r="ADL8" s="174"/>
      <c r="ADM8" s="174"/>
      <c r="ADN8" s="174"/>
      <c r="ADO8" s="174"/>
      <c r="ADP8" s="174"/>
      <c r="ADQ8" s="174"/>
      <c r="ADR8" s="174"/>
      <c r="ADS8" s="174"/>
      <c r="ADT8" s="174"/>
      <c r="ADU8" s="174"/>
      <c r="ADV8" s="174"/>
      <c r="ADW8" s="174"/>
      <c r="ADX8" s="174"/>
      <c r="ADY8" s="174"/>
      <c r="ADZ8" s="174"/>
      <c r="AEA8" s="174"/>
      <c r="AEB8" s="174"/>
      <c r="AEC8" s="174"/>
      <c r="AED8" s="174"/>
      <c r="AEE8" s="174"/>
      <c r="AEF8" s="174"/>
      <c r="AEG8" s="174"/>
      <c r="AEH8" s="174"/>
      <c r="AEI8" s="174"/>
      <c r="AEJ8" s="174"/>
      <c r="AEK8" s="174"/>
      <c r="AEL8" s="174"/>
      <c r="AEM8" s="174"/>
      <c r="AEN8" s="174"/>
      <c r="AEO8" s="174"/>
      <c r="AEP8" s="174"/>
      <c r="AEQ8" s="174"/>
      <c r="AER8" s="174"/>
      <c r="AES8" s="174"/>
      <c r="AET8" s="174"/>
      <c r="AEU8" s="174"/>
      <c r="AEV8" s="174"/>
      <c r="AEW8" s="174"/>
      <c r="AEX8" s="174"/>
      <c r="AEY8" s="174"/>
      <c r="AEZ8" s="174"/>
      <c r="AFA8" s="174"/>
      <c r="AFB8" s="174"/>
      <c r="AFC8" s="174"/>
      <c r="AFD8" s="174"/>
      <c r="AFE8" s="174"/>
      <c r="AFF8" s="174"/>
      <c r="AFG8" s="174"/>
      <c r="AFH8" s="174"/>
      <c r="AFI8" s="174"/>
      <c r="AFJ8" s="174"/>
      <c r="AFK8" s="174"/>
      <c r="AFL8" s="174"/>
      <c r="AFM8" s="174"/>
      <c r="AFN8" s="174"/>
      <c r="AFO8" s="174"/>
      <c r="AFP8" s="174"/>
      <c r="AFQ8" s="174"/>
      <c r="AFR8" s="174"/>
      <c r="AFS8" s="174"/>
      <c r="AFT8" s="174"/>
      <c r="AFU8" s="174"/>
      <c r="AFV8" s="174"/>
      <c r="AFW8" s="174"/>
      <c r="AFX8" s="174"/>
      <c r="AFY8" s="174"/>
      <c r="AFZ8" s="174"/>
      <c r="AGA8" s="174"/>
      <c r="AGB8" s="174"/>
      <c r="AGC8" s="174"/>
      <c r="AGD8" s="174"/>
      <c r="AGE8" s="174"/>
      <c r="AGF8" s="174"/>
      <c r="AGG8" s="174"/>
      <c r="AGH8" s="174"/>
      <c r="AGI8" s="174"/>
      <c r="AGJ8" s="174"/>
      <c r="AGK8" s="174"/>
      <c r="AGL8" s="174"/>
      <c r="AGM8" s="174"/>
      <c r="AGN8" s="174"/>
      <c r="AGO8" s="174"/>
      <c r="AGP8" s="174"/>
      <c r="AGQ8" s="174"/>
      <c r="AGR8" s="174"/>
      <c r="AGS8" s="174"/>
      <c r="AGT8" s="174"/>
      <c r="AGU8" s="174"/>
      <c r="AGV8" s="174"/>
      <c r="AGW8" s="174"/>
      <c r="AGX8" s="174"/>
      <c r="AGY8" s="174"/>
      <c r="AGZ8" s="174"/>
      <c r="AHA8" s="174"/>
      <c r="AHB8" s="174"/>
      <c r="AHC8" s="174"/>
      <c r="AHD8" s="174"/>
      <c r="AHE8" s="174"/>
      <c r="AHF8" s="174"/>
      <c r="AHG8" s="174"/>
      <c r="AHH8" s="174"/>
      <c r="AHI8" s="174"/>
      <c r="AHJ8" s="174"/>
      <c r="AHK8" s="174"/>
      <c r="AHL8" s="174"/>
      <c r="AHM8" s="174"/>
      <c r="AHN8" s="174"/>
      <c r="AHO8" s="174"/>
      <c r="AHP8" s="174"/>
      <c r="AHQ8" s="174"/>
      <c r="AHR8" s="174"/>
      <c r="AHS8" s="174"/>
      <c r="AHT8" s="174"/>
      <c r="AHU8" s="174"/>
      <c r="AHV8" s="174"/>
      <c r="AHW8" s="174"/>
      <c r="AHX8" s="174"/>
      <c r="AHY8" s="174"/>
      <c r="AHZ8" s="174"/>
      <c r="AIA8" s="174"/>
      <c r="AIB8" s="174"/>
      <c r="AIC8" s="174"/>
      <c r="AID8" s="174"/>
      <c r="AIE8" s="174"/>
      <c r="AIF8" s="174"/>
      <c r="AIG8" s="174"/>
      <c r="AIH8" s="174"/>
      <c r="AII8" s="174"/>
      <c r="AIJ8" s="174"/>
      <c r="AIK8" s="174"/>
      <c r="AIL8" s="174"/>
      <c r="AIM8" s="174"/>
      <c r="AIN8" s="174"/>
      <c r="AIO8" s="174"/>
      <c r="AIP8" s="174"/>
      <c r="AIQ8" s="174"/>
      <c r="AIR8" s="174"/>
      <c r="AIS8" s="174"/>
      <c r="AIT8" s="174"/>
      <c r="AIU8" s="174"/>
      <c r="AIV8" s="174"/>
      <c r="AIW8" s="174"/>
      <c r="AIX8" s="174"/>
      <c r="AIY8" s="174"/>
      <c r="AIZ8" s="174"/>
      <c r="AJA8" s="174"/>
      <c r="AJB8" s="174"/>
      <c r="AJC8" s="174"/>
      <c r="AJD8" s="174"/>
      <c r="AJE8" s="174"/>
      <c r="AJF8" s="174"/>
      <c r="AJG8" s="174"/>
      <c r="AJH8" s="174"/>
      <c r="AJI8" s="174"/>
      <c r="AJJ8" s="174"/>
      <c r="AJK8" s="174"/>
      <c r="AJL8" s="174"/>
      <c r="AJM8" s="174"/>
      <c r="AJN8" s="174"/>
      <c r="AJO8" s="174"/>
      <c r="AJP8" s="174"/>
      <c r="AJQ8" s="174"/>
      <c r="AJR8" s="174"/>
      <c r="AJS8" s="174"/>
      <c r="AJT8" s="174"/>
      <c r="AJU8" s="174"/>
      <c r="AJV8" s="174"/>
      <c r="AJW8" s="174"/>
      <c r="AJX8" s="174"/>
      <c r="AJY8" s="174"/>
      <c r="AJZ8" s="174"/>
      <c r="AKA8" s="174"/>
      <c r="AKB8" s="174"/>
      <c r="AKC8" s="174"/>
      <c r="AKD8" s="174"/>
      <c r="AKE8" s="174"/>
      <c r="AKF8" s="174"/>
      <c r="AKG8" s="174"/>
      <c r="AKH8" s="174"/>
      <c r="AKI8" s="174"/>
      <c r="AKJ8" s="174"/>
      <c r="AKK8" s="174"/>
      <c r="AKL8" s="174"/>
      <c r="AKM8" s="174"/>
      <c r="AKN8" s="174"/>
      <c r="AKO8" s="174"/>
      <c r="AKP8" s="174"/>
      <c r="AKQ8" s="174"/>
      <c r="AKR8" s="174"/>
      <c r="AKS8" s="174"/>
      <c r="AKT8" s="174"/>
      <c r="AKU8" s="174"/>
      <c r="AKV8" s="174"/>
      <c r="AKW8" s="174"/>
      <c r="AKX8" s="174"/>
      <c r="AKY8" s="174"/>
      <c r="AKZ8" s="174"/>
      <c r="ALA8" s="174"/>
      <c r="ALB8" s="174"/>
      <c r="ALC8" s="174"/>
      <c r="ALD8" s="174"/>
      <c r="ALE8" s="174"/>
      <c r="ALF8" s="174"/>
      <c r="ALG8" s="174"/>
      <c r="ALH8" s="174"/>
      <c r="ALI8" s="174"/>
      <c r="ALJ8" s="174"/>
      <c r="ALK8" s="174"/>
      <c r="ALL8" s="174"/>
      <c r="ALM8" s="174"/>
      <c r="ALN8" s="174"/>
      <c r="ALO8" s="174"/>
      <c r="ALP8" s="174"/>
      <c r="ALQ8" s="174"/>
      <c r="ALR8" s="174"/>
      <c r="ALS8" s="174"/>
      <c r="ALT8" s="174"/>
      <c r="ALU8" s="174"/>
      <c r="ALV8" s="174"/>
      <c r="ALW8" s="174"/>
      <c r="ALX8" s="174"/>
      <c r="ALY8" s="174"/>
      <c r="ALZ8" s="174"/>
      <c r="AMA8" s="174"/>
      <c r="AMB8" s="174"/>
      <c r="AMC8" s="174"/>
      <c r="AMD8" s="174"/>
      <c r="AME8" s="174"/>
      <c r="AMF8" s="174"/>
      <c r="AMG8" s="174"/>
      <c r="AMH8" s="174"/>
      <c r="AMI8" s="174"/>
      <c r="AMJ8" s="174"/>
      <c r="AMK8" s="174"/>
      <c r="AML8" s="174"/>
      <c r="AMM8" s="174"/>
      <c r="AMN8" s="174"/>
      <c r="AMO8" s="174"/>
      <c r="AMP8" s="174"/>
      <c r="AMQ8" s="174"/>
      <c r="AMR8" s="174"/>
      <c r="AMS8" s="174"/>
      <c r="AMT8" s="174"/>
      <c r="AMU8" s="174"/>
      <c r="AMV8" s="174"/>
      <c r="AMW8" s="174"/>
      <c r="AMX8" s="174"/>
      <c r="AMY8" s="174"/>
      <c r="AMZ8" s="174"/>
      <c r="ANA8" s="174"/>
      <c r="ANB8" s="174"/>
      <c r="ANC8" s="174"/>
      <c r="AND8" s="174"/>
      <c r="ANE8" s="174"/>
      <c r="ANF8" s="174"/>
      <c r="ANG8" s="174"/>
      <c r="ANH8" s="174"/>
      <c r="ANI8" s="174"/>
      <c r="ANJ8" s="174"/>
      <c r="ANK8" s="174"/>
      <c r="ANL8" s="174"/>
      <c r="ANM8" s="174"/>
      <c r="ANN8" s="174"/>
      <c r="ANO8" s="174"/>
      <c r="ANP8" s="174"/>
      <c r="ANQ8" s="174"/>
      <c r="ANR8" s="174"/>
      <c r="ANS8" s="174"/>
      <c r="ANT8" s="174"/>
      <c r="ANU8" s="174"/>
      <c r="ANV8" s="174"/>
      <c r="ANW8" s="174"/>
      <c r="ANX8" s="174"/>
      <c r="ANY8" s="174"/>
      <c r="ANZ8" s="174"/>
      <c r="AOA8" s="174"/>
      <c r="AOB8" s="174"/>
      <c r="AOC8" s="174"/>
      <c r="AOD8" s="174"/>
      <c r="AOE8" s="174"/>
      <c r="AOF8" s="174"/>
      <c r="AOG8" s="174"/>
      <c r="AOH8" s="174"/>
      <c r="AOI8" s="174"/>
      <c r="AOJ8" s="174"/>
      <c r="AOK8" s="174"/>
      <c r="AOL8" s="174"/>
      <c r="AOM8" s="174"/>
      <c r="AON8" s="174"/>
      <c r="AOO8" s="174"/>
      <c r="AOP8" s="174"/>
      <c r="AOQ8" s="174"/>
      <c r="AOR8" s="174"/>
      <c r="AOS8" s="174"/>
      <c r="AOT8" s="174"/>
      <c r="AOU8" s="174"/>
      <c r="AOV8" s="174"/>
      <c r="AOW8" s="174"/>
      <c r="AOX8" s="174"/>
      <c r="AOY8" s="174"/>
      <c r="AOZ8" s="174"/>
      <c r="APA8" s="174"/>
      <c r="APB8" s="174"/>
      <c r="APC8" s="174"/>
      <c r="APD8" s="174"/>
      <c r="APE8" s="174"/>
      <c r="APF8" s="174"/>
      <c r="APG8" s="174"/>
      <c r="APH8" s="174"/>
      <c r="API8" s="174"/>
      <c r="APJ8" s="174"/>
      <c r="APK8" s="174"/>
      <c r="APL8" s="174"/>
      <c r="APM8" s="174"/>
      <c r="APN8" s="174"/>
      <c r="APO8" s="174"/>
      <c r="APP8" s="174"/>
      <c r="APQ8" s="174"/>
      <c r="APR8" s="174"/>
      <c r="APS8" s="174"/>
      <c r="APT8" s="174"/>
      <c r="APU8" s="174"/>
      <c r="APV8" s="174"/>
      <c r="APW8" s="174"/>
      <c r="APX8" s="174"/>
      <c r="APY8" s="174"/>
      <c r="APZ8" s="174"/>
      <c r="AQA8" s="174"/>
      <c r="AQB8" s="174"/>
      <c r="AQC8" s="174"/>
      <c r="AQD8" s="174"/>
      <c r="AQE8" s="174"/>
      <c r="AQF8" s="174"/>
      <c r="AQG8" s="174"/>
      <c r="AQH8" s="174"/>
      <c r="AQI8" s="174"/>
      <c r="AQJ8" s="174"/>
      <c r="AQK8" s="174"/>
      <c r="AQL8" s="174"/>
      <c r="AQM8" s="174"/>
      <c r="AQN8" s="174"/>
      <c r="AQO8" s="174"/>
      <c r="AQP8" s="174"/>
      <c r="AQQ8" s="174"/>
      <c r="AQR8" s="174"/>
      <c r="AQS8" s="174"/>
      <c r="AQT8" s="174"/>
      <c r="AQU8" s="174"/>
      <c r="AQV8" s="174"/>
      <c r="AQW8" s="174"/>
      <c r="AQX8" s="174"/>
      <c r="AQY8" s="174"/>
      <c r="AQZ8" s="174"/>
      <c r="ARA8" s="174"/>
      <c r="ARB8" s="174"/>
      <c r="ARC8" s="174"/>
      <c r="ARD8" s="174"/>
      <c r="ARE8" s="174"/>
      <c r="ARF8" s="174"/>
      <c r="ARG8" s="174"/>
      <c r="ARH8" s="174"/>
      <c r="ARI8" s="174"/>
      <c r="ARJ8" s="174"/>
      <c r="ARK8" s="174"/>
      <c r="ARL8" s="174"/>
      <c r="ARM8" s="174"/>
      <c r="ARN8" s="174"/>
      <c r="ARO8" s="174"/>
      <c r="ARP8" s="174"/>
      <c r="ARQ8" s="174"/>
      <c r="ARR8" s="174"/>
      <c r="ARS8" s="174"/>
      <c r="ART8" s="174"/>
      <c r="ARU8" s="174"/>
      <c r="ARV8" s="174"/>
      <c r="ARW8" s="174"/>
      <c r="ARX8" s="174"/>
      <c r="ARY8" s="174"/>
      <c r="ARZ8" s="174"/>
      <c r="ASA8" s="174"/>
      <c r="ASB8" s="174"/>
      <c r="ASC8" s="174"/>
      <c r="ASD8" s="174"/>
      <c r="ASE8" s="174"/>
      <c r="ASF8" s="174"/>
      <c r="ASG8" s="174"/>
      <c r="ASH8" s="174"/>
      <c r="ASI8" s="174"/>
      <c r="ASJ8" s="174"/>
      <c r="ASK8" s="174"/>
      <c r="ASL8" s="174"/>
      <c r="ASM8" s="174"/>
      <c r="ASN8" s="174"/>
      <c r="ASO8" s="174"/>
      <c r="ASP8" s="174"/>
      <c r="ASQ8" s="174"/>
      <c r="ASR8" s="174"/>
      <c r="ASS8" s="174"/>
      <c r="AST8" s="174"/>
      <c r="ASU8" s="174"/>
      <c r="ASV8" s="174"/>
      <c r="ASW8" s="174"/>
      <c r="ASX8" s="174"/>
      <c r="ASY8" s="174"/>
      <c r="ASZ8" s="174"/>
      <c r="ATA8" s="174"/>
      <c r="ATB8" s="174"/>
      <c r="ATC8" s="174"/>
      <c r="ATD8" s="174"/>
      <c r="ATE8" s="174"/>
      <c r="ATF8" s="174"/>
      <c r="ATG8" s="174"/>
      <c r="ATH8" s="174"/>
      <c r="ATI8" s="174"/>
      <c r="ATJ8" s="174"/>
      <c r="ATK8" s="174"/>
      <c r="ATL8" s="174"/>
      <c r="ATM8" s="174"/>
      <c r="ATN8" s="174"/>
      <c r="ATO8" s="174"/>
      <c r="ATP8" s="174"/>
      <c r="ATQ8" s="174"/>
      <c r="ATR8" s="174"/>
      <c r="ATS8" s="174"/>
      <c r="ATT8" s="174"/>
      <c r="ATU8" s="174"/>
      <c r="ATV8" s="174"/>
      <c r="ATW8" s="174"/>
      <c r="ATX8" s="174"/>
      <c r="ATY8" s="174"/>
      <c r="ATZ8" s="174"/>
      <c r="AUA8" s="174"/>
      <c r="AUB8" s="174"/>
      <c r="AUC8" s="174"/>
      <c r="AUD8" s="174"/>
      <c r="AUE8" s="174"/>
      <c r="AUF8" s="174"/>
      <c r="AUG8" s="174"/>
      <c r="AUH8" s="174"/>
      <c r="AUI8" s="174"/>
      <c r="AUJ8" s="174"/>
      <c r="AUK8" s="174"/>
      <c r="AUL8" s="174"/>
      <c r="AUM8" s="174"/>
      <c r="AUN8" s="174"/>
      <c r="AUO8" s="174"/>
      <c r="AUP8" s="174"/>
      <c r="AUQ8" s="174"/>
      <c r="AUR8" s="174"/>
      <c r="AUS8" s="174"/>
      <c r="AUT8" s="174"/>
      <c r="AUU8" s="174"/>
      <c r="AUV8" s="174"/>
      <c r="AUW8" s="174"/>
      <c r="AUX8" s="174"/>
      <c r="AUY8" s="174"/>
      <c r="AUZ8" s="174"/>
      <c r="AVA8" s="174"/>
      <c r="AVB8" s="174"/>
      <c r="AVC8" s="174"/>
      <c r="AVD8" s="174"/>
      <c r="AVE8" s="174"/>
      <c r="AVF8" s="174"/>
      <c r="AVG8" s="174"/>
      <c r="AVH8" s="174"/>
      <c r="AVI8" s="174"/>
      <c r="AVJ8" s="174"/>
      <c r="AVK8" s="174"/>
      <c r="AVL8" s="174"/>
      <c r="AVM8" s="174"/>
      <c r="AVN8" s="174"/>
      <c r="AVO8" s="174"/>
      <c r="AVP8" s="174"/>
      <c r="AVQ8" s="174"/>
      <c r="AVR8" s="174"/>
      <c r="AVS8" s="174"/>
      <c r="AVT8" s="174"/>
      <c r="AVU8" s="174"/>
      <c r="AVV8" s="174"/>
      <c r="AVW8" s="174"/>
      <c r="AVX8" s="174"/>
      <c r="AVY8" s="174"/>
      <c r="AVZ8" s="174"/>
      <c r="AWA8" s="174"/>
      <c r="AWB8" s="174"/>
      <c r="AWC8" s="174"/>
      <c r="AWD8" s="174"/>
      <c r="AWE8" s="174"/>
      <c r="AWF8" s="174"/>
      <c r="AWG8" s="174"/>
      <c r="AWH8" s="174"/>
      <c r="AWI8" s="174"/>
      <c r="AWJ8" s="174"/>
      <c r="AWK8" s="174"/>
      <c r="AWL8" s="174"/>
      <c r="AWM8" s="174"/>
      <c r="AWN8" s="174"/>
      <c r="AWO8" s="174"/>
      <c r="AWP8" s="174"/>
      <c r="AWQ8" s="174"/>
      <c r="AWR8" s="174"/>
      <c r="AWS8" s="174"/>
      <c r="AWT8" s="174"/>
      <c r="AWU8" s="174"/>
      <c r="AWV8" s="174"/>
      <c r="AWW8" s="174"/>
      <c r="AWX8" s="174"/>
      <c r="AWY8" s="174"/>
      <c r="AWZ8" s="174"/>
      <c r="AXA8" s="174"/>
      <c r="AXB8" s="174"/>
      <c r="AXC8" s="174"/>
      <c r="AXD8" s="174"/>
      <c r="AXE8" s="174"/>
      <c r="AXF8" s="174"/>
      <c r="AXG8" s="174"/>
      <c r="AXH8" s="174"/>
      <c r="AXI8" s="174"/>
      <c r="AXJ8" s="174"/>
      <c r="AXK8" s="174"/>
      <c r="AXL8" s="174"/>
      <c r="AXM8" s="174"/>
      <c r="AXN8" s="174"/>
      <c r="AXO8" s="174"/>
      <c r="AXP8" s="174"/>
      <c r="AXQ8" s="174"/>
      <c r="AXR8" s="174"/>
      <c r="AXS8" s="174"/>
      <c r="AXT8" s="174"/>
      <c r="AXU8" s="174"/>
      <c r="AXV8" s="174"/>
      <c r="AXW8" s="174"/>
      <c r="AXX8" s="174"/>
      <c r="AXY8" s="174"/>
      <c r="AXZ8" s="174"/>
      <c r="AYA8" s="174"/>
      <c r="AYB8" s="174"/>
      <c r="AYC8" s="174"/>
      <c r="AYD8" s="174"/>
      <c r="AYE8" s="174"/>
      <c r="AYF8" s="174"/>
      <c r="AYG8" s="174"/>
      <c r="AYH8" s="174"/>
      <c r="AYI8" s="174"/>
      <c r="AYJ8" s="174"/>
      <c r="AYK8" s="174"/>
      <c r="AYL8" s="174"/>
      <c r="AYM8" s="174"/>
      <c r="AYN8" s="174"/>
      <c r="AYO8" s="174"/>
      <c r="AYP8" s="174"/>
      <c r="AYQ8" s="174"/>
      <c r="AYR8" s="174"/>
      <c r="AYS8" s="174"/>
      <c r="AYT8" s="174"/>
      <c r="AYU8" s="174"/>
      <c r="AYV8" s="174"/>
      <c r="AYW8" s="174"/>
      <c r="AYX8" s="174"/>
      <c r="AYY8" s="174"/>
      <c r="AYZ8" s="174"/>
      <c r="AZA8" s="174"/>
      <c r="AZB8" s="174"/>
      <c r="AZC8" s="174"/>
      <c r="AZD8" s="174"/>
      <c r="AZE8" s="174"/>
      <c r="AZF8" s="174"/>
      <c r="AZG8" s="174"/>
      <c r="AZH8" s="174"/>
      <c r="AZI8" s="174"/>
      <c r="AZJ8" s="174"/>
      <c r="AZK8" s="174"/>
      <c r="AZL8" s="174"/>
      <c r="AZM8" s="174"/>
      <c r="AZN8" s="174"/>
      <c r="AZO8" s="174"/>
      <c r="AZP8" s="174"/>
      <c r="AZQ8" s="174"/>
      <c r="AZR8" s="174"/>
      <c r="AZS8" s="174"/>
      <c r="AZT8" s="174"/>
      <c r="AZU8" s="174"/>
      <c r="AZV8" s="174"/>
      <c r="AZW8" s="174"/>
      <c r="AZX8" s="174"/>
      <c r="AZY8" s="174"/>
      <c r="AZZ8" s="174"/>
      <c r="BAA8" s="174"/>
      <c r="BAB8" s="174"/>
      <c r="BAC8" s="174"/>
      <c r="BAD8" s="174"/>
      <c r="BAE8" s="174"/>
      <c r="BAF8" s="174"/>
      <c r="BAG8" s="174"/>
      <c r="BAH8" s="174"/>
      <c r="BAI8" s="174"/>
      <c r="BAJ8" s="174"/>
      <c r="BAK8" s="174"/>
      <c r="BAL8" s="174"/>
      <c r="BAM8" s="174"/>
      <c r="BAN8" s="174"/>
      <c r="BAO8" s="174"/>
      <c r="BAP8" s="174"/>
      <c r="BAQ8" s="174"/>
      <c r="BAR8" s="174"/>
      <c r="BAS8" s="174"/>
      <c r="BAT8" s="174"/>
      <c r="BAU8" s="174"/>
      <c r="BAV8" s="174"/>
      <c r="BAW8" s="174"/>
      <c r="BAX8" s="174"/>
      <c r="BAY8" s="174"/>
      <c r="BAZ8" s="174"/>
      <c r="BBA8" s="174"/>
      <c r="BBB8" s="174"/>
      <c r="BBC8" s="174"/>
      <c r="BBD8" s="174"/>
      <c r="BBE8" s="174"/>
      <c r="BBF8" s="174"/>
      <c r="BBG8" s="174"/>
      <c r="BBH8" s="174"/>
      <c r="BBI8" s="174"/>
      <c r="BBJ8" s="174"/>
      <c r="BBK8" s="174"/>
      <c r="BBL8" s="174"/>
      <c r="BBM8" s="174"/>
      <c r="BBN8" s="174"/>
      <c r="BBO8" s="174"/>
      <c r="BBP8" s="174"/>
      <c r="BBQ8" s="174"/>
      <c r="BBR8" s="174"/>
      <c r="BBS8" s="174"/>
      <c r="BBT8" s="174"/>
      <c r="BBU8" s="174"/>
      <c r="BBV8" s="174"/>
      <c r="BBW8" s="174"/>
      <c r="BBX8" s="174"/>
      <c r="BBY8" s="174"/>
      <c r="BBZ8" s="174"/>
      <c r="BCA8" s="174"/>
      <c r="BCB8" s="174"/>
      <c r="BCC8" s="174"/>
      <c r="BCD8" s="174"/>
      <c r="BCE8" s="174"/>
      <c r="BCF8" s="174"/>
      <c r="BCG8" s="174"/>
      <c r="BCH8" s="174"/>
      <c r="BCI8" s="174"/>
      <c r="BCJ8" s="174"/>
      <c r="BCK8" s="174"/>
      <c r="BCL8" s="174"/>
      <c r="BCM8" s="174"/>
      <c r="BCN8" s="174"/>
      <c r="BCO8" s="174"/>
      <c r="BCP8" s="174"/>
      <c r="BCQ8" s="174"/>
      <c r="BCR8" s="174"/>
      <c r="BCS8" s="174"/>
      <c r="BCT8" s="174"/>
      <c r="BCU8" s="174"/>
      <c r="BCV8" s="174"/>
      <c r="BCW8" s="174"/>
      <c r="BCX8" s="174"/>
      <c r="BCY8" s="174"/>
      <c r="BCZ8" s="174"/>
      <c r="BDA8" s="174"/>
      <c r="BDB8" s="174"/>
      <c r="BDC8" s="174"/>
      <c r="BDD8" s="174"/>
    </row>
    <row r="9" spans="1:1460" ht="9.9499999999999993" customHeight="1">
      <c r="A9" s="174"/>
      <c r="B9" s="1"/>
      <c r="C9" s="174"/>
      <c r="D9" s="174"/>
      <c r="E9" s="207"/>
      <c r="F9" s="208"/>
      <c r="G9" s="208"/>
      <c r="H9" s="208"/>
      <c r="I9" s="208"/>
      <c r="J9" s="208"/>
      <c r="K9" s="208"/>
      <c r="L9" s="208"/>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2"/>
      <c r="BG9" s="174"/>
      <c r="BH9" s="174"/>
      <c r="BI9" s="177"/>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c r="GK9" s="174"/>
      <c r="GL9" s="174"/>
      <c r="GM9" s="174"/>
      <c r="GN9" s="174"/>
      <c r="GO9" s="174"/>
      <c r="GP9" s="174"/>
      <c r="GQ9" s="174"/>
      <c r="GR9" s="174"/>
      <c r="GS9" s="174"/>
      <c r="GT9" s="174"/>
      <c r="GU9" s="174"/>
      <c r="GV9" s="174"/>
      <c r="GW9" s="174"/>
      <c r="GX9" s="174"/>
      <c r="GY9" s="174"/>
      <c r="GZ9" s="174"/>
      <c r="HA9" s="174"/>
      <c r="HB9" s="174"/>
      <c r="HC9" s="174"/>
      <c r="HD9" s="174"/>
      <c r="HE9" s="174"/>
      <c r="HF9" s="174"/>
      <c r="HG9" s="174"/>
      <c r="HH9" s="174"/>
      <c r="HI9" s="174"/>
      <c r="HJ9" s="174"/>
      <c r="HK9" s="174"/>
      <c r="HL9" s="174"/>
      <c r="HM9" s="174"/>
      <c r="HN9" s="174"/>
      <c r="HO9" s="174"/>
      <c r="HP9" s="174"/>
      <c r="HQ9" s="174"/>
      <c r="HR9" s="174"/>
      <c r="HS9" s="174"/>
      <c r="HT9" s="174"/>
      <c r="HU9" s="174"/>
      <c r="HV9" s="174"/>
      <c r="HW9" s="174"/>
      <c r="HX9" s="174"/>
      <c r="HY9" s="174"/>
      <c r="HZ9" s="174"/>
      <c r="IA9" s="174"/>
      <c r="IB9" s="174"/>
      <c r="IC9" s="174"/>
      <c r="ID9" s="174"/>
      <c r="IE9" s="174"/>
      <c r="IF9" s="174"/>
      <c r="IG9" s="174"/>
      <c r="IH9" s="174"/>
      <c r="II9" s="174"/>
      <c r="IJ9" s="174"/>
      <c r="IK9" s="174"/>
      <c r="IL9" s="174"/>
      <c r="IM9" s="174"/>
      <c r="IN9" s="174"/>
      <c r="IO9" s="174"/>
      <c r="IP9" s="174"/>
      <c r="IQ9" s="174"/>
      <c r="IR9" s="174"/>
      <c r="IS9" s="174"/>
      <c r="IT9" s="174"/>
      <c r="IU9" s="174"/>
      <c r="IV9" s="174"/>
      <c r="IW9" s="174"/>
      <c r="IX9" s="174"/>
      <c r="IY9" s="174"/>
      <c r="IZ9" s="174"/>
      <c r="JA9" s="174"/>
      <c r="JB9" s="174"/>
      <c r="JC9" s="174"/>
      <c r="JD9" s="174"/>
      <c r="JE9" s="174"/>
      <c r="JF9" s="174"/>
      <c r="JG9" s="174"/>
      <c r="JH9" s="174"/>
      <c r="JI9" s="174"/>
      <c r="JJ9" s="174"/>
      <c r="JK9" s="174"/>
      <c r="JL9" s="174"/>
      <c r="JM9" s="174"/>
      <c r="JN9" s="174"/>
      <c r="JO9" s="174"/>
      <c r="JP9" s="174"/>
      <c r="JQ9" s="174"/>
      <c r="JR9" s="174"/>
      <c r="JS9" s="174"/>
      <c r="JT9" s="174"/>
      <c r="JU9" s="174"/>
      <c r="JV9" s="174"/>
      <c r="JW9" s="174"/>
      <c r="JX9" s="174"/>
      <c r="JY9" s="174"/>
      <c r="JZ9" s="174"/>
      <c r="KA9" s="174"/>
      <c r="KB9" s="174"/>
      <c r="KC9" s="174"/>
      <c r="KD9" s="174"/>
      <c r="KE9" s="174"/>
      <c r="KF9" s="174"/>
      <c r="KG9" s="174"/>
      <c r="KH9" s="174"/>
      <c r="KI9" s="174"/>
      <c r="KJ9" s="174"/>
      <c r="KK9" s="174"/>
      <c r="KL9" s="174"/>
      <c r="KM9" s="174"/>
      <c r="KN9" s="174"/>
      <c r="KO9" s="174"/>
      <c r="KP9" s="174"/>
      <c r="KQ9" s="174"/>
      <c r="KR9" s="174"/>
      <c r="KS9" s="174"/>
      <c r="KT9" s="174"/>
      <c r="KU9" s="174"/>
      <c r="KV9" s="174"/>
      <c r="KW9" s="174"/>
      <c r="KX9" s="174"/>
      <c r="KY9" s="174"/>
      <c r="KZ9" s="174"/>
      <c r="LA9" s="174"/>
      <c r="LB9" s="174"/>
      <c r="LC9" s="174"/>
      <c r="LD9" s="174"/>
      <c r="LE9" s="174"/>
      <c r="LF9" s="174"/>
      <c r="LG9" s="174"/>
      <c r="LH9" s="174"/>
      <c r="LI9" s="174"/>
      <c r="LJ9" s="174"/>
      <c r="LK9" s="174"/>
      <c r="LL9" s="174"/>
      <c r="LM9" s="174"/>
      <c r="LN9" s="174"/>
      <c r="LO9" s="174"/>
      <c r="LP9" s="174"/>
      <c r="LQ9" s="174"/>
      <c r="LR9" s="174"/>
      <c r="LS9" s="174"/>
      <c r="LT9" s="174"/>
      <c r="LU9" s="174"/>
      <c r="LV9" s="174"/>
      <c r="LW9" s="174"/>
      <c r="LX9" s="174"/>
      <c r="LY9" s="174"/>
      <c r="LZ9" s="174"/>
      <c r="MA9" s="174"/>
      <c r="MB9" s="174"/>
      <c r="MC9" s="174"/>
      <c r="MD9" s="174"/>
      <c r="ME9" s="174"/>
      <c r="MF9" s="174"/>
      <c r="MG9" s="174"/>
      <c r="MH9" s="174"/>
      <c r="MI9" s="174"/>
      <c r="MJ9" s="174"/>
      <c r="MK9" s="174"/>
      <c r="ML9" s="174"/>
      <c r="MM9" s="174"/>
      <c r="MN9" s="174"/>
      <c r="MO9" s="174"/>
      <c r="MP9" s="174"/>
      <c r="MQ9" s="174"/>
      <c r="MR9" s="174"/>
      <c r="MS9" s="174"/>
      <c r="MT9" s="174"/>
      <c r="MU9" s="174"/>
      <c r="MV9" s="174"/>
      <c r="MW9" s="174"/>
      <c r="MX9" s="174"/>
      <c r="MY9" s="174"/>
      <c r="MZ9" s="174"/>
      <c r="NA9" s="174"/>
      <c r="NB9" s="174"/>
      <c r="NC9" s="174"/>
      <c r="ND9" s="174"/>
      <c r="NE9" s="174"/>
      <c r="NF9" s="174"/>
      <c r="NG9" s="174"/>
      <c r="NH9" s="174"/>
      <c r="NI9" s="174"/>
      <c r="NJ9" s="174"/>
      <c r="NK9" s="174"/>
      <c r="NL9" s="174"/>
      <c r="NM9" s="174"/>
      <c r="NN9" s="174"/>
      <c r="NO9" s="174"/>
      <c r="NP9" s="174"/>
      <c r="NQ9" s="174"/>
      <c r="NR9" s="174"/>
      <c r="NS9" s="174"/>
      <c r="NT9" s="174"/>
      <c r="NU9" s="174"/>
      <c r="NV9" s="174"/>
      <c r="NW9" s="174"/>
      <c r="NX9" s="174"/>
      <c r="NY9" s="174"/>
      <c r="NZ9" s="174"/>
      <c r="OA9" s="174"/>
      <c r="OB9" s="174"/>
      <c r="OC9" s="174"/>
      <c r="OD9" s="174"/>
      <c r="OE9" s="174"/>
      <c r="OF9" s="174"/>
      <c r="OG9" s="174"/>
      <c r="OH9" s="174"/>
      <c r="OI9" s="174"/>
      <c r="OJ9" s="174"/>
      <c r="OK9" s="174"/>
      <c r="OL9" s="174"/>
      <c r="OM9" s="174"/>
      <c r="ON9" s="174"/>
      <c r="OO9" s="174"/>
      <c r="OP9" s="174"/>
      <c r="OQ9" s="174"/>
      <c r="OR9" s="174"/>
      <c r="OS9" s="174"/>
      <c r="OT9" s="174"/>
      <c r="OU9" s="174"/>
      <c r="OV9" s="174"/>
      <c r="OW9" s="174"/>
      <c r="OX9" s="174"/>
      <c r="OY9" s="174"/>
      <c r="OZ9" s="174"/>
      <c r="PA9" s="174"/>
      <c r="PB9" s="174"/>
      <c r="PC9" s="174"/>
      <c r="PD9" s="174"/>
      <c r="PE9" s="174"/>
      <c r="PF9" s="174"/>
      <c r="PG9" s="174"/>
      <c r="PH9" s="174"/>
      <c r="PI9" s="174"/>
      <c r="PJ9" s="174"/>
      <c r="PK9" s="174"/>
      <c r="PL9" s="174"/>
      <c r="PM9" s="174"/>
      <c r="PN9" s="174"/>
      <c r="PO9" s="174"/>
      <c r="PP9" s="174"/>
      <c r="PQ9" s="174"/>
      <c r="PR9" s="174"/>
      <c r="PS9" s="174"/>
      <c r="PT9" s="174"/>
      <c r="PU9" s="174"/>
      <c r="PV9" s="174"/>
      <c r="PW9" s="174"/>
      <c r="PX9" s="174"/>
      <c r="PY9" s="174"/>
      <c r="PZ9" s="174"/>
      <c r="QA9" s="174"/>
      <c r="QB9" s="174"/>
      <c r="QC9" s="174"/>
      <c r="QD9" s="174"/>
      <c r="QE9" s="174"/>
      <c r="QF9" s="174"/>
      <c r="QG9" s="174"/>
      <c r="QH9" s="174"/>
      <c r="QI9" s="174"/>
      <c r="QJ9" s="174"/>
      <c r="QK9" s="174"/>
      <c r="QL9" s="174"/>
      <c r="QM9" s="174"/>
      <c r="QN9" s="174"/>
      <c r="QO9" s="174"/>
      <c r="QP9" s="174"/>
      <c r="QQ9" s="174"/>
      <c r="QR9" s="174"/>
      <c r="QS9" s="174"/>
      <c r="QT9" s="174"/>
      <c r="QU9" s="174"/>
      <c r="QV9" s="174"/>
      <c r="QW9" s="174"/>
      <c r="QX9" s="174"/>
      <c r="QY9" s="174"/>
      <c r="QZ9" s="174"/>
      <c r="RA9" s="174"/>
      <c r="RB9" s="174"/>
      <c r="RC9" s="174"/>
      <c r="RD9" s="174"/>
      <c r="RE9" s="174"/>
      <c r="RF9" s="174"/>
      <c r="RG9" s="174"/>
      <c r="RH9" s="174"/>
      <c r="RI9" s="174"/>
      <c r="RJ9" s="174"/>
      <c r="RK9" s="174"/>
      <c r="RL9" s="174"/>
      <c r="RM9" s="174"/>
      <c r="RN9" s="174"/>
      <c r="RO9" s="174"/>
      <c r="RP9" s="174"/>
      <c r="RQ9" s="174"/>
      <c r="RR9" s="174"/>
      <c r="RS9" s="174"/>
      <c r="RT9" s="174"/>
      <c r="RU9" s="174"/>
      <c r="RV9" s="174"/>
      <c r="RW9" s="174"/>
      <c r="RX9" s="174"/>
      <c r="RY9" s="174"/>
      <c r="RZ9" s="174"/>
      <c r="SA9" s="174"/>
      <c r="SB9" s="174"/>
      <c r="SC9" s="174"/>
      <c r="SD9" s="174"/>
      <c r="SE9" s="174"/>
      <c r="SF9" s="174"/>
      <c r="SG9" s="174"/>
      <c r="SH9" s="174"/>
      <c r="SI9" s="174"/>
      <c r="SJ9" s="174"/>
      <c r="SK9" s="174"/>
      <c r="SL9" s="174"/>
      <c r="SM9" s="174"/>
      <c r="SN9" s="174"/>
      <c r="SO9" s="174"/>
      <c r="SP9" s="174"/>
      <c r="SQ9" s="174"/>
      <c r="SR9" s="174"/>
      <c r="SS9" s="174"/>
      <c r="ST9" s="174"/>
      <c r="SU9" s="174"/>
      <c r="SV9" s="174"/>
      <c r="SW9" s="174"/>
      <c r="SX9" s="174"/>
      <c r="SY9" s="174"/>
      <c r="SZ9" s="174"/>
      <c r="TA9" s="174"/>
      <c r="TB9" s="174"/>
      <c r="TC9" s="174"/>
      <c r="TD9" s="174"/>
      <c r="TE9" s="174"/>
      <c r="TF9" s="174"/>
      <c r="TG9" s="174"/>
      <c r="TH9" s="174"/>
      <c r="TI9" s="174"/>
      <c r="TJ9" s="174"/>
      <c r="TK9" s="174"/>
      <c r="TL9" s="174"/>
      <c r="TM9" s="174"/>
      <c r="TN9" s="174"/>
      <c r="TO9" s="174"/>
      <c r="TP9" s="174"/>
      <c r="TQ9" s="174"/>
      <c r="TR9" s="174"/>
      <c r="TS9" s="174"/>
      <c r="TT9" s="174"/>
      <c r="TU9" s="174"/>
      <c r="TV9" s="174"/>
      <c r="TW9" s="174"/>
      <c r="TX9" s="174"/>
      <c r="TY9" s="174"/>
      <c r="TZ9" s="174"/>
      <c r="UA9" s="174"/>
      <c r="UB9" s="174"/>
      <c r="UC9" s="174"/>
      <c r="UD9" s="174"/>
      <c r="UE9" s="174"/>
      <c r="UF9" s="174"/>
      <c r="UG9" s="174"/>
      <c r="UH9" s="174"/>
      <c r="UI9" s="174"/>
      <c r="UJ9" s="174"/>
      <c r="UK9" s="174"/>
      <c r="UL9" s="174"/>
      <c r="UM9" s="174"/>
      <c r="UN9" s="174"/>
      <c r="UO9" s="174"/>
      <c r="UP9" s="174"/>
      <c r="UQ9" s="174"/>
      <c r="UR9" s="174"/>
      <c r="US9" s="174"/>
      <c r="UT9" s="174"/>
      <c r="UU9" s="174"/>
      <c r="UV9" s="174"/>
      <c r="UW9" s="174"/>
      <c r="UX9" s="174"/>
      <c r="UY9" s="174"/>
      <c r="UZ9" s="174"/>
      <c r="VA9" s="174"/>
      <c r="VB9" s="174"/>
      <c r="VC9" s="174"/>
      <c r="VD9" s="174"/>
      <c r="VE9" s="174"/>
      <c r="VF9" s="174"/>
      <c r="VG9" s="174"/>
      <c r="VH9" s="174"/>
      <c r="VI9" s="174"/>
      <c r="VJ9" s="174"/>
      <c r="VK9" s="174"/>
      <c r="VL9" s="174"/>
      <c r="VM9" s="174"/>
      <c r="VN9" s="174"/>
      <c r="VO9" s="174"/>
      <c r="VP9" s="174"/>
      <c r="VQ9" s="174"/>
      <c r="VR9" s="174"/>
      <c r="VS9" s="174"/>
      <c r="VT9" s="174"/>
      <c r="VU9" s="174"/>
      <c r="VV9" s="174"/>
      <c r="VW9" s="174"/>
      <c r="VX9" s="174"/>
      <c r="VY9" s="174"/>
      <c r="VZ9" s="174"/>
      <c r="WA9" s="174"/>
      <c r="WB9" s="174"/>
      <c r="WC9" s="174"/>
      <c r="WD9" s="174"/>
      <c r="WE9" s="174"/>
      <c r="WF9" s="174"/>
      <c r="WG9" s="174"/>
      <c r="WH9" s="174"/>
      <c r="WI9" s="174"/>
      <c r="WJ9" s="174"/>
      <c r="WK9" s="174"/>
      <c r="WL9" s="174"/>
      <c r="WM9" s="174"/>
      <c r="WN9" s="174"/>
      <c r="WO9" s="174"/>
      <c r="WP9" s="174"/>
      <c r="WQ9" s="174"/>
      <c r="WR9" s="174"/>
      <c r="WS9" s="174"/>
      <c r="WT9" s="174"/>
      <c r="WU9" s="174"/>
      <c r="WV9" s="174"/>
      <c r="WW9" s="174"/>
      <c r="WX9" s="174"/>
      <c r="WY9" s="174"/>
      <c r="WZ9" s="174"/>
      <c r="XA9" s="174"/>
      <c r="XB9" s="174"/>
      <c r="XC9" s="174"/>
      <c r="XD9" s="174"/>
      <c r="XE9" s="174"/>
      <c r="XF9" s="174"/>
      <c r="XG9" s="174"/>
      <c r="XH9" s="174"/>
      <c r="XI9" s="174"/>
      <c r="XJ9" s="174"/>
      <c r="XK9" s="174"/>
      <c r="XL9" s="174"/>
      <c r="XM9" s="174"/>
      <c r="XN9" s="174"/>
      <c r="XO9" s="174"/>
      <c r="XP9" s="174"/>
      <c r="XQ9" s="174"/>
      <c r="XR9" s="174"/>
      <c r="XS9" s="174"/>
      <c r="XT9" s="174"/>
      <c r="XU9" s="174"/>
      <c r="XV9" s="174"/>
      <c r="XW9" s="174"/>
      <c r="XX9" s="174"/>
      <c r="XY9" s="174"/>
      <c r="XZ9" s="174"/>
      <c r="YA9" s="174"/>
      <c r="YB9" s="174"/>
      <c r="YC9" s="174"/>
      <c r="YD9" s="174"/>
      <c r="YE9" s="174"/>
      <c r="YF9" s="174"/>
      <c r="YG9" s="174"/>
      <c r="YH9" s="174"/>
      <c r="YI9" s="174"/>
      <c r="YJ9" s="174"/>
      <c r="YK9" s="174"/>
      <c r="YL9" s="174"/>
      <c r="YM9" s="174"/>
      <c r="YN9" s="174"/>
      <c r="YO9" s="174"/>
      <c r="YP9" s="174"/>
      <c r="YQ9" s="174"/>
      <c r="YR9" s="174"/>
      <c r="YS9" s="174"/>
      <c r="YT9" s="174"/>
      <c r="YU9" s="174"/>
      <c r="YV9" s="174"/>
      <c r="YW9" s="174"/>
      <c r="YX9" s="174"/>
      <c r="YY9" s="174"/>
      <c r="YZ9" s="174"/>
      <c r="ZA9" s="174"/>
      <c r="ZB9" s="174"/>
      <c r="ZC9" s="174"/>
      <c r="ZD9" s="174"/>
      <c r="ZE9" s="174"/>
      <c r="ZF9" s="174"/>
      <c r="ZG9" s="174"/>
      <c r="ZH9" s="174"/>
      <c r="ZI9" s="174"/>
      <c r="ZJ9" s="174"/>
      <c r="ZK9" s="174"/>
      <c r="ZL9" s="174"/>
      <c r="ZM9" s="174"/>
      <c r="ZN9" s="174"/>
      <c r="ZO9" s="174"/>
      <c r="ZP9" s="174"/>
      <c r="ZQ9" s="174"/>
      <c r="ZR9" s="174"/>
      <c r="ZS9" s="174"/>
      <c r="ZT9" s="174"/>
      <c r="ZU9" s="174"/>
      <c r="ZV9" s="174"/>
      <c r="ZW9" s="174"/>
      <c r="ZX9" s="174"/>
      <c r="ZY9" s="174"/>
      <c r="ZZ9" s="174"/>
      <c r="AAA9" s="174"/>
      <c r="AAB9" s="174"/>
      <c r="AAC9" s="174"/>
      <c r="AAD9" s="174"/>
      <c r="AAE9" s="174"/>
      <c r="AAF9" s="174"/>
      <c r="AAG9" s="174"/>
      <c r="AAH9" s="174"/>
      <c r="AAI9" s="174"/>
      <c r="AAJ9" s="174"/>
      <c r="AAK9" s="174"/>
      <c r="AAL9" s="174"/>
      <c r="AAM9" s="174"/>
      <c r="AAN9" s="174"/>
      <c r="AAO9" s="174"/>
      <c r="AAP9" s="174"/>
      <c r="AAQ9" s="174"/>
      <c r="AAR9" s="174"/>
      <c r="AAS9" s="174"/>
      <c r="AAT9" s="174"/>
      <c r="AAU9" s="174"/>
      <c r="AAV9" s="174"/>
      <c r="AAW9" s="174"/>
      <c r="AAX9" s="174"/>
      <c r="AAY9" s="174"/>
      <c r="AAZ9" s="174"/>
      <c r="ABA9" s="174"/>
      <c r="ABB9" s="174"/>
      <c r="ABC9" s="174"/>
      <c r="ABD9" s="174"/>
      <c r="ABE9" s="174"/>
      <c r="ABF9" s="174"/>
      <c r="ABG9" s="174"/>
      <c r="ABH9" s="174"/>
      <c r="ABI9" s="174"/>
      <c r="ABJ9" s="174"/>
      <c r="ABK9" s="174"/>
      <c r="ABL9" s="174"/>
      <c r="ABM9" s="174"/>
      <c r="ABN9" s="174"/>
      <c r="ABO9" s="174"/>
      <c r="ABP9" s="174"/>
      <c r="ABQ9" s="174"/>
      <c r="ABR9" s="174"/>
      <c r="ABS9" s="174"/>
      <c r="ABT9" s="174"/>
      <c r="ABU9" s="174"/>
      <c r="ABV9" s="174"/>
      <c r="ABW9" s="174"/>
      <c r="ABX9" s="174"/>
      <c r="ABY9" s="174"/>
      <c r="ABZ9" s="174"/>
      <c r="ACA9" s="174"/>
      <c r="ACB9" s="174"/>
      <c r="ACC9" s="174"/>
      <c r="ACD9" s="174"/>
      <c r="ACE9" s="174"/>
      <c r="ACF9" s="174"/>
      <c r="ACG9" s="174"/>
      <c r="ACH9" s="174"/>
      <c r="ACI9" s="174"/>
      <c r="ACJ9" s="174"/>
      <c r="ACK9" s="174"/>
      <c r="ACL9" s="174"/>
      <c r="ACM9" s="174"/>
      <c r="ACN9" s="174"/>
      <c r="ACO9" s="174"/>
      <c r="ACP9" s="174"/>
      <c r="ACQ9" s="174"/>
      <c r="ACR9" s="174"/>
      <c r="ACS9" s="174"/>
      <c r="ACT9" s="174"/>
      <c r="ACU9" s="174"/>
      <c r="ACV9" s="174"/>
      <c r="ACW9" s="174"/>
      <c r="ACX9" s="174"/>
      <c r="ACY9" s="174"/>
      <c r="ACZ9" s="174"/>
      <c r="ADA9" s="174"/>
      <c r="ADB9" s="174"/>
      <c r="ADC9" s="174"/>
      <c r="ADD9" s="174"/>
      <c r="ADE9" s="174"/>
      <c r="ADF9" s="174"/>
      <c r="ADG9" s="174"/>
      <c r="ADH9" s="174"/>
      <c r="ADI9" s="174"/>
      <c r="ADJ9" s="174"/>
      <c r="ADK9" s="174"/>
      <c r="ADL9" s="174"/>
      <c r="ADM9" s="174"/>
      <c r="ADN9" s="174"/>
      <c r="ADO9" s="174"/>
      <c r="ADP9" s="174"/>
      <c r="ADQ9" s="174"/>
      <c r="ADR9" s="174"/>
      <c r="ADS9" s="174"/>
      <c r="ADT9" s="174"/>
      <c r="ADU9" s="174"/>
      <c r="ADV9" s="174"/>
      <c r="ADW9" s="174"/>
      <c r="ADX9" s="174"/>
      <c r="ADY9" s="174"/>
      <c r="ADZ9" s="174"/>
      <c r="AEA9" s="174"/>
      <c r="AEB9" s="174"/>
      <c r="AEC9" s="174"/>
      <c r="AED9" s="174"/>
      <c r="AEE9" s="174"/>
      <c r="AEF9" s="174"/>
      <c r="AEG9" s="174"/>
      <c r="AEH9" s="174"/>
      <c r="AEI9" s="174"/>
      <c r="AEJ9" s="174"/>
      <c r="AEK9" s="174"/>
      <c r="AEL9" s="174"/>
      <c r="AEM9" s="174"/>
      <c r="AEN9" s="174"/>
      <c r="AEO9" s="174"/>
      <c r="AEP9" s="174"/>
      <c r="AEQ9" s="174"/>
      <c r="AER9" s="174"/>
      <c r="AES9" s="174"/>
      <c r="AET9" s="174"/>
      <c r="AEU9" s="174"/>
      <c r="AEV9" s="174"/>
      <c r="AEW9" s="174"/>
      <c r="AEX9" s="174"/>
      <c r="AEY9" s="174"/>
      <c r="AEZ9" s="174"/>
      <c r="AFA9" s="174"/>
      <c r="AFB9" s="174"/>
      <c r="AFC9" s="174"/>
      <c r="AFD9" s="174"/>
      <c r="AFE9" s="174"/>
      <c r="AFF9" s="174"/>
      <c r="AFG9" s="174"/>
      <c r="AFH9" s="174"/>
      <c r="AFI9" s="174"/>
      <c r="AFJ9" s="174"/>
      <c r="AFK9" s="174"/>
      <c r="AFL9" s="174"/>
      <c r="AFM9" s="174"/>
      <c r="AFN9" s="174"/>
      <c r="AFO9" s="174"/>
      <c r="AFP9" s="174"/>
      <c r="AFQ9" s="174"/>
      <c r="AFR9" s="174"/>
      <c r="AFS9" s="174"/>
      <c r="AFT9" s="174"/>
      <c r="AFU9" s="174"/>
      <c r="AFV9" s="174"/>
      <c r="AFW9" s="174"/>
      <c r="AFX9" s="174"/>
      <c r="AFY9" s="174"/>
      <c r="AFZ9" s="174"/>
      <c r="AGA9" s="174"/>
      <c r="AGB9" s="174"/>
      <c r="AGC9" s="174"/>
      <c r="AGD9" s="174"/>
      <c r="AGE9" s="174"/>
      <c r="AGF9" s="174"/>
      <c r="AGG9" s="174"/>
      <c r="AGH9" s="174"/>
      <c r="AGI9" s="174"/>
      <c r="AGJ9" s="174"/>
      <c r="AGK9" s="174"/>
      <c r="AGL9" s="174"/>
      <c r="AGM9" s="174"/>
      <c r="AGN9" s="174"/>
      <c r="AGO9" s="174"/>
      <c r="AGP9" s="174"/>
      <c r="AGQ9" s="174"/>
      <c r="AGR9" s="174"/>
      <c r="AGS9" s="174"/>
      <c r="AGT9" s="174"/>
      <c r="AGU9" s="174"/>
      <c r="AGV9" s="174"/>
      <c r="AGW9" s="174"/>
      <c r="AGX9" s="174"/>
      <c r="AGY9" s="174"/>
      <c r="AGZ9" s="174"/>
      <c r="AHA9" s="174"/>
      <c r="AHB9" s="174"/>
      <c r="AHC9" s="174"/>
      <c r="AHD9" s="174"/>
      <c r="AHE9" s="174"/>
      <c r="AHF9" s="174"/>
      <c r="AHG9" s="174"/>
      <c r="AHH9" s="174"/>
      <c r="AHI9" s="174"/>
      <c r="AHJ9" s="174"/>
      <c r="AHK9" s="174"/>
      <c r="AHL9" s="174"/>
      <c r="AHM9" s="174"/>
      <c r="AHN9" s="174"/>
      <c r="AHO9" s="174"/>
      <c r="AHP9" s="174"/>
      <c r="AHQ9" s="174"/>
      <c r="AHR9" s="174"/>
      <c r="AHS9" s="174"/>
      <c r="AHT9" s="174"/>
      <c r="AHU9" s="174"/>
      <c r="AHV9" s="174"/>
      <c r="AHW9" s="174"/>
      <c r="AHX9" s="174"/>
      <c r="AHY9" s="174"/>
      <c r="AHZ9" s="174"/>
      <c r="AIA9" s="174"/>
      <c r="AIB9" s="174"/>
      <c r="AIC9" s="174"/>
      <c r="AID9" s="174"/>
      <c r="AIE9" s="174"/>
      <c r="AIF9" s="174"/>
      <c r="AIG9" s="174"/>
      <c r="AIH9" s="174"/>
      <c r="AII9" s="174"/>
      <c r="AIJ9" s="174"/>
      <c r="AIK9" s="174"/>
      <c r="AIL9" s="174"/>
      <c r="AIM9" s="174"/>
      <c r="AIN9" s="174"/>
      <c r="AIO9" s="174"/>
      <c r="AIP9" s="174"/>
      <c r="AIQ9" s="174"/>
      <c r="AIR9" s="174"/>
      <c r="AIS9" s="174"/>
      <c r="AIT9" s="174"/>
      <c r="AIU9" s="174"/>
      <c r="AIV9" s="174"/>
      <c r="AIW9" s="174"/>
      <c r="AIX9" s="174"/>
      <c r="AIY9" s="174"/>
      <c r="AIZ9" s="174"/>
      <c r="AJA9" s="174"/>
      <c r="AJB9" s="174"/>
      <c r="AJC9" s="174"/>
      <c r="AJD9" s="174"/>
      <c r="AJE9" s="174"/>
      <c r="AJF9" s="174"/>
      <c r="AJG9" s="174"/>
      <c r="AJH9" s="174"/>
      <c r="AJI9" s="174"/>
      <c r="AJJ9" s="174"/>
      <c r="AJK9" s="174"/>
      <c r="AJL9" s="174"/>
      <c r="AJM9" s="174"/>
      <c r="AJN9" s="174"/>
      <c r="AJO9" s="174"/>
      <c r="AJP9" s="174"/>
      <c r="AJQ9" s="174"/>
      <c r="AJR9" s="174"/>
      <c r="AJS9" s="174"/>
      <c r="AJT9" s="174"/>
      <c r="AJU9" s="174"/>
      <c r="AJV9" s="174"/>
      <c r="AJW9" s="174"/>
      <c r="AJX9" s="174"/>
      <c r="AJY9" s="174"/>
      <c r="AJZ9" s="174"/>
      <c r="AKA9" s="174"/>
      <c r="AKB9" s="174"/>
      <c r="AKC9" s="174"/>
      <c r="AKD9" s="174"/>
      <c r="AKE9" s="174"/>
      <c r="AKF9" s="174"/>
      <c r="AKG9" s="174"/>
      <c r="AKH9" s="174"/>
      <c r="AKI9" s="174"/>
      <c r="AKJ9" s="174"/>
      <c r="AKK9" s="174"/>
      <c r="AKL9" s="174"/>
      <c r="AKM9" s="174"/>
      <c r="AKN9" s="174"/>
      <c r="AKO9" s="174"/>
      <c r="AKP9" s="174"/>
      <c r="AKQ9" s="174"/>
      <c r="AKR9" s="174"/>
      <c r="AKS9" s="174"/>
      <c r="AKT9" s="174"/>
      <c r="AKU9" s="174"/>
      <c r="AKV9" s="174"/>
      <c r="AKW9" s="174"/>
      <c r="AKX9" s="174"/>
      <c r="AKY9" s="174"/>
      <c r="AKZ9" s="174"/>
      <c r="ALA9" s="174"/>
      <c r="ALB9" s="174"/>
      <c r="ALC9" s="174"/>
      <c r="ALD9" s="174"/>
      <c r="ALE9" s="174"/>
      <c r="ALF9" s="174"/>
      <c r="ALG9" s="174"/>
      <c r="ALH9" s="174"/>
      <c r="ALI9" s="174"/>
      <c r="ALJ9" s="174"/>
      <c r="ALK9" s="174"/>
      <c r="ALL9" s="174"/>
      <c r="ALM9" s="174"/>
      <c r="ALN9" s="174"/>
      <c r="ALO9" s="174"/>
      <c r="ALP9" s="174"/>
      <c r="ALQ9" s="174"/>
      <c r="ALR9" s="174"/>
      <c r="ALS9" s="174"/>
      <c r="ALT9" s="174"/>
      <c r="ALU9" s="174"/>
      <c r="ALV9" s="174"/>
      <c r="ALW9" s="174"/>
      <c r="ALX9" s="174"/>
      <c r="ALY9" s="174"/>
      <c r="ALZ9" s="174"/>
      <c r="AMA9" s="174"/>
      <c r="AMB9" s="174"/>
      <c r="AMC9" s="174"/>
      <c r="AMD9" s="174"/>
      <c r="AME9" s="174"/>
      <c r="AMF9" s="174"/>
      <c r="AMG9" s="174"/>
      <c r="AMH9" s="174"/>
      <c r="AMI9" s="174"/>
      <c r="AMJ9" s="174"/>
      <c r="AMK9" s="174"/>
      <c r="AML9" s="174"/>
      <c r="AMM9" s="174"/>
      <c r="AMN9" s="174"/>
      <c r="AMO9" s="174"/>
      <c r="AMP9" s="174"/>
      <c r="AMQ9" s="174"/>
      <c r="AMR9" s="174"/>
      <c r="AMS9" s="174"/>
      <c r="AMT9" s="174"/>
      <c r="AMU9" s="174"/>
      <c r="AMV9" s="174"/>
      <c r="AMW9" s="174"/>
      <c r="AMX9" s="174"/>
      <c r="AMY9" s="174"/>
      <c r="AMZ9" s="174"/>
      <c r="ANA9" s="174"/>
      <c r="ANB9" s="174"/>
      <c r="ANC9" s="174"/>
      <c r="AND9" s="174"/>
      <c r="ANE9" s="174"/>
      <c r="ANF9" s="174"/>
      <c r="ANG9" s="174"/>
      <c r="ANH9" s="174"/>
      <c r="ANI9" s="174"/>
      <c r="ANJ9" s="174"/>
      <c r="ANK9" s="174"/>
      <c r="ANL9" s="174"/>
      <c r="ANM9" s="174"/>
      <c r="ANN9" s="174"/>
      <c r="ANO9" s="174"/>
      <c r="ANP9" s="174"/>
      <c r="ANQ9" s="174"/>
      <c r="ANR9" s="174"/>
      <c r="ANS9" s="174"/>
      <c r="ANT9" s="174"/>
      <c r="ANU9" s="174"/>
      <c r="ANV9" s="174"/>
      <c r="ANW9" s="174"/>
      <c r="ANX9" s="174"/>
      <c r="ANY9" s="174"/>
      <c r="ANZ9" s="174"/>
      <c r="AOA9" s="174"/>
      <c r="AOB9" s="174"/>
      <c r="AOC9" s="174"/>
      <c r="AOD9" s="174"/>
      <c r="AOE9" s="174"/>
      <c r="AOF9" s="174"/>
      <c r="AOG9" s="174"/>
      <c r="AOH9" s="174"/>
      <c r="AOI9" s="174"/>
      <c r="AOJ9" s="174"/>
      <c r="AOK9" s="174"/>
      <c r="AOL9" s="174"/>
      <c r="AOM9" s="174"/>
      <c r="AON9" s="174"/>
      <c r="AOO9" s="174"/>
      <c r="AOP9" s="174"/>
      <c r="AOQ9" s="174"/>
      <c r="AOR9" s="174"/>
      <c r="AOS9" s="174"/>
      <c r="AOT9" s="174"/>
      <c r="AOU9" s="174"/>
      <c r="AOV9" s="174"/>
      <c r="AOW9" s="174"/>
      <c r="AOX9" s="174"/>
      <c r="AOY9" s="174"/>
      <c r="AOZ9" s="174"/>
      <c r="APA9" s="174"/>
      <c r="APB9" s="174"/>
      <c r="APC9" s="174"/>
      <c r="APD9" s="174"/>
      <c r="APE9" s="174"/>
      <c r="APF9" s="174"/>
      <c r="APG9" s="174"/>
      <c r="APH9" s="174"/>
      <c r="API9" s="174"/>
      <c r="APJ9" s="174"/>
      <c r="APK9" s="174"/>
      <c r="APL9" s="174"/>
      <c r="APM9" s="174"/>
      <c r="APN9" s="174"/>
      <c r="APO9" s="174"/>
      <c r="APP9" s="174"/>
      <c r="APQ9" s="174"/>
      <c r="APR9" s="174"/>
      <c r="APS9" s="174"/>
      <c r="APT9" s="174"/>
      <c r="APU9" s="174"/>
      <c r="APV9" s="174"/>
      <c r="APW9" s="174"/>
      <c r="APX9" s="174"/>
      <c r="APY9" s="174"/>
      <c r="APZ9" s="174"/>
      <c r="AQA9" s="174"/>
      <c r="AQB9" s="174"/>
      <c r="AQC9" s="174"/>
      <c r="AQD9" s="174"/>
      <c r="AQE9" s="174"/>
      <c r="AQF9" s="174"/>
      <c r="AQG9" s="174"/>
      <c r="AQH9" s="174"/>
      <c r="AQI9" s="174"/>
      <c r="AQJ9" s="174"/>
      <c r="AQK9" s="174"/>
      <c r="AQL9" s="174"/>
      <c r="AQM9" s="174"/>
      <c r="AQN9" s="174"/>
      <c r="AQO9" s="174"/>
      <c r="AQP9" s="174"/>
      <c r="AQQ9" s="174"/>
      <c r="AQR9" s="174"/>
      <c r="AQS9" s="174"/>
      <c r="AQT9" s="174"/>
      <c r="AQU9" s="174"/>
      <c r="AQV9" s="174"/>
      <c r="AQW9" s="174"/>
      <c r="AQX9" s="174"/>
      <c r="AQY9" s="174"/>
      <c r="AQZ9" s="174"/>
      <c r="ARA9" s="174"/>
      <c r="ARB9" s="174"/>
      <c r="ARC9" s="174"/>
      <c r="ARD9" s="174"/>
      <c r="ARE9" s="174"/>
      <c r="ARF9" s="174"/>
      <c r="ARG9" s="174"/>
      <c r="ARH9" s="174"/>
      <c r="ARI9" s="174"/>
      <c r="ARJ9" s="174"/>
      <c r="ARK9" s="174"/>
      <c r="ARL9" s="174"/>
      <c r="ARM9" s="174"/>
      <c r="ARN9" s="174"/>
      <c r="ARO9" s="174"/>
      <c r="ARP9" s="174"/>
      <c r="ARQ9" s="174"/>
      <c r="ARR9" s="174"/>
      <c r="ARS9" s="174"/>
      <c r="ART9" s="174"/>
      <c r="ARU9" s="174"/>
      <c r="ARV9" s="174"/>
      <c r="ARW9" s="174"/>
      <c r="ARX9" s="174"/>
      <c r="ARY9" s="174"/>
      <c r="ARZ9" s="174"/>
      <c r="ASA9" s="174"/>
      <c r="ASB9" s="174"/>
      <c r="ASC9" s="174"/>
      <c r="ASD9" s="174"/>
      <c r="ASE9" s="174"/>
      <c r="ASF9" s="174"/>
      <c r="ASG9" s="174"/>
      <c r="ASH9" s="174"/>
      <c r="ASI9" s="174"/>
      <c r="ASJ9" s="174"/>
      <c r="ASK9" s="174"/>
      <c r="ASL9" s="174"/>
      <c r="ASM9" s="174"/>
      <c r="ASN9" s="174"/>
      <c r="ASO9" s="174"/>
      <c r="ASP9" s="174"/>
      <c r="ASQ9" s="174"/>
      <c r="ASR9" s="174"/>
      <c r="ASS9" s="174"/>
      <c r="AST9" s="174"/>
      <c r="ASU9" s="174"/>
      <c r="ASV9" s="174"/>
      <c r="ASW9" s="174"/>
      <c r="ASX9" s="174"/>
      <c r="ASY9" s="174"/>
      <c r="ASZ9" s="174"/>
      <c r="ATA9" s="174"/>
      <c r="ATB9" s="174"/>
      <c r="ATC9" s="174"/>
      <c r="ATD9" s="174"/>
      <c r="ATE9" s="174"/>
      <c r="ATF9" s="174"/>
      <c r="ATG9" s="174"/>
      <c r="ATH9" s="174"/>
      <c r="ATI9" s="174"/>
      <c r="ATJ9" s="174"/>
      <c r="ATK9" s="174"/>
      <c r="ATL9" s="174"/>
      <c r="ATM9" s="174"/>
      <c r="ATN9" s="174"/>
      <c r="ATO9" s="174"/>
      <c r="ATP9" s="174"/>
      <c r="ATQ9" s="174"/>
      <c r="ATR9" s="174"/>
      <c r="ATS9" s="174"/>
      <c r="ATT9" s="174"/>
      <c r="ATU9" s="174"/>
      <c r="ATV9" s="174"/>
      <c r="ATW9" s="174"/>
      <c r="ATX9" s="174"/>
      <c r="ATY9" s="174"/>
      <c r="ATZ9" s="174"/>
      <c r="AUA9" s="174"/>
      <c r="AUB9" s="174"/>
      <c r="AUC9" s="174"/>
      <c r="AUD9" s="174"/>
      <c r="AUE9" s="174"/>
      <c r="AUF9" s="174"/>
      <c r="AUG9" s="174"/>
      <c r="AUH9" s="174"/>
      <c r="AUI9" s="174"/>
      <c r="AUJ9" s="174"/>
      <c r="AUK9" s="174"/>
      <c r="AUL9" s="174"/>
      <c r="AUM9" s="174"/>
      <c r="AUN9" s="174"/>
      <c r="AUO9" s="174"/>
      <c r="AUP9" s="174"/>
      <c r="AUQ9" s="174"/>
      <c r="AUR9" s="174"/>
      <c r="AUS9" s="174"/>
      <c r="AUT9" s="174"/>
      <c r="AUU9" s="174"/>
      <c r="AUV9" s="174"/>
      <c r="AUW9" s="174"/>
      <c r="AUX9" s="174"/>
      <c r="AUY9" s="174"/>
      <c r="AUZ9" s="174"/>
      <c r="AVA9" s="174"/>
      <c r="AVB9" s="174"/>
      <c r="AVC9" s="174"/>
      <c r="AVD9" s="174"/>
      <c r="AVE9" s="174"/>
      <c r="AVF9" s="174"/>
      <c r="AVG9" s="174"/>
      <c r="AVH9" s="174"/>
      <c r="AVI9" s="174"/>
      <c r="AVJ9" s="174"/>
      <c r="AVK9" s="174"/>
      <c r="AVL9" s="174"/>
      <c r="AVM9" s="174"/>
      <c r="AVN9" s="174"/>
      <c r="AVO9" s="174"/>
      <c r="AVP9" s="174"/>
      <c r="AVQ9" s="174"/>
      <c r="AVR9" s="174"/>
      <c r="AVS9" s="174"/>
      <c r="AVT9" s="174"/>
      <c r="AVU9" s="174"/>
      <c r="AVV9" s="174"/>
      <c r="AVW9" s="174"/>
      <c r="AVX9" s="174"/>
      <c r="AVY9" s="174"/>
      <c r="AVZ9" s="174"/>
      <c r="AWA9" s="174"/>
      <c r="AWB9" s="174"/>
      <c r="AWC9" s="174"/>
      <c r="AWD9" s="174"/>
      <c r="AWE9" s="174"/>
      <c r="AWF9" s="174"/>
      <c r="AWG9" s="174"/>
      <c r="AWH9" s="174"/>
      <c r="AWI9" s="174"/>
      <c r="AWJ9" s="174"/>
      <c r="AWK9" s="174"/>
      <c r="AWL9" s="174"/>
      <c r="AWM9" s="174"/>
      <c r="AWN9" s="174"/>
      <c r="AWO9" s="174"/>
      <c r="AWP9" s="174"/>
      <c r="AWQ9" s="174"/>
      <c r="AWR9" s="174"/>
      <c r="AWS9" s="174"/>
      <c r="AWT9" s="174"/>
      <c r="AWU9" s="174"/>
      <c r="AWV9" s="174"/>
      <c r="AWW9" s="174"/>
      <c r="AWX9" s="174"/>
      <c r="AWY9" s="174"/>
      <c r="AWZ9" s="174"/>
      <c r="AXA9" s="174"/>
      <c r="AXB9" s="174"/>
      <c r="AXC9" s="174"/>
      <c r="AXD9" s="174"/>
      <c r="AXE9" s="174"/>
      <c r="AXF9" s="174"/>
      <c r="AXG9" s="174"/>
      <c r="AXH9" s="174"/>
      <c r="AXI9" s="174"/>
      <c r="AXJ9" s="174"/>
      <c r="AXK9" s="174"/>
      <c r="AXL9" s="174"/>
      <c r="AXM9" s="174"/>
      <c r="AXN9" s="174"/>
      <c r="AXO9" s="174"/>
      <c r="AXP9" s="174"/>
      <c r="AXQ9" s="174"/>
      <c r="AXR9" s="174"/>
      <c r="AXS9" s="174"/>
      <c r="AXT9" s="174"/>
      <c r="AXU9" s="174"/>
      <c r="AXV9" s="174"/>
      <c r="AXW9" s="174"/>
      <c r="AXX9" s="174"/>
      <c r="AXY9" s="174"/>
      <c r="AXZ9" s="174"/>
      <c r="AYA9" s="174"/>
      <c r="AYB9" s="174"/>
      <c r="AYC9" s="174"/>
      <c r="AYD9" s="174"/>
      <c r="AYE9" s="174"/>
      <c r="AYF9" s="174"/>
      <c r="AYG9" s="174"/>
      <c r="AYH9" s="174"/>
      <c r="AYI9" s="174"/>
      <c r="AYJ9" s="174"/>
      <c r="AYK9" s="174"/>
      <c r="AYL9" s="174"/>
      <c r="AYM9" s="174"/>
      <c r="AYN9" s="174"/>
      <c r="AYO9" s="174"/>
      <c r="AYP9" s="174"/>
      <c r="AYQ9" s="174"/>
      <c r="AYR9" s="174"/>
      <c r="AYS9" s="174"/>
      <c r="AYT9" s="174"/>
      <c r="AYU9" s="174"/>
      <c r="AYV9" s="174"/>
      <c r="AYW9" s="174"/>
      <c r="AYX9" s="174"/>
      <c r="AYY9" s="174"/>
      <c r="AYZ9" s="174"/>
      <c r="AZA9" s="174"/>
      <c r="AZB9" s="174"/>
      <c r="AZC9" s="174"/>
      <c r="AZD9" s="174"/>
      <c r="AZE9" s="174"/>
      <c r="AZF9" s="174"/>
      <c r="AZG9" s="174"/>
      <c r="AZH9" s="174"/>
      <c r="AZI9" s="174"/>
      <c r="AZJ9" s="174"/>
      <c r="AZK9" s="174"/>
      <c r="AZL9" s="174"/>
      <c r="AZM9" s="174"/>
      <c r="AZN9" s="174"/>
      <c r="AZO9" s="174"/>
      <c r="AZP9" s="174"/>
      <c r="AZQ9" s="174"/>
      <c r="AZR9" s="174"/>
      <c r="AZS9" s="174"/>
      <c r="AZT9" s="174"/>
      <c r="AZU9" s="174"/>
      <c r="AZV9" s="174"/>
      <c r="AZW9" s="174"/>
      <c r="AZX9" s="174"/>
      <c r="AZY9" s="174"/>
      <c r="AZZ9" s="174"/>
      <c r="BAA9" s="174"/>
      <c r="BAB9" s="174"/>
      <c r="BAC9" s="174"/>
      <c r="BAD9" s="174"/>
      <c r="BAE9" s="174"/>
      <c r="BAF9" s="174"/>
      <c r="BAG9" s="174"/>
      <c r="BAH9" s="174"/>
      <c r="BAI9" s="174"/>
      <c r="BAJ9" s="174"/>
      <c r="BAK9" s="174"/>
      <c r="BAL9" s="174"/>
      <c r="BAM9" s="174"/>
      <c r="BAN9" s="174"/>
      <c r="BAO9" s="174"/>
      <c r="BAP9" s="174"/>
      <c r="BAQ9" s="174"/>
      <c r="BAR9" s="174"/>
      <c r="BAS9" s="174"/>
      <c r="BAT9" s="174"/>
      <c r="BAU9" s="174"/>
      <c r="BAV9" s="174"/>
      <c r="BAW9" s="174"/>
      <c r="BAX9" s="174"/>
      <c r="BAY9" s="174"/>
      <c r="BAZ9" s="174"/>
      <c r="BBA9" s="174"/>
      <c r="BBB9" s="174"/>
      <c r="BBC9" s="174"/>
      <c r="BBD9" s="174"/>
      <c r="BBE9" s="174"/>
      <c r="BBF9" s="174"/>
      <c r="BBG9" s="174"/>
      <c r="BBH9" s="174"/>
      <c r="BBI9" s="174"/>
      <c r="BBJ9" s="174"/>
      <c r="BBK9" s="174"/>
      <c r="BBL9" s="174"/>
      <c r="BBM9" s="174"/>
      <c r="BBN9" s="174"/>
      <c r="BBO9" s="174"/>
      <c r="BBP9" s="174"/>
      <c r="BBQ9" s="174"/>
      <c r="BBR9" s="174"/>
      <c r="BBS9" s="174"/>
      <c r="BBT9" s="174"/>
      <c r="BBU9" s="174"/>
      <c r="BBV9" s="174"/>
      <c r="BBW9" s="174"/>
      <c r="BBX9" s="174"/>
      <c r="BBY9" s="174"/>
      <c r="BBZ9" s="174"/>
      <c r="BCA9" s="174"/>
      <c r="BCB9" s="174"/>
      <c r="BCC9" s="174"/>
      <c r="BCD9" s="174"/>
      <c r="BCE9" s="174"/>
      <c r="BCF9" s="174"/>
      <c r="BCG9" s="174"/>
      <c r="BCH9" s="174"/>
      <c r="BCI9" s="174"/>
      <c r="BCJ9" s="174"/>
      <c r="BCK9" s="174"/>
      <c r="BCL9" s="174"/>
      <c r="BCM9" s="174"/>
      <c r="BCN9" s="174"/>
      <c r="BCO9" s="174"/>
      <c r="BCP9" s="174"/>
      <c r="BCQ9" s="174"/>
      <c r="BCR9" s="174"/>
      <c r="BCS9" s="174"/>
      <c r="BCT9" s="174"/>
      <c r="BCU9" s="174"/>
      <c r="BCV9" s="174"/>
      <c r="BCW9" s="174"/>
      <c r="BCX9" s="174"/>
      <c r="BCY9" s="174"/>
      <c r="BCZ9" s="174"/>
      <c r="BDA9" s="174"/>
      <c r="BDB9" s="174"/>
      <c r="BDC9" s="174"/>
      <c r="BDD9" s="174"/>
    </row>
    <row r="10" spans="1:1460" ht="9.9499999999999993" customHeight="1">
      <c r="A10" s="174"/>
      <c r="B10" s="1"/>
      <c r="C10" s="174"/>
      <c r="D10" s="174"/>
      <c r="E10" s="207" t="s">
        <v>5</v>
      </c>
      <c r="F10" s="208"/>
      <c r="G10" s="208"/>
      <c r="H10" s="208"/>
      <c r="I10" s="208"/>
      <c r="J10" s="208"/>
      <c r="K10" s="208"/>
      <c r="L10" s="208"/>
      <c r="M10" s="213" t="s">
        <v>6</v>
      </c>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4"/>
      <c r="BG10" s="174"/>
      <c r="BH10" s="174"/>
      <c r="BI10" s="177"/>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4"/>
      <c r="DT10" s="174"/>
      <c r="DU10" s="174"/>
      <c r="DV10" s="174"/>
      <c r="DW10" s="174"/>
      <c r="DX10" s="174"/>
      <c r="DY10" s="174"/>
      <c r="DZ10" s="174"/>
      <c r="EA10" s="174"/>
      <c r="EB10" s="174"/>
      <c r="EC10" s="174"/>
      <c r="ED10" s="174"/>
      <c r="EE10" s="174"/>
      <c r="EF10" s="174"/>
      <c r="EG10" s="174"/>
      <c r="EH10" s="174"/>
      <c r="EI10" s="174"/>
      <c r="EJ10" s="174"/>
      <c r="EK10" s="174"/>
      <c r="EL10" s="174"/>
      <c r="EM10" s="174"/>
      <c r="EN10" s="174"/>
      <c r="EO10" s="174"/>
      <c r="EP10" s="174"/>
      <c r="EQ10" s="174"/>
      <c r="ER10" s="174"/>
      <c r="ES10" s="174"/>
      <c r="ET10" s="174"/>
      <c r="EU10" s="174"/>
      <c r="EV10" s="174"/>
      <c r="EW10" s="174"/>
      <c r="EX10" s="174"/>
      <c r="EY10" s="174"/>
      <c r="EZ10" s="174"/>
      <c r="FA10" s="174"/>
      <c r="FB10" s="174"/>
      <c r="FC10" s="174"/>
      <c r="FD10" s="174"/>
      <c r="FE10" s="174"/>
      <c r="FF10" s="174"/>
      <c r="FG10" s="174"/>
      <c r="FH10" s="174"/>
      <c r="FI10" s="174"/>
      <c r="FJ10" s="174"/>
      <c r="FK10" s="174"/>
      <c r="FL10" s="174"/>
      <c r="FM10" s="174"/>
      <c r="FN10" s="174"/>
      <c r="FO10" s="174"/>
      <c r="FP10" s="174"/>
      <c r="FQ10" s="174"/>
      <c r="FR10" s="174"/>
      <c r="FS10" s="174"/>
      <c r="FT10" s="174"/>
      <c r="FU10" s="174"/>
      <c r="FV10" s="174"/>
      <c r="FW10" s="174"/>
      <c r="FX10" s="174"/>
      <c r="FY10" s="174"/>
      <c r="FZ10" s="174"/>
      <c r="GA10" s="174"/>
      <c r="GB10" s="174"/>
      <c r="GC10" s="174"/>
      <c r="GD10" s="174"/>
      <c r="GE10" s="174"/>
      <c r="GF10" s="174"/>
      <c r="GG10" s="174"/>
      <c r="GH10" s="174"/>
      <c r="GI10" s="174"/>
      <c r="GJ10" s="174"/>
      <c r="GK10" s="174"/>
      <c r="GL10" s="174"/>
      <c r="GM10" s="174"/>
      <c r="GN10" s="174"/>
      <c r="GO10" s="174"/>
      <c r="GP10" s="174"/>
      <c r="GQ10" s="174"/>
      <c r="GR10" s="174"/>
      <c r="GS10" s="174"/>
      <c r="GT10" s="174"/>
      <c r="GU10" s="174"/>
      <c r="GV10" s="174"/>
      <c r="GW10" s="174"/>
      <c r="GX10" s="174"/>
      <c r="GY10" s="174"/>
      <c r="GZ10" s="174"/>
      <c r="HA10" s="174"/>
      <c r="HB10" s="174"/>
      <c r="HC10" s="174"/>
      <c r="HD10" s="174"/>
      <c r="HE10" s="174"/>
      <c r="HF10" s="174"/>
      <c r="HG10" s="174"/>
      <c r="HH10" s="174"/>
      <c r="HI10" s="174"/>
      <c r="HJ10" s="174"/>
      <c r="HK10" s="174"/>
      <c r="HL10" s="174"/>
      <c r="HM10" s="174"/>
      <c r="HN10" s="174"/>
      <c r="HO10" s="174"/>
      <c r="HP10" s="174"/>
      <c r="HQ10" s="174"/>
      <c r="HR10" s="174"/>
      <c r="HS10" s="174"/>
      <c r="HT10" s="174"/>
      <c r="HU10" s="174"/>
      <c r="HV10" s="174"/>
      <c r="HW10" s="174"/>
      <c r="HX10" s="174"/>
      <c r="HY10" s="174"/>
      <c r="HZ10" s="174"/>
      <c r="IA10" s="174"/>
      <c r="IB10" s="174"/>
      <c r="IC10" s="174"/>
      <c r="ID10" s="174"/>
      <c r="IE10" s="174"/>
      <c r="IF10" s="174"/>
      <c r="IG10" s="174"/>
      <c r="IH10" s="174"/>
      <c r="II10" s="174"/>
      <c r="IJ10" s="174"/>
      <c r="IK10" s="174"/>
      <c r="IL10" s="174"/>
      <c r="IM10" s="174"/>
      <c r="IN10" s="174"/>
      <c r="IO10" s="174"/>
      <c r="IP10" s="174"/>
      <c r="IQ10" s="174"/>
      <c r="IR10" s="174"/>
      <c r="IS10" s="174"/>
      <c r="IT10" s="174"/>
      <c r="IU10" s="174"/>
      <c r="IV10" s="174"/>
      <c r="IW10" s="174"/>
      <c r="IX10" s="174"/>
      <c r="IY10" s="174"/>
      <c r="IZ10" s="174"/>
      <c r="JA10" s="174"/>
      <c r="JB10" s="174"/>
      <c r="JC10" s="174"/>
      <c r="JD10" s="174"/>
      <c r="JE10" s="174"/>
      <c r="JF10" s="174"/>
      <c r="JG10" s="174"/>
      <c r="JH10" s="174"/>
      <c r="JI10" s="174"/>
      <c r="JJ10" s="174"/>
      <c r="JK10" s="174"/>
      <c r="JL10" s="174"/>
      <c r="JM10" s="174"/>
      <c r="JN10" s="174"/>
      <c r="JO10" s="174"/>
      <c r="JP10" s="174"/>
      <c r="JQ10" s="174"/>
      <c r="JR10" s="174"/>
      <c r="JS10" s="174"/>
      <c r="JT10" s="174"/>
      <c r="JU10" s="174"/>
      <c r="JV10" s="174"/>
      <c r="JW10" s="174"/>
      <c r="JX10" s="174"/>
      <c r="JY10" s="174"/>
      <c r="JZ10" s="174"/>
      <c r="KA10" s="174"/>
      <c r="KB10" s="174"/>
      <c r="KC10" s="174"/>
      <c r="KD10" s="174"/>
      <c r="KE10" s="174"/>
      <c r="KF10" s="174"/>
      <c r="KG10" s="174"/>
      <c r="KH10" s="174"/>
      <c r="KI10" s="174"/>
      <c r="KJ10" s="174"/>
      <c r="KK10" s="174"/>
      <c r="KL10" s="174"/>
      <c r="KM10" s="174"/>
      <c r="KN10" s="174"/>
      <c r="KO10" s="174"/>
      <c r="KP10" s="174"/>
      <c r="KQ10" s="174"/>
      <c r="KR10" s="174"/>
      <c r="KS10" s="174"/>
      <c r="KT10" s="174"/>
      <c r="KU10" s="174"/>
      <c r="KV10" s="174"/>
      <c r="KW10" s="174"/>
      <c r="KX10" s="174"/>
      <c r="KY10" s="174"/>
      <c r="KZ10" s="174"/>
      <c r="LA10" s="174"/>
      <c r="LB10" s="174"/>
      <c r="LC10" s="174"/>
      <c r="LD10" s="174"/>
      <c r="LE10" s="174"/>
      <c r="LF10" s="174"/>
      <c r="LG10" s="174"/>
      <c r="LH10" s="174"/>
      <c r="LI10" s="174"/>
      <c r="LJ10" s="174"/>
      <c r="LK10" s="174"/>
      <c r="LL10" s="174"/>
      <c r="LM10" s="174"/>
      <c r="LN10" s="174"/>
      <c r="LO10" s="174"/>
      <c r="LP10" s="174"/>
      <c r="LQ10" s="174"/>
      <c r="LR10" s="174"/>
      <c r="LS10" s="174"/>
      <c r="LT10" s="174"/>
      <c r="LU10" s="174"/>
      <c r="LV10" s="174"/>
      <c r="LW10" s="174"/>
      <c r="LX10" s="174"/>
      <c r="LY10" s="174"/>
      <c r="LZ10" s="174"/>
      <c r="MA10" s="174"/>
      <c r="MB10" s="174"/>
      <c r="MC10" s="174"/>
      <c r="MD10" s="174"/>
      <c r="ME10" s="174"/>
      <c r="MF10" s="174"/>
      <c r="MG10" s="174"/>
      <c r="MH10" s="174"/>
      <c r="MI10" s="174"/>
      <c r="MJ10" s="174"/>
      <c r="MK10" s="174"/>
      <c r="ML10" s="174"/>
      <c r="MM10" s="174"/>
      <c r="MN10" s="174"/>
      <c r="MO10" s="174"/>
      <c r="MP10" s="174"/>
      <c r="MQ10" s="174"/>
      <c r="MR10" s="174"/>
      <c r="MS10" s="174"/>
      <c r="MT10" s="174"/>
      <c r="MU10" s="174"/>
      <c r="MV10" s="174"/>
      <c r="MW10" s="174"/>
      <c r="MX10" s="174"/>
      <c r="MY10" s="174"/>
      <c r="MZ10" s="174"/>
      <c r="NA10" s="174"/>
      <c r="NB10" s="174"/>
      <c r="NC10" s="174"/>
      <c r="ND10" s="174"/>
      <c r="NE10" s="174"/>
      <c r="NF10" s="174"/>
      <c r="NG10" s="174"/>
      <c r="NH10" s="174"/>
      <c r="NI10" s="174"/>
      <c r="NJ10" s="174"/>
      <c r="NK10" s="174"/>
      <c r="NL10" s="174"/>
      <c r="NM10" s="174"/>
      <c r="NN10" s="174"/>
      <c r="NO10" s="174"/>
      <c r="NP10" s="174"/>
      <c r="NQ10" s="174"/>
      <c r="NR10" s="174"/>
      <c r="NS10" s="174"/>
      <c r="NT10" s="174"/>
      <c r="NU10" s="174"/>
      <c r="NV10" s="174"/>
      <c r="NW10" s="174"/>
      <c r="NX10" s="174"/>
      <c r="NY10" s="174"/>
      <c r="NZ10" s="174"/>
      <c r="OA10" s="174"/>
      <c r="OB10" s="174"/>
      <c r="OC10" s="174"/>
      <c r="OD10" s="174"/>
      <c r="OE10" s="174"/>
      <c r="OF10" s="174"/>
      <c r="OG10" s="174"/>
      <c r="OH10" s="174"/>
      <c r="OI10" s="174"/>
      <c r="OJ10" s="174"/>
      <c r="OK10" s="174"/>
      <c r="OL10" s="174"/>
      <c r="OM10" s="174"/>
      <c r="ON10" s="174"/>
      <c r="OO10" s="174"/>
      <c r="OP10" s="174"/>
      <c r="OQ10" s="174"/>
      <c r="OR10" s="174"/>
      <c r="OS10" s="174"/>
      <c r="OT10" s="174"/>
      <c r="OU10" s="174"/>
      <c r="OV10" s="174"/>
      <c r="OW10" s="174"/>
      <c r="OX10" s="174"/>
      <c r="OY10" s="174"/>
      <c r="OZ10" s="174"/>
      <c r="PA10" s="174"/>
      <c r="PB10" s="174"/>
      <c r="PC10" s="174"/>
      <c r="PD10" s="174"/>
      <c r="PE10" s="174"/>
      <c r="PF10" s="174"/>
      <c r="PG10" s="174"/>
      <c r="PH10" s="174"/>
      <c r="PI10" s="174"/>
      <c r="PJ10" s="174"/>
      <c r="PK10" s="174"/>
      <c r="PL10" s="174"/>
      <c r="PM10" s="174"/>
      <c r="PN10" s="174"/>
      <c r="PO10" s="174"/>
      <c r="PP10" s="174"/>
      <c r="PQ10" s="174"/>
      <c r="PR10" s="174"/>
      <c r="PS10" s="174"/>
      <c r="PT10" s="174"/>
      <c r="PU10" s="174"/>
      <c r="PV10" s="174"/>
      <c r="PW10" s="174"/>
      <c r="PX10" s="174"/>
      <c r="PY10" s="174"/>
      <c r="PZ10" s="174"/>
      <c r="QA10" s="174"/>
      <c r="QB10" s="174"/>
      <c r="QC10" s="174"/>
      <c r="QD10" s="174"/>
      <c r="QE10" s="174"/>
      <c r="QF10" s="174"/>
      <c r="QG10" s="174"/>
      <c r="QH10" s="174"/>
      <c r="QI10" s="174"/>
      <c r="QJ10" s="174"/>
      <c r="QK10" s="174"/>
      <c r="QL10" s="174"/>
      <c r="QM10" s="174"/>
      <c r="QN10" s="174"/>
      <c r="QO10" s="174"/>
      <c r="QP10" s="174"/>
      <c r="QQ10" s="174"/>
      <c r="QR10" s="174"/>
      <c r="QS10" s="174"/>
      <c r="QT10" s="174"/>
      <c r="QU10" s="174"/>
      <c r="QV10" s="174"/>
      <c r="QW10" s="174"/>
      <c r="QX10" s="174"/>
      <c r="QY10" s="174"/>
      <c r="QZ10" s="174"/>
      <c r="RA10" s="174"/>
      <c r="RB10" s="174"/>
      <c r="RC10" s="174"/>
      <c r="RD10" s="174"/>
      <c r="RE10" s="174"/>
      <c r="RF10" s="174"/>
      <c r="RG10" s="174"/>
      <c r="RH10" s="174"/>
      <c r="RI10" s="174"/>
      <c r="RJ10" s="174"/>
      <c r="RK10" s="174"/>
      <c r="RL10" s="174"/>
      <c r="RM10" s="174"/>
      <c r="RN10" s="174"/>
      <c r="RO10" s="174"/>
      <c r="RP10" s="174"/>
      <c r="RQ10" s="174"/>
      <c r="RR10" s="174"/>
      <c r="RS10" s="174"/>
      <c r="RT10" s="174"/>
      <c r="RU10" s="174"/>
      <c r="RV10" s="174"/>
      <c r="RW10" s="174"/>
      <c r="RX10" s="174"/>
      <c r="RY10" s="174"/>
      <c r="RZ10" s="174"/>
      <c r="SA10" s="174"/>
      <c r="SB10" s="174"/>
      <c r="SC10" s="174"/>
      <c r="SD10" s="174"/>
      <c r="SE10" s="174"/>
      <c r="SF10" s="174"/>
      <c r="SG10" s="174"/>
      <c r="SH10" s="174"/>
      <c r="SI10" s="174"/>
      <c r="SJ10" s="174"/>
      <c r="SK10" s="174"/>
      <c r="SL10" s="174"/>
      <c r="SM10" s="174"/>
      <c r="SN10" s="174"/>
      <c r="SO10" s="174"/>
      <c r="SP10" s="174"/>
      <c r="SQ10" s="174"/>
      <c r="SR10" s="174"/>
      <c r="SS10" s="174"/>
      <c r="ST10" s="174"/>
      <c r="SU10" s="174"/>
      <c r="SV10" s="174"/>
      <c r="SW10" s="174"/>
      <c r="SX10" s="174"/>
      <c r="SY10" s="174"/>
      <c r="SZ10" s="174"/>
      <c r="TA10" s="174"/>
      <c r="TB10" s="174"/>
      <c r="TC10" s="174"/>
      <c r="TD10" s="174"/>
      <c r="TE10" s="174"/>
      <c r="TF10" s="174"/>
      <c r="TG10" s="174"/>
      <c r="TH10" s="174"/>
      <c r="TI10" s="174"/>
      <c r="TJ10" s="174"/>
      <c r="TK10" s="174"/>
      <c r="TL10" s="174"/>
      <c r="TM10" s="174"/>
      <c r="TN10" s="174"/>
      <c r="TO10" s="174"/>
      <c r="TP10" s="174"/>
      <c r="TQ10" s="174"/>
      <c r="TR10" s="174"/>
      <c r="TS10" s="174"/>
      <c r="TT10" s="174"/>
      <c r="TU10" s="174"/>
      <c r="TV10" s="174"/>
      <c r="TW10" s="174"/>
      <c r="TX10" s="174"/>
      <c r="TY10" s="174"/>
      <c r="TZ10" s="174"/>
      <c r="UA10" s="174"/>
      <c r="UB10" s="174"/>
      <c r="UC10" s="174"/>
      <c r="UD10" s="174"/>
      <c r="UE10" s="174"/>
      <c r="UF10" s="174"/>
      <c r="UG10" s="174"/>
      <c r="UH10" s="174"/>
      <c r="UI10" s="174"/>
      <c r="UJ10" s="174"/>
      <c r="UK10" s="174"/>
      <c r="UL10" s="174"/>
      <c r="UM10" s="174"/>
      <c r="UN10" s="174"/>
      <c r="UO10" s="174"/>
      <c r="UP10" s="174"/>
      <c r="UQ10" s="174"/>
      <c r="UR10" s="174"/>
      <c r="US10" s="174"/>
      <c r="UT10" s="174"/>
      <c r="UU10" s="174"/>
      <c r="UV10" s="174"/>
      <c r="UW10" s="174"/>
      <c r="UX10" s="174"/>
      <c r="UY10" s="174"/>
      <c r="UZ10" s="174"/>
      <c r="VA10" s="174"/>
      <c r="VB10" s="174"/>
      <c r="VC10" s="174"/>
      <c r="VD10" s="174"/>
      <c r="VE10" s="174"/>
      <c r="VF10" s="174"/>
      <c r="VG10" s="174"/>
      <c r="VH10" s="174"/>
      <c r="VI10" s="174"/>
      <c r="VJ10" s="174"/>
      <c r="VK10" s="174"/>
      <c r="VL10" s="174"/>
      <c r="VM10" s="174"/>
      <c r="VN10" s="174"/>
      <c r="VO10" s="174"/>
      <c r="VP10" s="174"/>
      <c r="VQ10" s="174"/>
      <c r="VR10" s="174"/>
      <c r="VS10" s="174"/>
      <c r="VT10" s="174"/>
      <c r="VU10" s="174"/>
      <c r="VV10" s="174"/>
      <c r="VW10" s="174"/>
      <c r="VX10" s="174"/>
      <c r="VY10" s="174"/>
      <c r="VZ10" s="174"/>
      <c r="WA10" s="174"/>
      <c r="WB10" s="174"/>
      <c r="WC10" s="174"/>
      <c r="WD10" s="174"/>
      <c r="WE10" s="174"/>
      <c r="WF10" s="174"/>
      <c r="WG10" s="174"/>
      <c r="WH10" s="174"/>
      <c r="WI10" s="174"/>
      <c r="WJ10" s="174"/>
      <c r="WK10" s="174"/>
      <c r="WL10" s="174"/>
      <c r="WM10" s="174"/>
      <c r="WN10" s="174"/>
      <c r="WO10" s="174"/>
      <c r="WP10" s="174"/>
      <c r="WQ10" s="174"/>
      <c r="WR10" s="174"/>
      <c r="WS10" s="174"/>
      <c r="WT10" s="174"/>
      <c r="WU10" s="174"/>
      <c r="WV10" s="174"/>
      <c r="WW10" s="174"/>
      <c r="WX10" s="174"/>
      <c r="WY10" s="174"/>
      <c r="WZ10" s="174"/>
      <c r="XA10" s="174"/>
      <c r="XB10" s="174"/>
      <c r="XC10" s="174"/>
      <c r="XD10" s="174"/>
      <c r="XE10" s="174"/>
      <c r="XF10" s="174"/>
      <c r="XG10" s="174"/>
      <c r="XH10" s="174"/>
      <c r="XI10" s="174"/>
      <c r="XJ10" s="174"/>
      <c r="XK10" s="174"/>
      <c r="XL10" s="174"/>
      <c r="XM10" s="174"/>
      <c r="XN10" s="174"/>
      <c r="XO10" s="174"/>
      <c r="XP10" s="174"/>
      <c r="XQ10" s="174"/>
      <c r="XR10" s="174"/>
      <c r="XS10" s="174"/>
      <c r="XT10" s="174"/>
      <c r="XU10" s="174"/>
      <c r="XV10" s="174"/>
      <c r="XW10" s="174"/>
      <c r="XX10" s="174"/>
      <c r="XY10" s="174"/>
      <c r="XZ10" s="174"/>
      <c r="YA10" s="174"/>
      <c r="YB10" s="174"/>
      <c r="YC10" s="174"/>
      <c r="YD10" s="174"/>
      <c r="YE10" s="174"/>
      <c r="YF10" s="174"/>
      <c r="YG10" s="174"/>
      <c r="YH10" s="174"/>
      <c r="YI10" s="174"/>
      <c r="YJ10" s="174"/>
      <c r="YK10" s="174"/>
      <c r="YL10" s="174"/>
      <c r="YM10" s="174"/>
      <c r="YN10" s="174"/>
      <c r="YO10" s="174"/>
      <c r="YP10" s="174"/>
      <c r="YQ10" s="174"/>
      <c r="YR10" s="174"/>
      <c r="YS10" s="174"/>
      <c r="YT10" s="174"/>
      <c r="YU10" s="174"/>
      <c r="YV10" s="174"/>
      <c r="YW10" s="174"/>
      <c r="YX10" s="174"/>
      <c r="YY10" s="174"/>
      <c r="YZ10" s="174"/>
      <c r="ZA10" s="174"/>
      <c r="ZB10" s="174"/>
      <c r="ZC10" s="174"/>
      <c r="ZD10" s="174"/>
      <c r="ZE10" s="174"/>
      <c r="ZF10" s="174"/>
      <c r="ZG10" s="174"/>
      <c r="ZH10" s="174"/>
      <c r="ZI10" s="174"/>
      <c r="ZJ10" s="174"/>
      <c r="ZK10" s="174"/>
      <c r="ZL10" s="174"/>
      <c r="ZM10" s="174"/>
      <c r="ZN10" s="174"/>
      <c r="ZO10" s="174"/>
      <c r="ZP10" s="174"/>
      <c r="ZQ10" s="174"/>
      <c r="ZR10" s="174"/>
      <c r="ZS10" s="174"/>
      <c r="ZT10" s="174"/>
      <c r="ZU10" s="174"/>
      <c r="ZV10" s="174"/>
      <c r="ZW10" s="174"/>
      <c r="ZX10" s="174"/>
      <c r="ZY10" s="174"/>
      <c r="ZZ10" s="174"/>
      <c r="AAA10" s="174"/>
      <c r="AAB10" s="174"/>
      <c r="AAC10" s="174"/>
      <c r="AAD10" s="174"/>
      <c r="AAE10" s="174"/>
      <c r="AAF10" s="174"/>
      <c r="AAG10" s="174"/>
      <c r="AAH10" s="174"/>
      <c r="AAI10" s="174"/>
      <c r="AAJ10" s="174"/>
      <c r="AAK10" s="174"/>
      <c r="AAL10" s="174"/>
      <c r="AAM10" s="174"/>
      <c r="AAN10" s="174"/>
      <c r="AAO10" s="174"/>
      <c r="AAP10" s="174"/>
      <c r="AAQ10" s="174"/>
      <c r="AAR10" s="174"/>
      <c r="AAS10" s="174"/>
      <c r="AAT10" s="174"/>
      <c r="AAU10" s="174"/>
      <c r="AAV10" s="174"/>
      <c r="AAW10" s="174"/>
      <c r="AAX10" s="174"/>
      <c r="AAY10" s="174"/>
      <c r="AAZ10" s="174"/>
      <c r="ABA10" s="174"/>
      <c r="ABB10" s="174"/>
      <c r="ABC10" s="174"/>
      <c r="ABD10" s="174"/>
      <c r="ABE10" s="174"/>
      <c r="ABF10" s="174"/>
      <c r="ABG10" s="174"/>
      <c r="ABH10" s="174"/>
      <c r="ABI10" s="174"/>
      <c r="ABJ10" s="174"/>
      <c r="ABK10" s="174"/>
      <c r="ABL10" s="174"/>
      <c r="ABM10" s="174"/>
      <c r="ABN10" s="174"/>
      <c r="ABO10" s="174"/>
      <c r="ABP10" s="174"/>
      <c r="ABQ10" s="174"/>
      <c r="ABR10" s="174"/>
      <c r="ABS10" s="174"/>
      <c r="ABT10" s="174"/>
      <c r="ABU10" s="174"/>
      <c r="ABV10" s="174"/>
      <c r="ABW10" s="174"/>
      <c r="ABX10" s="174"/>
      <c r="ABY10" s="174"/>
      <c r="ABZ10" s="174"/>
      <c r="ACA10" s="174"/>
      <c r="ACB10" s="174"/>
      <c r="ACC10" s="174"/>
      <c r="ACD10" s="174"/>
      <c r="ACE10" s="174"/>
      <c r="ACF10" s="174"/>
      <c r="ACG10" s="174"/>
      <c r="ACH10" s="174"/>
      <c r="ACI10" s="174"/>
      <c r="ACJ10" s="174"/>
      <c r="ACK10" s="174"/>
      <c r="ACL10" s="174"/>
      <c r="ACM10" s="174"/>
      <c r="ACN10" s="174"/>
      <c r="ACO10" s="174"/>
      <c r="ACP10" s="174"/>
      <c r="ACQ10" s="174"/>
      <c r="ACR10" s="174"/>
      <c r="ACS10" s="174"/>
      <c r="ACT10" s="174"/>
      <c r="ACU10" s="174"/>
      <c r="ACV10" s="174"/>
      <c r="ACW10" s="174"/>
      <c r="ACX10" s="174"/>
      <c r="ACY10" s="174"/>
      <c r="ACZ10" s="174"/>
      <c r="ADA10" s="174"/>
      <c r="ADB10" s="174"/>
      <c r="ADC10" s="174"/>
      <c r="ADD10" s="174"/>
      <c r="ADE10" s="174"/>
      <c r="ADF10" s="174"/>
      <c r="ADG10" s="174"/>
      <c r="ADH10" s="174"/>
      <c r="ADI10" s="174"/>
      <c r="ADJ10" s="174"/>
      <c r="ADK10" s="174"/>
      <c r="ADL10" s="174"/>
      <c r="ADM10" s="174"/>
      <c r="ADN10" s="174"/>
      <c r="ADO10" s="174"/>
      <c r="ADP10" s="174"/>
      <c r="ADQ10" s="174"/>
      <c r="ADR10" s="174"/>
      <c r="ADS10" s="174"/>
      <c r="ADT10" s="174"/>
      <c r="ADU10" s="174"/>
      <c r="ADV10" s="174"/>
      <c r="ADW10" s="174"/>
      <c r="ADX10" s="174"/>
      <c r="ADY10" s="174"/>
      <c r="ADZ10" s="174"/>
      <c r="AEA10" s="174"/>
      <c r="AEB10" s="174"/>
      <c r="AEC10" s="174"/>
      <c r="AED10" s="174"/>
      <c r="AEE10" s="174"/>
      <c r="AEF10" s="174"/>
      <c r="AEG10" s="174"/>
      <c r="AEH10" s="174"/>
      <c r="AEI10" s="174"/>
      <c r="AEJ10" s="174"/>
      <c r="AEK10" s="174"/>
      <c r="AEL10" s="174"/>
      <c r="AEM10" s="174"/>
      <c r="AEN10" s="174"/>
      <c r="AEO10" s="174"/>
      <c r="AEP10" s="174"/>
      <c r="AEQ10" s="174"/>
      <c r="AER10" s="174"/>
      <c r="AES10" s="174"/>
      <c r="AET10" s="174"/>
      <c r="AEU10" s="174"/>
      <c r="AEV10" s="174"/>
      <c r="AEW10" s="174"/>
      <c r="AEX10" s="174"/>
      <c r="AEY10" s="174"/>
      <c r="AEZ10" s="174"/>
      <c r="AFA10" s="174"/>
      <c r="AFB10" s="174"/>
      <c r="AFC10" s="174"/>
      <c r="AFD10" s="174"/>
      <c r="AFE10" s="174"/>
      <c r="AFF10" s="174"/>
      <c r="AFG10" s="174"/>
      <c r="AFH10" s="174"/>
      <c r="AFI10" s="174"/>
      <c r="AFJ10" s="174"/>
      <c r="AFK10" s="174"/>
      <c r="AFL10" s="174"/>
      <c r="AFM10" s="174"/>
      <c r="AFN10" s="174"/>
      <c r="AFO10" s="174"/>
      <c r="AFP10" s="174"/>
      <c r="AFQ10" s="174"/>
      <c r="AFR10" s="174"/>
      <c r="AFS10" s="174"/>
      <c r="AFT10" s="174"/>
      <c r="AFU10" s="174"/>
      <c r="AFV10" s="174"/>
      <c r="AFW10" s="174"/>
      <c r="AFX10" s="174"/>
      <c r="AFY10" s="174"/>
      <c r="AFZ10" s="174"/>
      <c r="AGA10" s="174"/>
      <c r="AGB10" s="174"/>
      <c r="AGC10" s="174"/>
      <c r="AGD10" s="174"/>
      <c r="AGE10" s="174"/>
      <c r="AGF10" s="174"/>
      <c r="AGG10" s="174"/>
      <c r="AGH10" s="174"/>
      <c r="AGI10" s="174"/>
      <c r="AGJ10" s="174"/>
      <c r="AGK10" s="174"/>
      <c r="AGL10" s="174"/>
      <c r="AGM10" s="174"/>
      <c r="AGN10" s="174"/>
      <c r="AGO10" s="174"/>
      <c r="AGP10" s="174"/>
      <c r="AGQ10" s="174"/>
      <c r="AGR10" s="174"/>
      <c r="AGS10" s="174"/>
      <c r="AGT10" s="174"/>
      <c r="AGU10" s="174"/>
      <c r="AGV10" s="174"/>
      <c r="AGW10" s="174"/>
      <c r="AGX10" s="174"/>
      <c r="AGY10" s="174"/>
      <c r="AGZ10" s="174"/>
      <c r="AHA10" s="174"/>
      <c r="AHB10" s="174"/>
      <c r="AHC10" s="174"/>
      <c r="AHD10" s="174"/>
      <c r="AHE10" s="174"/>
      <c r="AHF10" s="174"/>
      <c r="AHG10" s="174"/>
      <c r="AHH10" s="174"/>
      <c r="AHI10" s="174"/>
      <c r="AHJ10" s="174"/>
      <c r="AHK10" s="174"/>
      <c r="AHL10" s="174"/>
      <c r="AHM10" s="174"/>
      <c r="AHN10" s="174"/>
      <c r="AHO10" s="174"/>
      <c r="AHP10" s="174"/>
      <c r="AHQ10" s="174"/>
      <c r="AHR10" s="174"/>
      <c r="AHS10" s="174"/>
      <c r="AHT10" s="174"/>
      <c r="AHU10" s="174"/>
      <c r="AHV10" s="174"/>
      <c r="AHW10" s="174"/>
      <c r="AHX10" s="174"/>
      <c r="AHY10" s="174"/>
      <c r="AHZ10" s="174"/>
      <c r="AIA10" s="174"/>
      <c r="AIB10" s="174"/>
      <c r="AIC10" s="174"/>
      <c r="AID10" s="174"/>
      <c r="AIE10" s="174"/>
      <c r="AIF10" s="174"/>
      <c r="AIG10" s="174"/>
      <c r="AIH10" s="174"/>
      <c r="AII10" s="174"/>
      <c r="AIJ10" s="174"/>
      <c r="AIK10" s="174"/>
      <c r="AIL10" s="174"/>
      <c r="AIM10" s="174"/>
      <c r="AIN10" s="174"/>
      <c r="AIO10" s="174"/>
      <c r="AIP10" s="174"/>
      <c r="AIQ10" s="174"/>
      <c r="AIR10" s="174"/>
      <c r="AIS10" s="174"/>
      <c r="AIT10" s="174"/>
      <c r="AIU10" s="174"/>
      <c r="AIV10" s="174"/>
      <c r="AIW10" s="174"/>
      <c r="AIX10" s="174"/>
      <c r="AIY10" s="174"/>
      <c r="AIZ10" s="174"/>
      <c r="AJA10" s="174"/>
      <c r="AJB10" s="174"/>
      <c r="AJC10" s="174"/>
      <c r="AJD10" s="174"/>
      <c r="AJE10" s="174"/>
      <c r="AJF10" s="174"/>
      <c r="AJG10" s="174"/>
      <c r="AJH10" s="174"/>
      <c r="AJI10" s="174"/>
      <c r="AJJ10" s="174"/>
      <c r="AJK10" s="174"/>
      <c r="AJL10" s="174"/>
      <c r="AJM10" s="174"/>
      <c r="AJN10" s="174"/>
      <c r="AJO10" s="174"/>
      <c r="AJP10" s="174"/>
      <c r="AJQ10" s="174"/>
      <c r="AJR10" s="174"/>
      <c r="AJS10" s="174"/>
      <c r="AJT10" s="174"/>
      <c r="AJU10" s="174"/>
      <c r="AJV10" s="174"/>
      <c r="AJW10" s="174"/>
      <c r="AJX10" s="174"/>
      <c r="AJY10" s="174"/>
      <c r="AJZ10" s="174"/>
      <c r="AKA10" s="174"/>
      <c r="AKB10" s="174"/>
      <c r="AKC10" s="174"/>
      <c r="AKD10" s="174"/>
      <c r="AKE10" s="174"/>
      <c r="AKF10" s="174"/>
      <c r="AKG10" s="174"/>
      <c r="AKH10" s="174"/>
      <c r="AKI10" s="174"/>
      <c r="AKJ10" s="174"/>
      <c r="AKK10" s="174"/>
      <c r="AKL10" s="174"/>
      <c r="AKM10" s="174"/>
      <c r="AKN10" s="174"/>
      <c r="AKO10" s="174"/>
      <c r="AKP10" s="174"/>
      <c r="AKQ10" s="174"/>
      <c r="AKR10" s="174"/>
      <c r="AKS10" s="174"/>
      <c r="AKT10" s="174"/>
      <c r="AKU10" s="174"/>
      <c r="AKV10" s="174"/>
      <c r="AKW10" s="174"/>
      <c r="AKX10" s="174"/>
      <c r="AKY10" s="174"/>
      <c r="AKZ10" s="174"/>
      <c r="ALA10" s="174"/>
      <c r="ALB10" s="174"/>
      <c r="ALC10" s="174"/>
      <c r="ALD10" s="174"/>
      <c r="ALE10" s="174"/>
      <c r="ALF10" s="174"/>
      <c r="ALG10" s="174"/>
      <c r="ALH10" s="174"/>
      <c r="ALI10" s="174"/>
      <c r="ALJ10" s="174"/>
      <c r="ALK10" s="174"/>
      <c r="ALL10" s="174"/>
      <c r="ALM10" s="174"/>
      <c r="ALN10" s="174"/>
      <c r="ALO10" s="174"/>
      <c r="ALP10" s="174"/>
      <c r="ALQ10" s="174"/>
      <c r="ALR10" s="174"/>
      <c r="ALS10" s="174"/>
      <c r="ALT10" s="174"/>
      <c r="ALU10" s="174"/>
      <c r="ALV10" s="174"/>
      <c r="ALW10" s="174"/>
      <c r="ALX10" s="174"/>
      <c r="ALY10" s="174"/>
      <c r="ALZ10" s="174"/>
      <c r="AMA10" s="174"/>
      <c r="AMB10" s="174"/>
      <c r="AMC10" s="174"/>
      <c r="AMD10" s="174"/>
      <c r="AME10" s="174"/>
      <c r="AMF10" s="174"/>
      <c r="AMG10" s="174"/>
      <c r="AMH10" s="174"/>
      <c r="AMI10" s="174"/>
      <c r="AMJ10" s="174"/>
      <c r="AMK10" s="174"/>
      <c r="AML10" s="174"/>
      <c r="AMM10" s="174"/>
      <c r="AMN10" s="174"/>
      <c r="AMO10" s="174"/>
      <c r="AMP10" s="174"/>
      <c r="AMQ10" s="174"/>
      <c r="AMR10" s="174"/>
      <c r="AMS10" s="174"/>
      <c r="AMT10" s="174"/>
      <c r="AMU10" s="174"/>
      <c r="AMV10" s="174"/>
      <c r="AMW10" s="174"/>
      <c r="AMX10" s="174"/>
      <c r="AMY10" s="174"/>
      <c r="AMZ10" s="174"/>
      <c r="ANA10" s="174"/>
      <c r="ANB10" s="174"/>
      <c r="ANC10" s="174"/>
      <c r="AND10" s="174"/>
      <c r="ANE10" s="174"/>
      <c r="ANF10" s="174"/>
      <c r="ANG10" s="174"/>
      <c r="ANH10" s="174"/>
      <c r="ANI10" s="174"/>
      <c r="ANJ10" s="174"/>
      <c r="ANK10" s="174"/>
      <c r="ANL10" s="174"/>
      <c r="ANM10" s="174"/>
      <c r="ANN10" s="174"/>
      <c r="ANO10" s="174"/>
      <c r="ANP10" s="174"/>
      <c r="ANQ10" s="174"/>
      <c r="ANR10" s="174"/>
      <c r="ANS10" s="174"/>
      <c r="ANT10" s="174"/>
      <c r="ANU10" s="174"/>
      <c r="ANV10" s="174"/>
      <c r="ANW10" s="174"/>
      <c r="ANX10" s="174"/>
      <c r="ANY10" s="174"/>
      <c r="ANZ10" s="174"/>
      <c r="AOA10" s="174"/>
      <c r="AOB10" s="174"/>
      <c r="AOC10" s="174"/>
      <c r="AOD10" s="174"/>
      <c r="AOE10" s="174"/>
      <c r="AOF10" s="174"/>
      <c r="AOG10" s="174"/>
      <c r="AOH10" s="174"/>
      <c r="AOI10" s="174"/>
      <c r="AOJ10" s="174"/>
      <c r="AOK10" s="174"/>
      <c r="AOL10" s="174"/>
      <c r="AOM10" s="174"/>
      <c r="AON10" s="174"/>
      <c r="AOO10" s="174"/>
      <c r="AOP10" s="174"/>
      <c r="AOQ10" s="174"/>
      <c r="AOR10" s="174"/>
      <c r="AOS10" s="174"/>
      <c r="AOT10" s="174"/>
      <c r="AOU10" s="174"/>
      <c r="AOV10" s="174"/>
      <c r="AOW10" s="174"/>
      <c r="AOX10" s="174"/>
      <c r="AOY10" s="174"/>
      <c r="AOZ10" s="174"/>
      <c r="APA10" s="174"/>
      <c r="APB10" s="174"/>
      <c r="APC10" s="174"/>
      <c r="APD10" s="174"/>
      <c r="APE10" s="174"/>
      <c r="APF10" s="174"/>
      <c r="APG10" s="174"/>
      <c r="APH10" s="174"/>
      <c r="API10" s="174"/>
      <c r="APJ10" s="174"/>
      <c r="APK10" s="174"/>
      <c r="APL10" s="174"/>
      <c r="APM10" s="174"/>
      <c r="APN10" s="174"/>
      <c r="APO10" s="174"/>
      <c r="APP10" s="174"/>
      <c r="APQ10" s="174"/>
      <c r="APR10" s="174"/>
      <c r="APS10" s="174"/>
      <c r="APT10" s="174"/>
      <c r="APU10" s="174"/>
      <c r="APV10" s="174"/>
      <c r="APW10" s="174"/>
      <c r="APX10" s="174"/>
      <c r="APY10" s="174"/>
      <c r="APZ10" s="174"/>
      <c r="AQA10" s="174"/>
      <c r="AQB10" s="174"/>
      <c r="AQC10" s="174"/>
      <c r="AQD10" s="174"/>
      <c r="AQE10" s="174"/>
      <c r="AQF10" s="174"/>
      <c r="AQG10" s="174"/>
      <c r="AQH10" s="174"/>
      <c r="AQI10" s="174"/>
      <c r="AQJ10" s="174"/>
      <c r="AQK10" s="174"/>
      <c r="AQL10" s="174"/>
      <c r="AQM10" s="174"/>
      <c r="AQN10" s="174"/>
      <c r="AQO10" s="174"/>
      <c r="AQP10" s="174"/>
      <c r="AQQ10" s="174"/>
      <c r="AQR10" s="174"/>
      <c r="AQS10" s="174"/>
      <c r="AQT10" s="174"/>
      <c r="AQU10" s="174"/>
      <c r="AQV10" s="174"/>
      <c r="AQW10" s="174"/>
      <c r="AQX10" s="174"/>
      <c r="AQY10" s="174"/>
      <c r="AQZ10" s="174"/>
      <c r="ARA10" s="174"/>
      <c r="ARB10" s="174"/>
      <c r="ARC10" s="174"/>
      <c r="ARD10" s="174"/>
      <c r="ARE10" s="174"/>
      <c r="ARF10" s="174"/>
      <c r="ARG10" s="174"/>
      <c r="ARH10" s="174"/>
      <c r="ARI10" s="174"/>
      <c r="ARJ10" s="174"/>
      <c r="ARK10" s="174"/>
      <c r="ARL10" s="174"/>
      <c r="ARM10" s="174"/>
      <c r="ARN10" s="174"/>
      <c r="ARO10" s="174"/>
      <c r="ARP10" s="174"/>
      <c r="ARQ10" s="174"/>
      <c r="ARR10" s="174"/>
      <c r="ARS10" s="174"/>
      <c r="ART10" s="174"/>
      <c r="ARU10" s="174"/>
      <c r="ARV10" s="174"/>
      <c r="ARW10" s="174"/>
      <c r="ARX10" s="174"/>
      <c r="ARY10" s="174"/>
      <c r="ARZ10" s="174"/>
      <c r="ASA10" s="174"/>
      <c r="ASB10" s="174"/>
      <c r="ASC10" s="174"/>
      <c r="ASD10" s="174"/>
      <c r="ASE10" s="174"/>
      <c r="ASF10" s="174"/>
      <c r="ASG10" s="174"/>
      <c r="ASH10" s="174"/>
      <c r="ASI10" s="174"/>
      <c r="ASJ10" s="174"/>
      <c r="ASK10" s="174"/>
      <c r="ASL10" s="174"/>
      <c r="ASM10" s="174"/>
      <c r="ASN10" s="174"/>
      <c r="ASO10" s="174"/>
      <c r="ASP10" s="174"/>
      <c r="ASQ10" s="174"/>
      <c r="ASR10" s="174"/>
      <c r="ASS10" s="174"/>
      <c r="AST10" s="174"/>
      <c r="ASU10" s="174"/>
      <c r="ASV10" s="174"/>
      <c r="ASW10" s="174"/>
      <c r="ASX10" s="174"/>
      <c r="ASY10" s="174"/>
      <c r="ASZ10" s="174"/>
      <c r="ATA10" s="174"/>
      <c r="ATB10" s="174"/>
      <c r="ATC10" s="174"/>
      <c r="ATD10" s="174"/>
      <c r="ATE10" s="174"/>
      <c r="ATF10" s="174"/>
      <c r="ATG10" s="174"/>
      <c r="ATH10" s="174"/>
      <c r="ATI10" s="174"/>
      <c r="ATJ10" s="174"/>
      <c r="ATK10" s="174"/>
      <c r="ATL10" s="174"/>
      <c r="ATM10" s="174"/>
      <c r="ATN10" s="174"/>
      <c r="ATO10" s="174"/>
      <c r="ATP10" s="174"/>
      <c r="ATQ10" s="174"/>
      <c r="ATR10" s="174"/>
      <c r="ATS10" s="174"/>
      <c r="ATT10" s="174"/>
      <c r="ATU10" s="174"/>
      <c r="ATV10" s="174"/>
      <c r="ATW10" s="174"/>
      <c r="ATX10" s="174"/>
      <c r="ATY10" s="174"/>
      <c r="ATZ10" s="174"/>
      <c r="AUA10" s="174"/>
      <c r="AUB10" s="174"/>
      <c r="AUC10" s="174"/>
      <c r="AUD10" s="174"/>
      <c r="AUE10" s="174"/>
      <c r="AUF10" s="174"/>
      <c r="AUG10" s="174"/>
      <c r="AUH10" s="174"/>
      <c r="AUI10" s="174"/>
      <c r="AUJ10" s="174"/>
      <c r="AUK10" s="174"/>
      <c r="AUL10" s="174"/>
      <c r="AUM10" s="174"/>
      <c r="AUN10" s="174"/>
      <c r="AUO10" s="174"/>
      <c r="AUP10" s="174"/>
      <c r="AUQ10" s="174"/>
      <c r="AUR10" s="174"/>
      <c r="AUS10" s="174"/>
      <c r="AUT10" s="174"/>
      <c r="AUU10" s="174"/>
      <c r="AUV10" s="174"/>
      <c r="AUW10" s="174"/>
      <c r="AUX10" s="174"/>
      <c r="AUY10" s="174"/>
      <c r="AUZ10" s="174"/>
      <c r="AVA10" s="174"/>
      <c r="AVB10" s="174"/>
      <c r="AVC10" s="174"/>
      <c r="AVD10" s="174"/>
      <c r="AVE10" s="174"/>
      <c r="AVF10" s="174"/>
      <c r="AVG10" s="174"/>
      <c r="AVH10" s="174"/>
      <c r="AVI10" s="174"/>
      <c r="AVJ10" s="174"/>
      <c r="AVK10" s="174"/>
      <c r="AVL10" s="174"/>
      <c r="AVM10" s="174"/>
      <c r="AVN10" s="174"/>
      <c r="AVO10" s="174"/>
      <c r="AVP10" s="174"/>
      <c r="AVQ10" s="174"/>
      <c r="AVR10" s="174"/>
      <c r="AVS10" s="174"/>
      <c r="AVT10" s="174"/>
      <c r="AVU10" s="174"/>
      <c r="AVV10" s="174"/>
      <c r="AVW10" s="174"/>
      <c r="AVX10" s="174"/>
      <c r="AVY10" s="174"/>
      <c r="AVZ10" s="174"/>
      <c r="AWA10" s="174"/>
      <c r="AWB10" s="174"/>
      <c r="AWC10" s="174"/>
      <c r="AWD10" s="174"/>
      <c r="AWE10" s="174"/>
      <c r="AWF10" s="174"/>
      <c r="AWG10" s="174"/>
      <c r="AWH10" s="174"/>
      <c r="AWI10" s="174"/>
      <c r="AWJ10" s="174"/>
      <c r="AWK10" s="174"/>
      <c r="AWL10" s="174"/>
      <c r="AWM10" s="174"/>
      <c r="AWN10" s="174"/>
      <c r="AWO10" s="174"/>
      <c r="AWP10" s="174"/>
      <c r="AWQ10" s="174"/>
      <c r="AWR10" s="174"/>
      <c r="AWS10" s="174"/>
      <c r="AWT10" s="174"/>
      <c r="AWU10" s="174"/>
      <c r="AWV10" s="174"/>
      <c r="AWW10" s="174"/>
      <c r="AWX10" s="174"/>
      <c r="AWY10" s="174"/>
      <c r="AWZ10" s="174"/>
      <c r="AXA10" s="174"/>
      <c r="AXB10" s="174"/>
      <c r="AXC10" s="174"/>
      <c r="AXD10" s="174"/>
      <c r="AXE10" s="174"/>
      <c r="AXF10" s="174"/>
      <c r="AXG10" s="174"/>
      <c r="AXH10" s="174"/>
      <c r="AXI10" s="174"/>
      <c r="AXJ10" s="174"/>
      <c r="AXK10" s="174"/>
      <c r="AXL10" s="174"/>
      <c r="AXM10" s="174"/>
      <c r="AXN10" s="174"/>
      <c r="AXO10" s="174"/>
      <c r="AXP10" s="174"/>
      <c r="AXQ10" s="174"/>
      <c r="AXR10" s="174"/>
      <c r="AXS10" s="174"/>
      <c r="AXT10" s="174"/>
      <c r="AXU10" s="174"/>
      <c r="AXV10" s="174"/>
      <c r="AXW10" s="174"/>
      <c r="AXX10" s="174"/>
      <c r="AXY10" s="174"/>
      <c r="AXZ10" s="174"/>
      <c r="AYA10" s="174"/>
      <c r="AYB10" s="174"/>
      <c r="AYC10" s="174"/>
      <c r="AYD10" s="174"/>
      <c r="AYE10" s="174"/>
      <c r="AYF10" s="174"/>
      <c r="AYG10" s="174"/>
      <c r="AYH10" s="174"/>
      <c r="AYI10" s="174"/>
      <c r="AYJ10" s="174"/>
      <c r="AYK10" s="174"/>
      <c r="AYL10" s="174"/>
      <c r="AYM10" s="174"/>
      <c r="AYN10" s="174"/>
      <c r="AYO10" s="174"/>
      <c r="AYP10" s="174"/>
      <c r="AYQ10" s="174"/>
      <c r="AYR10" s="174"/>
      <c r="AYS10" s="174"/>
      <c r="AYT10" s="174"/>
      <c r="AYU10" s="174"/>
      <c r="AYV10" s="174"/>
      <c r="AYW10" s="174"/>
      <c r="AYX10" s="174"/>
      <c r="AYY10" s="174"/>
      <c r="AYZ10" s="174"/>
      <c r="AZA10" s="174"/>
      <c r="AZB10" s="174"/>
      <c r="AZC10" s="174"/>
      <c r="AZD10" s="174"/>
      <c r="AZE10" s="174"/>
      <c r="AZF10" s="174"/>
      <c r="AZG10" s="174"/>
      <c r="AZH10" s="174"/>
      <c r="AZI10" s="174"/>
      <c r="AZJ10" s="174"/>
      <c r="AZK10" s="174"/>
      <c r="AZL10" s="174"/>
      <c r="AZM10" s="174"/>
      <c r="AZN10" s="174"/>
      <c r="AZO10" s="174"/>
      <c r="AZP10" s="174"/>
      <c r="AZQ10" s="174"/>
      <c r="AZR10" s="174"/>
      <c r="AZS10" s="174"/>
      <c r="AZT10" s="174"/>
      <c r="AZU10" s="174"/>
      <c r="AZV10" s="174"/>
      <c r="AZW10" s="174"/>
      <c r="AZX10" s="174"/>
      <c r="AZY10" s="174"/>
      <c r="AZZ10" s="174"/>
      <c r="BAA10" s="174"/>
      <c r="BAB10" s="174"/>
      <c r="BAC10" s="174"/>
      <c r="BAD10" s="174"/>
      <c r="BAE10" s="174"/>
      <c r="BAF10" s="174"/>
      <c r="BAG10" s="174"/>
      <c r="BAH10" s="174"/>
      <c r="BAI10" s="174"/>
      <c r="BAJ10" s="174"/>
      <c r="BAK10" s="174"/>
      <c r="BAL10" s="174"/>
      <c r="BAM10" s="174"/>
      <c r="BAN10" s="174"/>
      <c r="BAO10" s="174"/>
      <c r="BAP10" s="174"/>
      <c r="BAQ10" s="174"/>
      <c r="BAR10" s="174"/>
      <c r="BAS10" s="174"/>
      <c r="BAT10" s="174"/>
      <c r="BAU10" s="174"/>
      <c r="BAV10" s="174"/>
      <c r="BAW10" s="174"/>
      <c r="BAX10" s="174"/>
      <c r="BAY10" s="174"/>
      <c r="BAZ10" s="174"/>
      <c r="BBA10" s="174"/>
      <c r="BBB10" s="174"/>
      <c r="BBC10" s="174"/>
      <c r="BBD10" s="174"/>
      <c r="BBE10" s="174"/>
      <c r="BBF10" s="174"/>
      <c r="BBG10" s="174"/>
      <c r="BBH10" s="174"/>
      <c r="BBI10" s="174"/>
      <c r="BBJ10" s="174"/>
      <c r="BBK10" s="174"/>
      <c r="BBL10" s="174"/>
      <c r="BBM10" s="174"/>
      <c r="BBN10" s="174"/>
      <c r="BBO10" s="174"/>
      <c r="BBP10" s="174"/>
      <c r="BBQ10" s="174"/>
      <c r="BBR10" s="174"/>
      <c r="BBS10" s="174"/>
      <c r="BBT10" s="174"/>
      <c r="BBU10" s="174"/>
      <c r="BBV10" s="174"/>
      <c r="BBW10" s="174"/>
      <c r="BBX10" s="174"/>
      <c r="BBY10" s="174"/>
      <c r="BBZ10" s="174"/>
      <c r="BCA10" s="174"/>
      <c r="BCB10" s="174"/>
      <c r="BCC10" s="174"/>
      <c r="BCD10" s="174"/>
      <c r="BCE10" s="174"/>
      <c r="BCF10" s="174"/>
      <c r="BCG10" s="174"/>
      <c r="BCH10" s="174"/>
      <c r="BCI10" s="174"/>
      <c r="BCJ10" s="174"/>
      <c r="BCK10" s="174"/>
      <c r="BCL10" s="174"/>
      <c r="BCM10" s="174"/>
      <c r="BCN10" s="174"/>
      <c r="BCO10" s="174"/>
      <c r="BCP10" s="174"/>
      <c r="BCQ10" s="174"/>
      <c r="BCR10" s="174"/>
      <c r="BCS10" s="174"/>
      <c r="BCT10" s="174"/>
      <c r="BCU10" s="174"/>
      <c r="BCV10" s="174"/>
      <c r="BCW10" s="174"/>
      <c r="BCX10" s="174"/>
      <c r="BCY10" s="174"/>
      <c r="BCZ10" s="174"/>
      <c r="BDA10" s="174"/>
      <c r="BDB10" s="174"/>
      <c r="BDC10" s="174"/>
      <c r="BDD10" s="174"/>
    </row>
    <row r="11" spans="1:1460" ht="9.9499999999999993" customHeight="1">
      <c r="A11" s="174"/>
      <c r="B11" s="1"/>
      <c r="C11" s="174"/>
      <c r="D11" s="174"/>
      <c r="E11" s="207"/>
      <c r="F11" s="208"/>
      <c r="G11" s="208"/>
      <c r="H11" s="208"/>
      <c r="I11" s="208"/>
      <c r="J11" s="208"/>
      <c r="K11" s="208"/>
      <c r="L11" s="208"/>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4"/>
      <c r="BG11" s="174"/>
      <c r="BH11" s="174"/>
      <c r="BI11" s="177"/>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4"/>
      <c r="DT11" s="174"/>
      <c r="DU11" s="174"/>
      <c r="DV11" s="174"/>
      <c r="DW11" s="174"/>
      <c r="DX11" s="174"/>
      <c r="DY11" s="174"/>
      <c r="DZ11" s="174"/>
      <c r="EA11" s="174"/>
      <c r="EB11" s="174"/>
      <c r="EC11" s="174"/>
      <c r="ED11" s="174"/>
      <c r="EE11" s="174"/>
      <c r="EF11" s="174"/>
      <c r="EG11" s="174"/>
      <c r="EH11" s="174"/>
      <c r="EI11" s="174"/>
      <c r="EJ11" s="174"/>
      <c r="EK11" s="174"/>
      <c r="EL11" s="174"/>
      <c r="EM11" s="174"/>
      <c r="EN11" s="174"/>
      <c r="EO11" s="174"/>
      <c r="EP11" s="174"/>
      <c r="EQ11" s="174"/>
      <c r="ER11" s="174"/>
      <c r="ES11" s="174"/>
      <c r="ET11" s="174"/>
      <c r="EU11" s="174"/>
      <c r="EV11" s="174"/>
      <c r="EW11" s="174"/>
      <c r="EX11" s="174"/>
      <c r="EY11" s="174"/>
      <c r="EZ11" s="174"/>
      <c r="FA11" s="174"/>
      <c r="FB11" s="174"/>
      <c r="FC11" s="174"/>
      <c r="FD11" s="174"/>
      <c r="FE11" s="174"/>
      <c r="FF11" s="174"/>
      <c r="FG11" s="174"/>
      <c r="FH11" s="174"/>
      <c r="FI11" s="174"/>
      <c r="FJ11" s="174"/>
      <c r="FK11" s="174"/>
      <c r="FL11" s="174"/>
      <c r="FM11" s="174"/>
      <c r="FN11" s="174"/>
      <c r="FO11" s="174"/>
      <c r="FP11" s="174"/>
      <c r="FQ11" s="174"/>
      <c r="FR11" s="174"/>
      <c r="FS11" s="174"/>
      <c r="FT11" s="174"/>
      <c r="FU11" s="174"/>
      <c r="FV11" s="174"/>
      <c r="FW11" s="174"/>
      <c r="FX11" s="174"/>
      <c r="FY11" s="174"/>
      <c r="FZ11" s="174"/>
      <c r="GA11" s="174"/>
      <c r="GB11" s="174"/>
      <c r="GC11" s="174"/>
      <c r="GD11" s="174"/>
      <c r="GE11" s="174"/>
      <c r="GF11" s="174"/>
      <c r="GG11" s="174"/>
      <c r="GH11" s="174"/>
      <c r="GI11" s="174"/>
      <c r="GJ11" s="174"/>
      <c r="GK11" s="174"/>
      <c r="GL11" s="174"/>
      <c r="GM11" s="174"/>
      <c r="GN11" s="174"/>
      <c r="GO11" s="174"/>
      <c r="GP11" s="174"/>
      <c r="GQ11" s="174"/>
      <c r="GR11" s="174"/>
      <c r="GS11" s="174"/>
      <c r="GT11" s="174"/>
      <c r="GU11" s="174"/>
      <c r="GV11" s="174"/>
      <c r="GW11" s="174"/>
      <c r="GX11" s="174"/>
      <c r="GY11" s="174"/>
      <c r="GZ11" s="174"/>
      <c r="HA11" s="174"/>
      <c r="HB11" s="174"/>
      <c r="HC11" s="174"/>
      <c r="HD11" s="174"/>
      <c r="HE11" s="174"/>
      <c r="HF11" s="174"/>
      <c r="HG11" s="174"/>
      <c r="HH11" s="174"/>
      <c r="HI11" s="174"/>
      <c r="HJ11" s="174"/>
      <c r="HK11" s="174"/>
      <c r="HL11" s="174"/>
      <c r="HM11" s="174"/>
      <c r="HN11" s="174"/>
      <c r="HO11" s="174"/>
      <c r="HP11" s="174"/>
      <c r="HQ11" s="174"/>
      <c r="HR11" s="174"/>
      <c r="HS11" s="174"/>
      <c r="HT11" s="174"/>
      <c r="HU11" s="174"/>
      <c r="HV11" s="174"/>
      <c r="HW11" s="174"/>
      <c r="HX11" s="174"/>
      <c r="HY11" s="174"/>
      <c r="HZ11" s="174"/>
      <c r="IA11" s="174"/>
      <c r="IB11" s="174"/>
      <c r="IC11" s="174"/>
      <c r="ID11" s="174"/>
      <c r="IE11" s="174"/>
      <c r="IF11" s="174"/>
      <c r="IG11" s="174"/>
      <c r="IH11" s="174"/>
      <c r="II11" s="174"/>
      <c r="IJ11" s="174"/>
      <c r="IK11" s="174"/>
      <c r="IL11" s="174"/>
      <c r="IM11" s="174"/>
      <c r="IN11" s="174"/>
      <c r="IO11" s="174"/>
      <c r="IP11" s="174"/>
      <c r="IQ11" s="174"/>
      <c r="IR11" s="174"/>
      <c r="IS11" s="174"/>
      <c r="IT11" s="174"/>
      <c r="IU11" s="174"/>
      <c r="IV11" s="174"/>
      <c r="IW11" s="174"/>
      <c r="IX11" s="174"/>
      <c r="IY11" s="174"/>
      <c r="IZ11" s="174"/>
      <c r="JA11" s="174"/>
      <c r="JB11" s="174"/>
      <c r="JC11" s="174"/>
      <c r="JD11" s="174"/>
      <c r="JE11" s="174"/>
      <c r="JF11" s="174"/>
      <c r="JG11" s="174"/>
      <c r="JH11" s="174"/>
      <c r="JI11" s="174"/>
      <c r="JJ11" s="174"/>
      <c r="JK11" s="174"/>
      <c r="JL11" s="174"/>
      <c r="JM11" s="174"/>
      <c r="JN11" s="174"/>
      <c r="JO11" s="174"/>
      <c r="JP11" s="174"/>
      <c r="JQ11" s="174"/>
      <c r="JR11" s="174"/>
      <c r="JS11" s="174"/>
      <c r="JT11" s="174"/>
      <c r="JU11" s="174"/>
      <c r="JV11" s="174"/>
      <c r="JW11" s="174"/>
      <c r="JX11" s="174"/>
      <c r="JY11" s="174"/>
      <c r="JZ11" s="174"/>
      <c r="KA11" s="174"/>
      <c r="KB11" s="174"/>
      <c r="KC11" s="174"/>
      <c r="KD11" s="174"/>
      <c r="KE11" s="174"/>
      <c r="KF11" s="174"/>
      <c r="KG11" s="174"/>
      <c r="KH11" s="174"/>
      <c r="KI11" s="174"/>
      <c r="KJ11" s="174"/>
      <c r="KK11" s="174"/>
      <c r="KL11" s="174"/>
      <c r="KM11" s="174"/>
      <c r="KN11" s="174"/>
      <c r="KO11" s="174"/>
      <c r="KP11" s="174"/>
      <c r="KQ11" s="174"/>
      <c r="KR11" s="174"/>
      <c r="KS11" s="174"/>
      <c r="KT11" s="174"/>
      <c r="KU11" s="174"/>
      <c r="KV11" s="174"/>
      <c r="KW11" s="174"/>
      <c r="KX11" s="174"/>
      <c r="KY11" s="174"/>
      <c r="KZ11" s="174"/>
      <c r="LA11" s="174"/>
      <c r="LB11" s="174"/>
      <c r="LC11" s="174"/>
      <c r="LD11" s="174"/>
      <c r="LE11" s="174"/>
      <c r="LF11" s="174"/>
      <c r="LG11" s="174"/>
      <c r="LH11" s="174"/>
      <c r="LI11" s="174"/>
      <c r="LJ11" s="174"/>
      <c r="LK11" s="174"/>
      <c r="LL11" s="174"/>
      <c r="LM11" s="174"/>
      <c r="LN11" s="174"/>
      <c r="LO11" s="174"/>
      <c r="LP11" s="174"/>
      <c r="LQ11" s="174"/>
      <c r="LR11" s="174"/>
      <c r="LS11" s="174"/>
      <c r="LT11" s="174"/>
      <c r="LU11" s="174"/>
      <c r="LV11" s="174"/>
      <c r="LW11" s="174"/>
      <c r="LX11" s="174"/>
      <c r="LY11" s="174"/>
      <c r="LZ11" s="174"/>
      <c r="MA11" s="174"/>
      <c r="MB11" s="174"/>
      <c r="MC11" s="174"/>
      <c r="MD11" s="174"/>
      <c r="ME11" s="174"/>
      <c r="MF11" s="174"/>
      <c r="MG11" s="174"/>
      <c r="MH11" s="174"/>
      <c r="MI11" s="174"/>
      <c r="MJ11" s="174"/>
      <c r="MK11" s="174"/>
      <c r="ML11" s="174"/>
      <c r="MM11" s="174"/>
      <c r="MN11" s="174"/>
      <c r="MO11" s="174"/>
      <c r="MP11" s="174"/>
      <c r="MQ11" s="174"/>
      <c r="MR11" s="174"/>
      <c r="MS11" s="174"/>
      <c r="MT11" s="174"/>
      <c r="MU11" s="174"/>
      <c r="MV11" s="174"/>
      <c r="MW11" s="174"/>
      <c r="MX11" s="174"/>
      <c r="MY11" s="174"/>
      <c r="MZ11" s="174"/>
      <c r="NA11" s="174"/>
      <c r="NB11" s="174"/>
      <c r="NC11" s="174"/>
      <c r="ND11" s="174"/>
      <c r="NE11" s="174"/>
      <c r="NF11" s="174"/>
      <c r="NG11" s="174"/>
      <c r="NH11" s="174"/>
      <c r="NI11" s="174"/>
      <c r="NJ11" s="174"/>
      <c r="NK11" s="174"/>
      <c r="NL11" s="174"/>
      <c r="NM11" s="174"/>
      <c r="NN11" s="174"/>
      <c r="NO11" s="174"/>
      <c r="NP11" s="174"/>
      <c r="NQ11" s="174"/>
      <c r="NR11" s="174"/>
      <c r="NS11" s="174"/>
      <c r="NT11" s="174"/>
      <c r="NU11" s="174"/>
      <c r="NV11" s="174"/>
      <c r="NW11" s="174"/>
      <c r="NX11" s="174"/>
      <c r="NY11" s="174"/>
      <c r="NZ11" s="174"/>
      <c r="OA11" s="174"/>
      <c r="OB11" s="174"/>
      <c r="OC11" s="174"/>
      <c r="OD11" s="174"/>
      <c r="OE11" s="174"/>
      <c r="OF11" s="174"/>
      <c r="OG11" s="174"/>
      <c r="OH11" s="174"/>
      <c r="OI11" s="174"/>
      <c r="OJ11" s="174"/>
      <c r="OK11" s="174"/>
      <c r="OL11" s="174"/>
      <c r="OM11" s="174"/>
      <c r="ON11" s="174"/>
      <c r="OO11" s="174"/>
      <c r="OP11" s="174"/>
      <c r="OQ11" s="174"/>
      <c r="OR11" s="174"/>
      <c r="OS11" s="174"/>
      <c r="OT11" s="174"/>
      <c r="OU11" s="174"/>
      <c r="OV11" s="174"/>
      <c r="OW11" s="174"/>
      <c r="OX11" s="174"/>
      <c r="OY11" s="174"/>
      <c r="OZ11" s="174"/>
      <c r="PA11" s="174"/>
      <c r="PB11" s="174"/>
      <c r="PC11" s="174"/>
      <c r="PD11" s="174"/>
      <c r="PE11" s="174"/>
      <c r="PF11" s="174"/>
      <c r="PG11" s="174"/>
      <c r="PH11" s="174"/>
      <c r="PI11" s="174"/>
      <c r="PJ11" s="174"/>
      <c r="PK11" s="174"/>
      <c r="PL11" s="174"/>
      <c r="PM11" s="174"/>
      <c r="PN11" s="174"/>
      <c r="PO11" s="174"/>
      <c r="PP11" s="174"/>
      <c r="PQ11" s="174"/>
      <c r="PR11" s="174"/>
      <c r="PS11" s="174"/>
      <c r="PT11" s="174"/>
      <c r="PU11" s="174"/>
      <c r="PV11" s="174"/>
      <c r="PW11" s="174"/>
      <c r="PX11" s="174"/>
      <c r="PY11" s="174"/>
      <c r="PZ11" s="174"/>
      <c r="QA11" s="174"/>
      <c r="QB11" s="174"/>
      <c r="QC11" s="174"/>
      <c r="QD11" s="174"/>
      <c r="QE11" s="174"/>
      <c r="QF11" s="174"/>
      <c r="QG11" s="174"/>
      <c r="QH11" s="174"/>
      <c r="QI11" s="174"/>
      <c r="QJ11" s="174"/>
      <c r="QK11" s="174"/>
      <c r="QL11" s="174"/>
      <c r="QM11" s="174"/>
      <c r="QN11" s="174"/>
      <c r="QO11" s="174"/>
      <c r="QP11" s="174"/>
      <c r="QQ11" s="174"/>
      <c r="QR11" s="174"/>
      <c r="QS11" s="174"/>
      <c r="QT11" s="174"/>
      <c r="QU11" s="174"/>
      <c r="QV11" s="174"/>
      <c r="QW11" s="174"/>
      <c r="QX11" s="174"/>
      <c r="QY11" s="174"/>
      <c r="QZ11" s="174"/>
      <c r="RA11" s="174"/>
      <c r="RB11" s="174"/>
      <c r="RC11" s="174"/>
      <c r="RD11" s="174"/>
      <c r="RE11" s="174"/>
      <c r="RF11" s="174"/>
      <c r="RG11" s="174"/>
      <c r="RH11" s="174"/>
      <c r="RI11" s="174"/>
      <c r="RJ11" s="174"/>
      <c r="RK11" s="174"/>
      <c r="RL11" s="174"/>
      <c r="RM11" s="174"/>
      <c r="RN11" s="174"/>
      <c r="RO11" s="174"/>
      <c r="RP11" s="174"/>
      <c r="RQ11" s="174"/>
      <c r="RR11" s="174"/>
      <c r="RS11" s="174"/>
      <c r="RT11" s="174"/>
      <c r="RU11" s="174"/>
      <c r="RV11" s="174"/>
      <c r="RW11" s="174"/>
      <c r="RX11" s="174"/>
      <c r="RY11" s="174"/>
      <c r="RZ11" s="174"/>
      <c r="SA11" s="174"/>
      <c r="SB11" s="174"/>
      <c r="SC11" s="174"/>
      <c r="SD11" s="174"/>
      <c r="SE11" s="174"/>
      <c r="SF11" s="174"/>
      <c r="SG11" s="174"/>
      <c r="SH11" s="174"/>
      <c r="SI11" s="174"/>
      <c r="SJ11" s="174"/>
      <c r="SK11" s="174"/>
      <c r="SL11" s="174"/>
      <c r="SM11" s="174"/>
      <c r="SN11" s="174"/>
      <c r="SO11" s="174"/>
      <c r="SP11" s="174"/>
      <c r="SQ11" s="174"/>
      <c r="SR11" s="174"/>
      <c r="SS11" s="174"/>
      <c r="ST11" s="174"/>
      <c r="SU11" s="174"/>
      <c r="SV11" s="174"/>
      <c r="SW11" s="174"/>
      <c r="SX11" s="174"/>
      <c r="SY11" s="174"/>
      <c r="SZ11" s="174"/>
      <c r="TA11" s="174"/>
      <c r="TB11" s="174"/>
      <c r="TC11" s="174"/>
      <c r="TD11" s="174"/>
      <c r="TE11" s="174"/>
      <c r="TF11" s="174"/>
      <c r="TG11" s="174"/>
      <c r="TH11" s="174"/>
      <c r="TI11" s="174"/>
      <c r="TJ11" s="174"/>
      <c r="TK11" s="174"/>
      <c r="TL11" s="174"/>
      <c r="TM11" s="174"/>
      <c r="TN11" s="174"/>
      <c r="TO11" s="174"/>
      <c r="TP11" s="174"/>
      <c r="TQ11" s="174"/>
      <c r="TR11" s="174"/>
      <c r="TS11" s="174"/>
      <c r="TT11" s="174"/>
      <c r="TU11" s="174"/>
      <c r="TV11" s="174"/>
      <c r="TW11" s="174"/>
      <c r="TX11" s="174"/>
      <c r="TY11" s="174"/>
      <c r="TZ11" s="174"/>
      <c r="UA11" s="174"/>
      <c r="UB11" s="174"/>
      <c r="UC11" s="174"/>
      <c r="UD11" s="174"/>
      <c r="UE11" s="174"/>
      <c r="UF11" s="174"/>
      <c r="UG11" s="174"/>
      <c r="UH11" s="174"/>
      <c r="UI11" s="174"/>
      <c r="UJ11" s="174"/>
      <c r="UK11" s="174"/>
      <c r="UL11" s="174"/>
      <c r="UM11" s="174"/>
      <c r="UN11" s="174"/>
      <c r="UO11" s="174"/>
      <c r="UP11" s="174"/>
      <c r="UQ11" s="174"/>
      <c r="UR11" s="174"/>
      <c r="US11" s="174"/>
      <c r="UT11" s="174"/>
      <c r="UU11" s="174"/>
      <c r="UV11" s="174"/>
      <c r="UW11" s="174"/>
      <c r="UX11" s="174"/>
      <c r="UY11" s="174"/>
      <c r="UZ11" s="174"/>
      <c r="VA11" s="174"/>
      <c r="VB11" s="174"/>
      <c r="VC11" s="174"/>
      <c r="VD11" s="174"/>
      <c r="VE11" s="174"/>
      <c r="VF11" s="174"/>
      <c r="VG11" s="174"/>
      <c r="VH11" s="174"/>
      <c r="VI11" s="174"/>
      <c r="VJ11" s="174"/>
      <c r="VK11" s="174"/>
      <c r="VL11" s="174"/>
      <c r="VM11" s="174"/>
      <c r="VN11" s="174"/>
      <c r="VO11" s="174"/>
      <c r="VP11" s="174"/>
      <c r="VQ11" s="174"/>
      <c r="VR11" s="174"/>
      <c r="VS11" s="174"/>
      <c r="VT11" s="174"/>
      <c r="VU11" s="174"/>
      <c r="VV11" s="174"/>
      <c r="VW11" s="174"/>
      <c r="VX11" s="174"/>
      <c r="VY11" s="174"/>
      <c r="VZ11" s="174"/>
      <c r="WA11" s="174"/>
      <c r="WB11" s="174"/>
      <c r="WC11" s="174"/>
      <c r="WD11" s="174"/>
      <c r="WE11" s="174"/>
      <c r="WF11" s="174"/>
      <c r="WG11" s="174"/>
      <c r="WH11" s="174"/>
      <c r="WI11" s="174"/>
      <c r="WJ11" s="174"/>
      <c r="WK11" s="174"/>
      <c r="WL11" s="174"/>
      <c r="WM11" s="174"/>
      <c r="WN11" s="174"/>
      <c r="WO11" s="174"/>
      <c r="WP11" s="174"/>
      <c r="WQ11" s="174"/>
      <c r="WR11" s="174"/>
      <c r="WS11" s="174"/>
      <c r="WT11" s="174"/>
      <c r="WU11" s="174"/>
      <c r="WV11" s="174"/>
      <c r="WW11" s="174"/>
      <c r="WX11" s="174"/>
      <c r="WY11" s="174"/>
      <c r="WZ11" s="174"/>
      <c r="XA11" s="174"/>
      <c r="XB11" s="174"/>
      <c r="XC11" s="174"/>
      <c r="XD11" s="174"/>
      <c r="XE11" s="174"/>
      <c r="XF11" s="174"/>
      <c r="XG11" s="174"/>
      <c r="XH11" s="174"/>
      <c r="XI11" s="174"/>
      <c r="XJ11" s="174"/>
      <c r="XK11" s="174"/>
      <c r="XL11" s="174"/>
      <c r="XM11" s="174"/>
      <c r="XN11" s="174"/>
      <c r="XO11" s="174"/>
      <c r="XP11" s="174"/>
      <c r="XQ11" s="174"/>
      <c r="XR11" s="174"/>
      <c r="XS11" s="174"/>
      <c r="XT11" s="174"/>
      <c r="XU11" s="174"/>
      <c r="XV11" s="174"/>
      <c r="XW11" s="174"/>
      <c r="XX11" s="174"/>
      <c r="XY11" s="174"/>
      <c r="XZ11" s="174"/>
      <c r="YA11" s="174"/>
      <c r="YB11" s="174"/>
      <c r="YC11" s="174"/>
      <c r="YD11" s="174"/>
      <c r="YE11" s="174"/>
      <c r="YF11" s="174"/>
      <c r="YG11" s="174"/>
      <c r="YH11" s="174"/>
      <c r="YI11" s="174"/>
      <c r="YJ11" s="174"/>
      <c r="YK11" s="174"/>
      <c r="YL11" s="174"/>
      <c r="YM11" s="174"/>
      <c r="YN11" s="174"/>
      <c r="YO11" s="174"/>
      <c r="YP11" s="174"/>
      <c r="YQ11" s="174"/>
      <c r="YR11" s="174"/>
      <c r="YS11" s="174"/>
      <c r="YT11" s="174"/>
      <c r="YU11" s="174"/>
      <c r="YV11" s="174"/>
      <c r="YW11" s="174"/>
      <c r="YX11" s="174"/>
      <c r="YY11" s="174"/>
      <c r="YZ11" s="174"/>
      <c r="ZA11" s="174"/>
      <c r="ZB11" s="174"/>
      <c r="ZC11" s="174"/>
      <c r="ZD11" s="174"/>
      <c r="ZE11" s="174"/>
      <c r="ZF11" s="174"/>
      <c r="ZG11" s="174"/>
      <c r="ZH11" s="174"/>
      <c r="ZI11" s="174"/>
      <c r="ZJ11" s="174"/>
      <c r="ZK11" s="174"/>
      <c r="ZL11" s="174"/>
      <c r="ZM11" s="174"/>
      <c r="ZN11" s="174"/>
      <c r="ZO11" s="174"/>
      <c r="ZP11" s="174"/>
      <c r="ZQ11" s="174"/>
      <c r="ZR11" s="174"/>
      <c r="ZS11" s="174"/>
      <c r="ZT11" s="174"/>
      <c r="ZU11" s="174"/>
      <c r="ZV11" s="174"/>
      <c r="ZW11" s="174"/>
      <c r="ZX11" s="174"/>
      <c r="ZY11" s="174"/>
      <c r="ZZ11" s="174"/>
      <c r="AAA11" s="174"/>
      <c r="AAB11" s="174"/>
      <c r="AAC11" s="174"/>
      <c r="AAD11" s="174"/>
      <c r="AAE11" s="174"/>
      <c r="AAF11" s="174"/>
      <c r="AAG11" s="174"/>
      <c r="AAH11" s="174"/>
      <c r="AAI11" s="174"/>
      <c r="AAJ11" s="174"/>
      <c r="AAK11" s="174"/>
      <c r="AAL11" s="174"/>
      <c r="AAM11" s="174"/>
      <c r="AAN11" s="174"/>
      <c r="AAO11" s="174"/>
      <c r="AAP11" s="174"/>
      <c r="AAQ11" s="174"/>
      <c r="AAR11" s="174"/>
      <c r="AAS11" s="174"/>
      <c r="AAT11" s="174"/>
      <c r="AAU11" s="174"/>
      <c r="AAV11" s="174"/>
      <c r="AAW11" s="174"/>
      <c r="AAX11" s="174"/>
      <c r="AAY11" s="174"/>
      <c r="AAZ11" s="174"/>
      <c r="ABA11" s="174"/>
      <c r="ABB11" s="174"/>
      <c r="ABC11" s="174"/>
      <c r="ABD11" s="174"/>
      <c r="ABE11" s="174"/>
      <c r="ABF11" s="174"/>
      <c r="ABG11" s="174"/>
      <c r="ABH11" s="174"/>
      <c r="ABI11" s="174"/>
      <c r="ABJ11" s="174"/>
      <c r="ABK11" s="174"/>
      <c r="ABL11" s="174"/>
      <c r="ABM11" s="174"/>
      <c r="ABN11" s="174"/>
      <c r="ABO11" s="174"/>
      <c r="ABP11" s="174"/>
      <c r="ABQ11" s="174"/>
      <c r="ABR11" s="174"/>
      <c r="ABS11" s="174"/>
      <c r="ABT11" s="174"/>
      <c r="ABU11" s="174"/>
      <c r="ABV11" s="174"/>
      <c r="ABW11" s="174"/>
      <c r="ABX11" s="174"/>
      <c r="ABY11" s="174"/>
      <c r="ABZ11" s="174"/>
      <c r="ACA11" s="174"/>
      <c r="ACB11" s="174"/>
      <c r="ACC11" s="174"/>
      <c r="ACD11" s="174"/>
      <c r="ACE11" s="174"/>
      <c r="ACF11" s="174"/>
      <c r="ACG11" s="174"/>
      <c r="ACH11" s="174"/>
      <c r="ACI11" s="174"/>
      <c r="ACJ11" s="174"/>
      <c r="ACK11" s="174"/>
      <c r="ACL11" s="174"/>
      <c r="ACM11" s="174"/>
      <c r="ACN11" s="174"/>
      <c r="ACO11" s="174"/>
      <c r="ACP11" s="174"/>
      <c r="ACQ11" s="174"/>
      <c r="ACR11" s="174"/>
      <c r="ACS11" s="174"/>
      <c r="ACT11" s="174"/>
      <c r="ACU11" s="174"/>
      <c r="ACV11" s="174"/>
      <c r="ACW11" s="174"/>
      <c r="ACX11" s="174"/>
      <c r="ACY11" s="174"/>
      <c r="ACZ11" s="174"/>
      <c r="ADA11" s="174"/>
      <c r="ADB11" s="174"/>
      <c r="ADC11" s="174"/>
      <c r="ADD11" s="174"/>
      <c r="ADE11" s="174"/>
      <c r="ADF11" s="174"/>
      <c r="ADG11" s="174"/>
      <c r="ADH11" s="174"/>
      <c r="ADI11" s="174"/>
      <c r="ADJ11" s="174"/>
      <c r="ADK11" s="174"/>
      <c r="ADL11" s="174"/>
      <c r="ADM11" s="174"/>
      <c r="ADN11" s="174"/>
      <c r="ADO11" s="174"/>
      <c r="ADP11" s="174"/>
      <c r="ADQ11" s="174"/>
      <c r="ADR11" s="174"/>
      <c r="ADS11" s="174"/>
      <c r="ADT11" s="174"/>
      <c r="ADU11" s="174"/>
      <c r="ADV11" s="174"/>
      <c r="ADW11" s="174"/>
      <c r="ADX11" s="174"/>
      <c r="ADY11" s="174"/>
      <c r="ADZ11" s="174"/>
      <c r="AEA11" s="174"/>
      <c r="AEB11" s="174"/>
      <c r="AEC11" s="174"/>
      <c r="AED11" s="174"/>
      <c r="AEE11" s="174"/>
      <c r="AEF11" s="174"/>
      <c r="AEG11" s="174"/>
      <c r="AEH11" s="174"/>
      <c r="AEI11" s="174"/>
      <c r="AEJ11" s="174"/>
      <c r="AEK11" s="174"/>
      <c r="AEL11" s="174"/>
      <c r="AEM11" s="174"/>
      <c r="AEN11" s="174"/>
      <c r="AEO11" s="174"/>
      <c r="AEP11" s="174"/>
      <c r="AEQ11" s="174"/>
      <c r="AER11" s="174"/>
      <c r="AES11" s="174"/>
      <c r="AET11" s="174"/>
      <c r="AEU11" s="174"/>
      <c r="AEV11" s="174"/>
      <c r="AEW11" s="174"/>
      <c r="AEX11" s="174"/>
      <c r="AEY11" s="174"/>
      <c r="AEZ11" s="174"/>
      <c r="AFA11" s="174"/>
      <c r="AFB11" s="174"/>
      <c r="AFC11" s="174"/>
      <c r="AFD11" s="174"/>
      <c r="AFE11" s="174"/>
      <c r="AFF11" s="174"/>
      <c r="AFG11" s="174"/>
      <c r="AFH11" s="174"/>
      <c r="AFI11" s="174"/>
      <c r="AFJ11" s="174"/>
      <c r="AFK11" s="174"/>
      <c r="AFL11" s="174"/>
      <c r="AFM11" s="174"/>
      <c r="AFN11" s="174"/>
      <c r="AFO11" s="174"/>
      <c r="AFP11" s="174"/>
      <c r="AFQ11" s="174"/>
      <c r="AFR11" s="174"/>
      <c r="AFS11" s="174"/>
      <c r="AFT11" s="174"/>
      <c r="AFU11" s="174"/>
      <c r="AFV11" s="174"/>
      <c r="AFW11" s="174"/>
      <c r="AFX11" s="174"/>
      <c r="AFY11" s="174"/>
      <c r="AFZ11" s="174"/>
      <c r="AGA11" s="174"/>
      <c r="AGB11" s="174"/>
      <c r="AGC11" s="174"/>
      <c r="AGD11" s="174"/>
      <c r="AGE11" s="174"/>
      <c r="AGF11" s="174"/>
      <c r="AGG11" s="174"/>
      <c r="AGH11" s="174"/>
      <c r="AGI11" s="174"/>
      <c r="AGJ11" s="174"/>
      <c r="AGK11" s="174"/>
      <c r="AGL11" s="174"/>
      <c r="AGM11" s="174"/>
      <c r="AGN11" s="174"/>
      <c r="AGO11" s="174"/>
      <c r="AGP11" s="174"/>
      <c r="AGQ11" s="174"/>
      <c r="AGR11" s="174"/>
      <c r="AGS11" s="174"/>
      <c r="AGT11" s="174"/>
      <c r="AGU11" s="174"/>
      <c r="AGV11" s="174"/>
      <c r="AGW11" s="174"/>
      <c r="AGX11" s="174"/>
      <c r="AGY11" s="174"/>
      <c r="AGZ11" s="174"/>
      <c r="AHA11" s="174"/>
      <c r="AHB11" s="174"/>
      <c r="AHC11" s="174"/>
      <c r="AHD11" s="174"/>
      <c r="AHE11" s="174"/>
      <c r="AHF11" s="174"/>
      <c r="AHG11" s="174"/>
      <c r="AHH11" s="174"/>
      <c r="AHI11" s="174"/>
      <c r="AHJ11" s="174"/>
      <c r="AHK11" s="174"/>
      <c r="AHL11" s="174"/>
      <c r="AHM11" s="174"/>
      <c r="AHN11" s="174"/>
      <c r="AHO11" s="174"/>
      <c r="AHP11" s="174"/>
      <c r="AHQ11" s="174"/>
      <c r="AHR11" s="174"/>
      <c r="AHS11" s="174"/>
      <c r="AHT11" s="174"/>
      <c r="AHU11" s="174"/>
      <c r="AHV11" s="174"/>
      <c r="AHW11" s="174"/>
      <c r="AHX11" s="174"/>
      <c r="AHY11" s="174"/>
      <c r="AHZ11" s="174"/>
      <c r="AIA11" s="174"/>
      <c r="AIB11" s="174"/>
      <c r="AIC11" s="174"/>
      <c r="AID11" s="174"/>
      <c r="AIE11" s="174"/>
      <c r="AIF11" s="174"/>
      <c r="AIG11" s="174"/>
      <c r="AIH11" s="174"/>
      <c r="AII11" s="174"/>
      <c r="AIJ11" s="174"/>
      <c r="AIK11" s="174"/>
      <c r="AIL11" s="174"/>
      <c r="AIM11" s="174"/>
      <c r="AIN11" s="174"/>
      <c r="AIO11" s="174"/>
      <c r="AIP11" s="174"/>
      <c r="AIQ11" s="174"/>
      <c r="AIR11" s="174"/>
      <c r="AIS11" s="174"/>
      <c r="AIT11" s="174"/>
      <c r="AIU11" s="174"/>
      <c r="AIV11" s="174"/>
      <c r="AIW11" s="174"/>
      <c r="AIX11" s="174"/>
      <c r="AIY11" s="174"/>
      <c r="AIZ11" s="174"/>
      <c r="AJA11" s="174"/>
      <c r="AJB11" s="174"/>
      <c r="AJC11" s="174"/>
      <c r="AJD11" s="174"/>
      <c r="AJE11" s="174"/>
      <c r="AJF11" s="174"/>
      <c r="AJG11" s="174"/>
      <c r="AJH11" s="174"/>
      <c r="AJI11" s="174"/>
      <c r="AJJ11" s="174"/>
      <c r="AJK11" s="174"/>
      <c r="AJL11" s="174"/>
      <c r="AJM11" s="174"/>
      <c r="AJN11" s="174"/>
      <c r="AJO11" s="174"/>
      <c r="AJP11" s="174"/>
      <c r="AJQ11" s="174"/>
      <c r="AJR11" s="174"/>
      <c r="AJS11" s="174"/>
      <c r="AJT11" s="174"/>
      <c r="AJU11" s="174"/>
      <c r="AJV11" s="174"/>
      <c r="AJW11" s="174"/>
      <c r="AJX11" s="174"/>
      <c r="AJY11" s="174"/>
      <c r="AJZ11" s="174"/>
      <c r="AKA11" s="174"/>
      <c r="AKB11" s="174"/>
      <c r="AKC11" s="174"/>
      <c r="AKD11" s="174"/>
      <c r="AKE11" s="174"/>
      <c r="AKF11" s="174"/>
      <c r="AKG11" s="174"/>
      <c r="AKH11" s="174"/>
      <c r="AKI11" s="174"/>
      <c r="AKJ11" s="174"/>
      <c r="AKK11" s="174"/>
      <c r="AKL11" s="174"/>
      <c r="AKM11" s="174"/>
      <c r="AKN11" s="174"/>
      <c r="AKO11" s="174"/>
      <c r="AKP11" s="174"/>
      <c r="AKQ11" s="174"/>
      <c r="AKR11" s="174"/>
      <c r="AKS11" s="174"/>
      <c r="AKT11" s="174"/>
      <c r="AKU11" s="174"/>
      <c r="AKV11" s="174"/>
      <c r="AKW11" s="174"/>
      <c r="AKX11" s="174"/>
      <c r="AKY11" s="174"/>
      <c r="AKZ11" s="174"/>
      <c r="ALA11" s="174"/>
      <c r="ALB11" s="174"/>
      <c r="ALC11" s="174"/>
      <c r="ALD11" s="174"/>
      <c r="ALE11" s="174"/>
      <c r="ALF11" s="174"/>
      <c r="ALG11" s="174"/>
      <c r="ALH11" s="174"/>
      <c r="ALI11" s="174"/>
      <c r="ALJ11" s="174"/>
      <c r="ALK11" s="174"/>
      <c r="ALL11" s="174"/>
      <c r="ALM11" s="174"/>
      <c r="ALN11" s="174"/>
      <c r="ALO11" s="174"/>
      <c r="ALP11" s="174"/>
      <c r="ALQ11" s="174"/>
      <c r="ALR11" s="174"/>
      <c r="ALS11" s="174"/>
      <c r="ALT11" s="174"/>
      <c r="ALU11" s="174"/>
      <c r="ALV11" s="174"/>
      <c r="ALW11" s="174"/>
      <c r="ALX11" s="174"/>
      <c r="ALY11" s="174"/>
      <c r="ALZ11" s="174"/>
      <c r="AMA11" s="174"/>
      <c r="AMB11" s="174"/>
      <c r="AMC11" s="174"/>
      <c r="AMD11" s="174"/>
      <c r="AME11" s="174"/>
      <c r="AMF11" s="174"/>
      <c r="AMG11" s="174"/>
      <c r="AMH11" s="174"/>
      <c r="AMI11" s="174"/>
      <c r="AMJ11" s="174"/>
      <c r="AMK11" s="174"/>
      <c r="AML11" s="174"/>
      <c r="AMM11" s="174"/>
      <c r="AMN11" s="174"/>
      <c r="AMO11" s="174"/>
      <c r="AMP11" s="174"/>
      <c r="AMQ11" s="174"/>
      <c r="AMR11" s="174"/>
      <c r="AMS11" s="174"/>
      <c r="AMT11" s="174"/>
      <c r="AMU11" s="174"/>
      <c r="AMV11" s="174"/>
      <c r="AMW11" s="174"/>
      <c r="AMX11" s="174"/>
      <c r="AMY11" s="174"/>
      <c r="AMZ11" s="174"/>
      <c r="ANA11" s="174"/>
      <c r="ANB11" s="174"/>
      <c r="ANC11" s="174"/>
      <c r="AND11" s="174"/>
      <c r="ANE11" s="174"/>
      <c r="ANF11" s="174"/>
      <c r="ANG11" s="174"/>
      <c r="ANH11" s="174"/>
      <c r="ANI11" s="174"/>
      <c r="ANJ11" s="174"/>
      <c r="ANK11" s="174"/>
      <c r="ANL11" s="174"/>
      <c r="ANM11" s="174"/>
      <c r="ANN11" s="174"/>
      <c r="ANO11" s="174"/>
      <c r="ANP11" s="174"/>
      <c r="ANQ11" s="174"/>
      <c r="ANR11" s="174"/>
      <c r="ANS11" s="174"/>
      <c r="ANT11" s="174"/>
      <c r="ANU11" s="174"/>
      <c r="ANV11" s="174"/>
      <c r="ANW11" s="174"/>
      <c r="ANX11" s="174"/>
      <c r="ANY11" s="174"/>
      <c r="ANZ11" s="174"/>
      <c r="AOA11" s="174"/>
      <c r="AOB11" s="174"/>
      <c r="AOC11" s="174"/>
      <c r="AOD11" s="174"/>
      <c r="AOE11" s="174"/>
      <c r="AOF11" s="174"/>
      <c r="AOG11" s="174"/>
      <c r="AOH11" s="174"/>
      <c r="AOI11" s="174"/>
      <c r="AOJ11" s="174"/>
      <c r="AOK11" s="174"/>
      <c r="AOL11" s="174"/>
      <c r="AOM11" s="174"/>
      <c r="AON11" s="174"/>
      <c r="AOO11" s="174"/>
      <c r="AOP11" s="174"/>
      <c r="AOQ11" s="174"/>
      <c r="AOR11" s="174"/>
      <c r="AOS11" s="174"/>
      <c r="AOT11" s="174"/>
      <c r="AOU11" s="174"/>
      <c r="AOV11" s="174"/>
      <c r="AOW11" s="174"/>
      <c r="AOX11" s="174"/>
      <c r="AOY11" s="174"/>
      <c r="AOZ11" s="174"/>
      <c r="APA11" s="174"/>
      <c r="APB11" s="174"/>
      <c r="APC11" s="174"/>
      <c r="APD11" s="174"/>
      <c r="APE11" s="174"/>
      <c r="APF11" s="174"/>
      <c r="APG11" s="174"/>
      <c r="APH11" s="174"/>
      <c r="API11" s="174"/>
      <c r="APJ11" s="174"/>
      <c r="APK11" s="174"/>
      <c r="APL11" s="174"/>
      <c r="APM11" s="174"/>
      <c r="APN11" s="174"/>
      <c r="APO11" s="174"/>
      <c r="APP11" s="174"/>
      <c r="APQ11" s="174"/>
      <c r="APR11" s="174"/>
      <c r="APS11" s="174"/>
      <c r="APT11" s="174"/>
      <c r="APU11" s="174"/>
      <c r="APV11" s="174"/>
      <c r="APW11" s="174"/>
      <c r="APX11" s="174"/>
      <c r="APY11" s="174"/>
      <c r="APZ11" s="174"/>
      <c r="AQA11" s="174"/>
      <c r="AQB11" s="174"/>
      <c r="AQC11" s="174"/>
      <c r="AQD11" s="174"/>
      <c r="AQE11" s="174"/>
      <c r="AQF11" s="174"/>
      <c r="AQG11" s="174"/>
      <c r="AQH11" s="174"/>
      <c r="AQI11" s="174"/>
      <c r="AQJ11" s="174"/>
      <c r="AQK11" s="174"/>
      <c r="AQL11" s="174"/>
      <c r="AQM11" s="174"/>
      <c r="AQN11" s="174"/>
      <c r="AQO11" s="174"/>
      <c r="AQP11" s="174"/>
      <c r="AQQ11" s="174"/>
      <c r="AQR11" s="174"/>
      <c r="AQS11" s="174"/>
      <c r="AQT11" s="174"/>
      <c r="AQU11" s="174"/>
      <c r="AQV11" s="174"/>
      <c r="AQW11" s="174"/>
      <c r="AQX11" s="174"/>
      <c r="AQY11" s="174"/>
      <c r="AQZ11" s="174"/>
      <c r="ARA11" s="174"/>
      <c r="ARB11" s="174"/>
      <c r="ARC11" s="174"/>
      <c r="ARD11" s="174"/>
      <c r="ARE11" s="174"/>
      <c r="ARF11" s="174"/>
      <c r="ARG11" s="174"/>
      <c r="ARH11" s="174"/>
      <c r="ARI11" s="174"/>
      <c r="ARJ11" s="174"/>
      <c r="ARK11" s="174"/>
      <c r="ARL11" s="174"/>
      <c r="ARM11" s="174"/>
      <c r="ARN11" s="174"/>
      <c r="ARO11" s="174"/>
      <c r="ARP11" s="174"/>
      <c r="ARQ11" s="174"/>
      <c r="ARR11" s="174"/>
      <c r="ARS11" s="174"/>
      <c r="ART11" s="174"/>
      <c r="ARU11" s="174"/>
      <c r="ARV11" s="174"/>
      <c r="ARW11" s="174"/>
      <c r="ARX11" s="174"/>
      <c r="ARY11" s="174"/>
      <c r="ARZ11" s="174"/>
      <c r="ASA11" s="174"/>
      <c r="ASB11" s="174"/>
      <c r="ASC11" s="174"/>
      <c r="ASD11" s="174"/>
      <c r="ASE11" s="174"/>
      <c r="ASF11" s="174"/>
      <c r="ASG11" s="174"/>
      <c r="ASH11" s="174"/>
      <c r="ASI11" s="174"/>
      <c r="ASJ11" s="174"/>
      <c r="ASK11" s="174"/>
      <c r="ASL11" s="174"/>
      <c r="ASM11" s="174"/>
      <c r="ASN11" s="174"/>
      <c r="ASO11" s="174"/>
      <c r="ASP11" s="174"/>
      <c r="ASQ11" s="174"/>
      <c r="ASR11" s="174"/>
      <c r="ASS11" s="174"/>
      <c r="AST11" s="174"/>
      <c r="ASU11" s="174"/>
      <c r="ASV11" s="174"/>
      <c r="ASW11" s="174"/>
      <c r="ASX11" s="174"/>
      <c r="ASY11" s="174"/>
      <c r="ASZ11" s="174"/>
      <c r="ATA11" s="174"/>
      <c r="ATB11" s="174"/>
      <c r="ATC11" s="174"/>
      <c r="ATD11" s="174"/>
      <c r="ATE11" s="174"/>
      <c r="ATF11" s="174"/>
      <c r="ATG11" s="174"/>
      <c r="ATH11" s="174"/>
      <c r="ATI11" s="174"/>
      <c r="ATJ11" s="174"/>
      <c r="ATK11" s="174"/>
      <c r="ATL11" s="174"/>
      <c r="ATM11" s="174"/>
      <c r="ATN11" s="174"/>
      <c r="ATO11" s="174"/>
      <c r="ATP11" s="174"/>
      <c r="ATQ11" s="174"/>
      <c r="ATR11" s="174"/>
      <c r="ATS11" s="174"/>
      <c r="ATT11" s="174"/>
      <c r="ATU11" s="174"/>
      <c r="ATV11" s="174"/>
      <c r="ATW11" s="174"/>
      <c r="ATX11" s="174"/>
      <c r="ATY11" s="174"/>
      <c r="ATZ11" s="174"/>
      <c r="AUA11" s="174"/>
      <c r="AUB11" s="174"/>
      <c r="AUC11" s="174"/>
      <c r="AUD11" s="174"/>
      <c r="AUE11" s="174"/>
      <c r="AUF11" s="174"/>
      <c r="AUG11" s="174"/>
      <c r="AUH11" s="174"/>
      <c r="AUI11" s="174"/>
      <c r="AUJ11" s="174"/>
      <c r="AUK11" s="174"/>
      <c r="AUL11" s="174"/>
      <c r="AUM11" s="174"/>
      <c r="AUN11" s="174"/>
      <c r="AUO11" s="174"/>
      <c r="AUP11" s="174"/>
      <c r="AUQ11" s="174"/>
      <c r="AUR11" s="174"/>
      <c r="AUS11" s="174"/>
      <c r="AUT11" s="174"/>
      <c r="AUU11" s="174"/>
      <c r="AUV11" s="174"/>
      <c r="AUW11" s="174"/>
      <c r="AUX11" s="174"/>
      <c r="AUY11" s="174"/>
      <c r="AUZ11" s="174"/>
      <c r="AVA11" s="174"/>
      <c r="AVB11" s="174"/>
      <c r="AVC11" s="174"/>
      <c r="AVD11" s="174"/>
      <c r="AVE11" s="174"/>
      <c r="AVF11" s="174"/>
      <c r="AVG11" s="174"/>
      <c r="AVH11" s="174"/>
      <c r="AVI11" s="174"/>
      <c r="AVJ11" s="174"/>
      <c r="AVK11" s="174"/>
      <c r="AVL11" s="174"/>
      <c r="AVM11" s="174"/>
      <c r="AVN11" s="174"/>
      <c r="AVO11" s="174"/>
      <c r="AVP11" s="174"/>
      <c r="AVQ11" s="174"/>
      <c r="AVR11" s="174"/>
      <c r="AVS11" s="174"/>
      <c r="AVT11" s="174"/>
      <c r="AVU11" s="174"/>
      <c r="AVV11" s="174"/>
      <c r="AVW11" s="174"/>
      <c r="AVX11" s="174"/>
      <c r="AVY11" s="174"/>
      <c r="AVZ11" s="174"/>
      <c r="AWA11" s="174"/>
      <c r="AWB11" s="174"/>
      <c r="AWC11" s="174"/>
      <c r="AWD11" s="174"/>
      <c r="AWE11" s="174"/>
      <c r="AWF11" s="174"/>
      <c r="AWG11" s="174"/>
      <c r="AWH11" s="174"/>
      <c r="AWI11" s="174"/>
      <c r="AWJ11" s="174"/>
      <c r="AWK11" s="174"/>
      <c r="AWL11" s="174"/>
      <c r="AWM11" s="174"/>
      <c r="AWN11" s="174"/>
      <c r="AWO11" s="174"/>
      <c r="AWP11" s="174"/>
      <c r="AWQ11" s="174"/>
      <c r="AWR11" s="174"/>
      <c r="AWS11" s="174"/>
      <c r="AWT11" s="174"/>
      <c r="AWU11" s="174"/>
      <c r="AWV11" s="174"/>
      <c r="AWW11" s="174"/>
      <c r="AWX11" s="174"/>
      <c r="AWY11" s="174"/>
      <c r="AWZ11" s="174"/>
      <c r="AXA11" s="174"/>
      <c r="AXB11" s="174"/>
      <c r="AXC11" s="174"/>
      <c r="AXD11" s="174"/>
      <c r="AXE11" s="174"/>
      <c r="AXF11" s="174"/>
      <c r="AXG11" s="174"/>
      <c r="AXH11" s="174"/>
      <c r="AXI11" s="174"/>
      <c r="AXJ11" s="174"/>
      <c r="AXK11" s="174"/>
      <c r="AXL11" s="174"/>
      <c r="AXM11" s="174"/>
      <c r="AXN11" s="174"/>
      <c r="AXO11" s="174"/>
      <c r="AXP11" s="174"/>
      <c r="AXQ11" s="174"/>
      <c r="AXR11" s="174"/>
      <c r="AXS11" s="174"/>
      <c r="AXT11" s="174"/>
      <c r="AXU11" s="174"/>
      <c r="AXV11" s="174"/>
      <c r="AXW11" s="174"/>
      <c r="AXX11" s="174"/>
      <c r="AXY11" s="174"/>
      <c r="AXZ11" s="174"/>
      <c r="AYA11" s="174"/>
      <c r="AYB11" s="174"/>
      <c r="AYC11" s="174"/>
      <c r="AYD11" s="174"/>
      <c r="AYE11" s="174"/>
      <c r="AYF11" s="174"/>
      <c r="AYG11" s="174"/>
      <c r="AYH11" s="174"/>
      <c r="AYI11" s="174"/>
      <c r="AYJ11" s="174"/>
      <c r="AYK11" s="174"/>
      <c r="AYL11" s="174"/>
      <c r="AYM11" s="174"/>
      <c r="AYN11" s="174"/>
      <c r="AYO11" s="174"/>
      <c r="AYP11" s="174"/>
      <c r="AYQ11" s="174"/>
      <c r="AYR11" s="174"/>
      <c r="AYS11" s="174"/>
      <c r="AYT11" s="174"/>
      <c r="AYU11" s="174"/>
      <c r="AYV11" s="174"/>
      <c r="AYW11" s="174"/>
      <c r="AYX11" s="174"/>
      <c r="AYY11" s="174"/>
      <c r="AYZ11" s="174"/>
      <c r="AZA11" s="174"/>
      <c r="AZB11" s="174"/>
      <c r="AZC11" s="174"/>
      <c r="AZD11" s="174"/>
      <c r="AZE11" s="174"/>
      <c r="AZF11" s="174"/>
      <c r="AZG11" s="174"/>
      <c r="AZH11" s="174"/>
      <c r="AZI11" s="174"/>
      <c r="AZJ11" s="174"/>
      <c r="AZK11" s="174"/>
      <c r="AZL11" s="174"/>
      <c r="AZM11" s="174"/>
      <c r="AZN11" s="174"/>
      <c r="AZO11" s="174"/>
      <c r="AZP11" s="174"/>
      <c r="AZQ11" s="174"/>
      <c r="AZR11" s="174"/>
      <c r="AZS11" s="174"/>
      <c r="AZT11" s="174"/>
      <c r="AZU11" s="174"/>
      <c r="AZV11" s="174"/>
      <c r="AZW11" s="174"/>
      <c r="AZX11" s="174"/>
      <c r="AZY11" s="174"/>
      <c r="AZZ11" s="174"/>
      <c r="BAA11" s="174"/>
      <c r="BAB11" s="174"/>
      <c r="BAC11" s="174"/>
      <c r="BAD11" s="174"/>
      <c r="BAE11" s="174"/>
      <c r="BAF11" s="174"/>
      <c r="BAG11" s="174"/>
      <c r="BAH11" s="174"/>
      <c r="BAI11" s="174"/>
      <c r="BAJ11" s="174"/>
      <c r="BAK11" s="174"/>
      <c r="BAL11" s="174"/>
      <c r="BAM11" s="174"/>
      <c r="BAN11" s="174"/>
      <c r="BAO11" s="174"/>
      <c r="BAP11" s="174"/>
      <c r="BAQ11" s="174"/>
      <c r="BAR11" s="174"/>
      <c r="BAS11" s="174"/>
      <c r="BAT11" s="174"/>
      <c r="BAU11" s="174"/>
      <c r="BAV11" s="174"/>
      <c r="BAW11" s="174"/>
      <c r="BAX11" s="174"/>
      <c r="BAY11" s="174"/>
      <c r="BAZ11" s="174"/>
      <c r="BBA11" s="174"/>
      <c r="BBB11" s="174"/>
      <c r="BBC11" s="174"/>
      <c r="BBD11" s="174"/>
      <c r="BBE11" s="174"/>
      <c r="BBF11" s="174"/>
      <c r="BBG11" s="174"/>
      <c r="BBH11" s="174"/>
      <c r="BBI11" s="174"/>
      <c r="BBJ11" s="174"/>
      <c r="BBK11" s="174"/>
      <c r="BBL11" s="174"/>
      <c r="BBM11" s="174"/>
      <c r="BBN11" s="174"/>
      <c r="BBO11" s="174"/>
      <c r="BBP11" s="174"/>
      <c r="BBQ11" s="174"/>
      <c r="BBR11" s="174"/>
      <c r="BBS11" s="174"/>
      <c r="BBT11" s="174"/>
      <c r="BBU11" s="174"/>
      <c r="BBV11" s="174"/>
      <c r="BBW11" s="174"/>
      <c r="BBX11" s="174"/>
      <c r="BBY11" s="174"/>
      <c r="BBZ11" s="174"/>
      <c r="BCA11" s="174"/>
      <c r="BCB11" s="174"/>
      <c r="BCC11" s="174"/>
      <c r="BCD11" s="174"/>
      <c r="BCE11" s="174"/>
      <c r="BCF11" s="174"/>
      <c r="BCG11" s="174"/>
      <c r="BCH11" s="174"/>
      <c r="BCI11" s="174"/>
      <c r="BCJ11" s="174"/>
      <c r="BCK11" s="174"/>
      <c r="BCL11" s="174"/>
      <c r="BCM11" s="174"/>
      <c r="BCN11" s="174"/>
      <c r="BCO11" s="174"/>
      <c r="BCP11" s="174"/>
      <c r="BCQ11" s="174"/>
      <c r="BCR11" s="174"/>
      <c r="BCS11" s="174"/>
      <c r="BCT11" s="174"/>
      <c r="BCU11" s="174"/>
      <c r="BCV11" s="174"/>
      <c r="BCW11" s="174"/>
      <c r="BCX11" s="174"/>
      <c r="BCY11" s="174"/>
      <c r="BCZ11" s="174"/>
      <c r="BDA11" s="174"/>
      <c r="BDB11" s="174"/>
      <c r="BDC11" s="174"/>
      <c r="BDD11" s="174"/>
    </row>
    <row r="12" spans="1:1460" ht="9.9499999999999993" customHeight="1">
      <c r="A12" s="174"/>
      <c r="B12" s="1"/>
      <c r="C12" s="174"/>
      <c r="D12" s="174"/>
      <c r="E12" s="207" t="s">
        <v>7</v>
      </c>
      <c r="F12" s="208"/>
      <c r="G12" s="208"/>
      <c r="H12" s="208"/>
      <c r="I12" s="208"/>
      <c r="J12" s="208"/>
      <c r="K12" s="208"/>
      <c r="L12" s="208"/>
      <c r="M12" s="213" t="s">
        <v>8</v>
      </c>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4"/>
      <c r="BG12" s="174"/>
      <c r="BH12" s="174"/>
      <c r="BI12" s="177"/>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4"/>
      <c r="DT12" s="174"/>
      <c r="DU12" s="174"/>
      <c r="DV12" s="174"/>
      <c r="DW12" s="174"/>
      <c r="DX12" s="174"/>
      <c r="DY12" s="174"/>
      <c r="DZ12" s="174"/>
      <c r="EA12" s="174"/>
      <c r="EB12" s="174"/>
      <c r="EC12" s="174"/>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c r="FA12" s="174"/>
      <c r="FB12" s="174"/>
      <c r="FC12" s="174"/>
      <c r="FD12" s="174"/>
      <c r="FE12" s="174"/>
      <c r="FF12" s="174"/>
      <c r="FG12" s="174"/>
      <c r="FH12" s="174"/>
      <c r="FI12" s="174"/>
      <c r="FJ12" s="174"/>
      <c r="FK12" s="174"/>
      <c r="FL12" s="174"/>
      <c r="FM12" s="174"/>
      <c r="FN12" s="174"/>
      <c r="FO12" s="174"/>
      <c r="FP12" s="174"/>
      <c r="FQ12" s="174"/>
      <c r="FR12" s="174"/>
      <c r="FS12" s="174"/>
      <c r="FT12" s="174"/>
      <c r="FU12" s="174"/>
      <c r="FV12" s="174"/>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174"/>
      <c r="HK12" s="174"/>
      <c r="HL12" s="174"/>
      <c r="HM12" s="174"/>
      <c r="HN12" s="174"/>
      <c r="HO12" s="174"/>
      <c r="HP12" s="174"/>
      <c r="HQ12" s="174"/>
      <c r="HR12" s="174"/>
      <c r="HS12" s="174"/>
      <c r="HT12" s="174"/>
      <c r="HU12" s="174"/>
      <c r="HV12" s="174"/>
      <c r="HW12" s="174"/>
      <c r="HX12" s="174"/>
      <c r="HY12" s="174"/>
      <c r="HZ12" s="174"/>
      <c r="IA12" s="174"/>
      <c r="IB12" s="174"/>
      <c r="IC12" s="174"/>
      <c r="ID12" s="174"/>
      <c r="IE12" s="174"/>
      <c r="IF12" s="174"/>
      <c r="IG12" s="174"/>
      <c r="IH12" s="174"/>
      <c r="II12" s="174"/>
      <c r="IJ12" s="174"/>
      <c r="IK12" s="174"/>
      <c r="IL12" s="174"/>
      <c r="IM12" s="174"/>
      <c r="IN12" s="174"/>
      <c r="IO12" s="174"/>
      <c r="IP12" s="174"/>
      <c r="IQ12" s="174"/>
      <c r="IR12" s="174"/>
      <c r="IS12" s="174"/>
      <c r="IT12" s="174"/>
      <c r="IU12" s="174"/>
      <c r="IV12" s="174"/>
      <c r="IW12" s="174"/>
      <c r="IX12" s="174"/>
      <c r="IY12" s="174"/>
      <c r="IZ12" s="174"/>
      <c r="JA12" s="174"/>
      <c r="JB12" s="174"/>
      <c r="JC12" s="174"/>
      <c r="JD12" s="174"/>
      <c r="JE12" s="174"/>
      <c r="JF12" s="174"/>
      <c r="JG12" s="174"/>
      <c r="JH12" s="174"/>
      <c r="JI12" s="174"/>
      <c r="JJ12" s="174"/>
      <c r="JK12" s="174"/>
      <c r="JL12" s="174"/>
      <c r="JM12" s="174"/>
      <c r="JN12" s="174"/>
      <c r="JO12" s="174"/>
      <c r="JP12" s="174"/>
      <c r="JQ12" s="174"/>
      <c r="JR12" s="174"/>
      <c r="JS12" s="174"/>
      <c r="JT12" s="174"/>
      <c r="JU12" s="174"/>
      <c r="JV12" s="174"/>
      <c r="JW12" s="174"/>
      <c r="JX12" s="174"/>
      <c r="JY12" s="174"/>
      <c r="JZ12" s="174"/>
      <c r="KA12" s="174"/>
      <c r="KB12" s="174"/>
      <c r="KC12" s="174"/>
      <c r="KD12" s="174"/>
      <c r="KE12" s="174"/>
      <c r="KF12" s="174"/>
      <c r="KG12" s="174"/>
      <c r="KH12" s="174"/>
      <c r="KI12" s="174"/>
      <c r="KJ12" s="174"/>
      <c r="KK12" s="174"/>
      <c r="KL12" s="174"/>
      <c r="KM12" s="174"/>
      <c r="KN12" s="174"/>
      <c r="KO12" s="174"/>
      <c r="KP12" s="174"/>
      <c r="KQ12" s="174"/>
      <c r="KR12" s="174"/>
      <c r="KS12" s="174"/>
      <c r="KT12" s="174"/>
      <c r="KU12" s="174"/>
      <c r="KV12" s="174"/>
      <c r="KW12" s="174"/>
      <c r="KX12" s="174"/>
      <c r="KY12" s="174"/>
      <c r="KZ12" s="174"/>
      <c r="LA12" s="174"/>
      <c r="LB12" s="174"/>
      <c r="LC12" s="174"/>
      <c r="LD12" s="174"/>
      <c r="LE12" s="174"/>
      <c r="LF12" s="174"/>
      <c r="LG12" s="174"/>
      <c r="LH12" s="174"/>
      <c r="LI12" s="174"/>
      <c r="LJ12" s="174"/>
      <c r="LK12" s="174"/>
      <c r="LL12" s="174"/>
      <c r="LM12" s="174"/>
      <c r="LN12" s="174"/>
      <c r="LO12" s="174"/>
      <c r="LP12" s="174"/>
      <c r="LQ12" s="174"/>
      <c r="LR12" s="174"/>
      <c r="LS12" s="174"/>
      <c r="LT12" s="174"/>
      <c r="LU12" s="174"/>
      <c r="LV12" s="174"/>
      <c r="LW12" s="174"/>
      <c r="LX12" s="174"/>
      <c r="LY12" s="174"/>
      <c r="LZ12" s="174"/>
      <c r="MA12" s="174"/>
      <c r="MB12" s="174"/>
      <c r="MC12" s="174"/>
      <c r="MD12" s="174"/>
      <c r="ME12" s="174"/>
      <c r="MF12" s="174"/>
      <c r="MG12" s="174"/>
      <c r="MH12" s="174"/>
      <c r="MI12" s="174"/>
      <c r="MJ12" s="174"/>
      <c r="MK12" s="174"/>
      <c r="ML12" s="174"/>
      <c r="MM12" s="174"/>
      <c r="MN12" s="174"/>
      <c r="MO12" s="174"/>
      <c r="MP12" s="174"/>
      <c r="MQ12" s="174"/>
      <c r="MR12" s="174"/>
      <c r="MS12" s="174"/>
      <c r="MT12" s="174"/>
      <c r="MU12" s="174"/>
      <c r="MV12" s="174"/>
      <c r="MW12" s="174"/>
      <c r="MX12" s="174"/>
      <c r="MY12" s="174"/>
      <c r="MZ12" s="174"/>
      <c r="NA12" s="174"/>
      <c r="NB12" s="174"/>
      <c r="NC12" s="174"/>
      <c r="ND12" s="174"/>
      <c r="NE12" s="174"/>
      <c r="NF12" s="174"/>
      <c r="NG12" s="174"/>
      <c r="NH12" s="174"/>
      <c r="NI12" s="174"/>
      <c r="NJ12" s="174"/>
      <c r="NK12" s="174"/>
      <c r="NL12" s="174"/>
      <c r="NM12" s="174"/>
      <c r="NN12" s="174"/>
      <c r="NO12" s="174"/>
      <c r="NP12" s="174"/>
      <c r="NQ12" s="174"/>
      <c r="NR12" s="174"/>
      <c r="NS12" s="174"/>
      <c r="NT12" s="174"/>
      <c r="NU12" s="174"/>
      <c r="NV12" s="174"/>
      <c r="NW12" s="174"/>
      <c r="NX12" s="174"/>
      <c r="NY12" s="174"/>
      <c r="NZ12" s="174"/>
      <c r="OA12" s="174"/>
      <c r="OB12" s="174"/>
      <c r="OC12" s="174"/>
      <c r="OD12" s="174"/>
      <c r="OE12" s="174"/>
      <c r="OF12" s="174"/>
      <c r="OG12" s="174"/>
      <c r="OH12" s="174"/>
      <c r="OI12" s="174"/>
      <c r="OJ12" s="174"/>
      <c r="OK12" s="174"/>
      <c r="OL12" s="174"/>
      <c r="OM12" s="174"/>
      <c r="ON12" s="174"/>
      <c r="OO12" s="174"/>
      <c r="OP12" s="174"/>
      <c r="OQ12" s="174"/>
      <c r="OR12" s="174"/>
      <c r="OS12" s="174"/>
      <c r="OT12" s="174"/>
      <c r="OU12" s="174"/>
      <c r="OV12" s="174"/>
      <c r="OW12" s="174"/>
      <c r="OX12" s="174"/>
      <c r="OY12" s="174"/>
      <c r="OZ12" s="174"/>
      <c r="PA12" s="174"/>
      <c r="PB12" s="174"/>
      <c r="PC12" s="174"/>
      <c r="PD12" s="174"/>
      <c r="PE12" s="174"/>
      <c r="PF12" s="174"/>
      <c r="PG12" s="174"/>
      <c r="PH12" s="174"/>
      <c r="PI12" s="174"/>
      <c r="PJ12" s="174"/>
      <c r="PK12" s="174"/>
      <c r="PL12" s="174"/>
      <c r="PM12" s="174"/>
      <c r="PN12" s="174"/>
      <c r="PO12" s="174"/>
      <c r="PP12" s="174"/>
      <c r="PQ12" s="174"/>
      <c r="PR12" s="174"/>
      <c r="PS12" s="174"/>
      <c r="PT12" s="174"/>
      <c r="PU12" s="174"/>
      <c r="PV12" s="174"/>
      <c r="PW12" s="174"/>
      <c r="PX12" s="174"/>
      <c r="PY12" s="174"/>
      <c r="PZ12" s="174"/>
      <c r="QA12" s="174"/>
      <c r="QB12" s="174"/>
      <c r="QC12" s="174"/>
      <c r="QD12" s="174"/>
      <c r="QE12" s="174"/>
      <c r="QF12" s="174"/>
      <c r="QG12" s="174"/>
      <c r="QH12" s="174"/>
      <c r="QI12" s="174"/>
      <c r="QJ12" s="174"/>
      <c r="QK12" s="174"/>
      <c r="QL12" s="174"/>
      <c r="QM12" s="174"/>
      <c r="QN12" s="174"/>
      <c r="QO12" s="174"/>
      <c r="QP12" s="174"/>
      <c r="QQ12" s="174"/>
      <c r="QR12" s="174"/>
      <c r="QS12" s="174"/>
      <c r="QT12" s="174"/>
      <c r="QU12" s="174"/>
      <c r="QV12" s="174"/>
      <c r="QW12" s="174"/>
      <c r="QX12" s="174"/>
      <c r="QY12" s="174"/>
      <c r="QZ12" s="174"/>
      <c r="RA12" s="174"/>
      <c r="RB12" s="174"/>
      <c r="RC12" s="174"/>
      <c r="RD12" s="174"/>
      <c r="RE12" s="174"/>
      <c r="RF12" s="174"/>
      <c r="RG12" s="174"/>
      <c r="RH12" s="174"/>
      <c r="RI12" s="174"/>
      <c r="RJ12" s="174"/>
      <c r="RK12" s="174"/>
      <c r="RL12" s="174"/>
      <c r="RM12" s="174"/>
      <c r="RN12" s="174"/>
      <c r="RO12" s="174"/>
      <c r="RP12" s="174"/>
      <c r="RQ12" s="174"/>
      <c r="RR12" s="174"/>
      <c r="RS12" s="174"/>
      <c r="RT12" s="174"/>
      <c r="RU12" s="174"/>
      <c r="RV12" s="174"/>
      <c r="RW12" s="174"/>
      <c r="RX12" s="174"/>
      <c r="RY12" s="174"/>
      <c r="RZ12" s="174"/>
      <c r="SA12" s="174"/>
      <c r="SB12" s="174"/>
      <c r="SC12" s="174"/>
      <c r="SD12" s="174"/>
      <c r="SE12" s="174"/>
      <c r="SF12" s="174"/>
      <c r="SG12" s="174"/>
      <c r="SH12" s="174"/>
      <c r="SI12" s="174"/>
      <c r="SJ12" s="174"/>
      <c r="SK12" s="174"/>
      <c r="SL12" s="174"/>
      <c r="SM12" s="174"/>
      <c r="SN12" s="174"/>
      <c r="SO12" s="174"/>
      <c r="SP12" s="174"/>
      <c r="SQ12" s="174"/>
      <c r="SR12" s="174"/>
      <c r="SS12" s="174"/>
      <c r="ST12" s="174"/>
      <c r="SU12" s="174"/>
      <c r="SV12" s="174"/>
      <c r="SW12" s="174"/>
      <c r="SX12" s="174"/>
      <c r="SY12" s="174"/>
      <c r="SZ12" s="174"/>
      <c r="TA12" s="174"/>
      <c r="TB12" s="174"/>
      <c r="TC12" s="174"/>
      <c r="TD12" s="174"/>
      <c r="TE12" s="174"/>
      <c r="TF12" s="174"/>
      <c r="TG12" s="174"/>
      <c r="TH12" s="174"/>
      <c r="TI12" s="174"/>
      <c r="TJ12" s="174"/>
      <c r="TK12" s="174"/>
      <c r="TL12" s="174"/>
      <c r="TM12" s="174"/>
      <c r="TN12" s="174"/>
      <c r="TO12" s="174"/>
      <c r="TP12" s="174"/>
      <c r="TQ12" s="174"/>
      <c r="TR12" s="174"/>
      <c r="TS12" s="174"/>
      <c r="TT12" s="174"/>
      <c r="TU12" s="174"/>
      <c r="TV12" s="174"/>
      <c r="TW12" s="174"/>
      <c r="TX12" s="174"/>
      <c r="TY12" s="174"/>
      <c r="TZ12" s="174"/>
      <c r="UA12" s="174"/>
      <c r="UB12" s="174"/>
      <c r="UC12" s="174"/>
      <c r="UD12" s="174"/>
      <c r="UE12" s="174"/>
      <c r="UF12" s="174"/>
      <c r="UG12" s="174"/>
      <c r="UH12" s="174"/>
      <c r="UI12" s="174"/>
      <c r="UJ12" s="174"/>
      <c r="UK12" s="174"/>
      <c r="UL12" s="174"/>
      <c r="UM12" s="174"/>
      <c r="UN12" s="174"/>
      <c r="UO12" s="174"/>
      <c r="UP12" s="174"/>
      <c r="UQ12" s="174"/>
      <c r="UR12" s="174"/>
      <c r="US12" s="174"/>
      <c r="UT12" s="174"/>
      <c r="UU12" s="174"/>
      <c r="UV12" s="174"/>
      <c r="UW12" s="174"/>
      <c r="UX12" s="174"/>
      <c r="UY12" s="174"/>
      <c r="UZ12" s="174"/>
      <c r="VA12" s="174"/>
      <c r="VB12" s="174"/>
      <c r="VC12" s="174"/>
      <c r="VD12" s="174"/>
      <c r="VE12" s="174"/>
      <c r="VF12" s="174"/>
      <c r="VG12" s="174"/>
      <c r="VH12" s="174"/>
      <c r="VI12" s="174"/>
      <c r="VJ12" s="174"/>
      <c r="VK12" s="174"/>
      <c r="VL12" s="174"/>
      <c r="VM12" s="174"/>
      <c r="VN12" s="174"/>
      <c r="VO12" s="174"/>
      <c r="VP12" s="174"/>
      <c r="VQ12" s="174"/>
      <c r="VR12" s="174"/>
      <c r="VS12" s="174"/>
      <c r="VT12" s="174"/>
      <c r="VU12" s="174"/>
      <c r="VV12" s="174"/>
      <c r="VW12" s="174"/>
      <c r="VX12" s="174"/>
      <c r="VY12" s="174"/>
      <c r="VZ12" s="174"/>
      <c r="WA12" s="174"/>
      <c r="WB12" s="174"/>
      <c r="WC12" s="174"/>
      <c r="WD12" s="174"/>
      <c r="WE12" s="174"/>
      <c r="WF12" s="174"/>
      <c r="WG12" s="174"/>
      <c r="WH12" s="174"/>
      <c r="WI12" s="174"/>
      <c r="WJ12" s="174"/>
      <c r="WK12" s="174"/>
      <c r="WL12" s="174"/>
      <c r="WM12" s="174"/>
      <c r="WN12" s="174"/>
      <c r="WO12" s="174"/>
      <c r="WP12" s="174"/>
      <c r="WQ12" s="174"/>
      <c r="WR12" s="174"/>
      <c r="WS12" s="174"/>
      <c r="WT12" s="174"/>
      <c r="WU12" s="174"/>
      <c r="WV12" s="174"/>
      <c r="WW12" s="174"/>
      <c r="WX12" s="174"/>
      <c r="WY12" s="174"/>
      <c r="WZ12" s="174"/>
      <c r="XA12" s="174"/>
      <c r="XB12" s="174"/>
      <c r="XC12" s="174"/>
      <c r="XD12" s="174"/>
      <c r="XE12" s="174"/>
      <c r="XF12" s="174"/>
      <c r="XG12" s="174"/>
      <c r="XH12" s="174"/>
      <c r="XI12" s="174"/>
      <c r="XJ12" s="174"/>
      <c r="XK12" s="174"/>
      <c r="XL12" s="174"/>
      <c r="XM12" s="174"/>
      <c r="XN12" s="174"/>
      <c r="XO12" s="174"/>
      <c r="XP12" s="174"/>
      <c r="XQ12" s="174"/>
      <c r="XR12" s="174"/>
      <c r="XS12" s="174"/>
      <c r="XT12" s="174"/>
      <c r="XU12" s="174"/>
      <c r="XV12" s="174"/>
      <c r="XW12" s="174"/>
      <c r="XX12" s="174"/>
      <c r="XY12" s="174"/>
      <c r="XZ12" s="174"/>
      <c r="YA12" s="174"/>
      <c r="YB12" s="174"/>
      <c r="YC12" s="174"/>
      <c r="YD12" s="174"/>
      <c r="YE12" s="174"/>
      <c r="YF12" s="174"/>
      <c r="YG12" s="174"/>
      <c r="YH12" s="174"/>
      <c r="YI12" s="174"/>
      <c r="YJ12" s="174"/>
      <c r="YK12" s="174"/>
      <c r="YL12" s="174"/>
      <c r="YM12" s="174"/>
      <c r="YN12" s="174"/>
      <c r="YO12" s="174"/>
      <c r="YP12" s="174"/>
      <c r="YQ12" s="174"/>
      <c r="YR12" s="174"/>
      <c r="YS12" s="174"/>
      <c r="YT12" s="174"/>
      <c r="YU12" s="174"/>
      <c r="YV12" s="174"/>
      <c r="YW12" s="174"/>
      <c r="YX12" s="174"/>
      <c r="YY12" s="174"/>
      <c r="YZ12" s="174"/>
      <c r="ZA12" s="174"/>
      <c r="ZB12" s="174"/>
      <c r="ZC12" s="174"/>
      <c r="ZD12" s="174"/>
      <c r="ZE12" s="174"/>
      <c r="ZF12" s="174"/>
      <c r="ZG12" s="174"/>
      <c r="ZH12" s="174"/>
      <c r="ZI12" s="174"/>
      <c r="ZJ12" s="174"/>
      <c r="ZK12" s="174"/>
      <c r="ZL12" s="174"/>
      <c r="ZM12" s="174"/>
      <c r="ZN12" s="174"/>
      <c r="ZO12" s="174"/>
      <c r="ZP12" s="174"/>
      <c r="ZQ12" s="174"/>
      <c r="ZR12" s="174"/>
      <c r="ZS12" s="174"/>
      <c r="ZT12" s="174"/>
      <c r="ZU12" s="174"/>
      <c r="ZV12" s="174"/>
      <c r="ZW12" s="174"/>
      <c r="ZX12" s="174"/>
      <c r="ZY12" s="174"/>
      <c r="ZZ12" s="174"/>
      <c r="AAA12" s="174"/>
      <c r="AAB12" s="174"/>
      <c r="AAC12" s="174"/>
      <c r="AAD12" s="174"/>
      <c r="AAE12" s="174"/>
      <c r="AAF12" s="174"/>
      <c r="AAG12" s="174"/>
      <c r="AAH12" s="174"/>
      <c r="AAI12" s="174"/>
      <c r="AAJ12" s="174"/>
      <c r="AAK12" s="174"/>
      <c r="AAL12" s="174"/>
      <c r="AAM12" s="174"/>
      <c r="AAN12" s="174"/>
      <c r="AAO12" s="174"/>
      <c r="AAP12" s="174"/>
      <c r="AAQ12" s="174"/>
      <c r="AAR12" s="174"/>
      <c r="AAS12" s="174"/>
      <c r="AAT12" s="174"/>
      <c r="AAU12" s="174"/>
      <c r="AAV12" s="174"/>
      <c r="AAW12" s="174"/>
      <c r="AAX12" s="174"/>
      <c r="AAY12" s="174"/>
      <c r="AAZ12" s="174"/>
      <c r="ABA12" s="174"/>
      <c r="ABB12" s="174"/>
      <c r="ABC12" s="174"/>
      <c r="ABD12" s="174"/>
      <c r="ABE12" s="174"/>
      <c r="ABF12" s="174"/>
      <c r="ABG12" s="174"/>
      <c r="ABH12" s="174"/>
      <c r="ABI12" s="174"/>
      <c r="ABJ12" s="174"/>
      <c r="ABK12" s="174"/>
      <c r="ABL12" s="174"/>
      <c r="ABM12" s="174"/>
      <c r="ABN12" s="174"/>
      <c r="ABO12" s="174"/>
      <c r="ABP12" s="174"/>
      <c r="ABQ12" s="174"/>
      <c r="ABR12" s="174"/>
      <c r="ABS12" s="174"/>
      <c r="ABT12" s="174"/>
      <c r="ABU12" s="174"/>
      <c r="ABV12" s="174"/>
      <c r="ABW12" s="174"/>
      <c r="ABX12" s="174"/>
      <c r="ABY12" s="174"/>
      <c r="ABZ12" s="174"/>
      <c r="ACA12" s="174"/>
      <c r="ACB12" s="174"/>
      <c r="ACC12" s="174"/>
      <c r="ACD12" s="174"/>
      <c r="ACE12" s="174"/>
      <c r="ACF12" s="174"/>
      <c r="ACG12" s="174"/>
      <c r="ACH12" s="174"/>
      <c r="ACI12" s="174"/>
      <c r="ACJ12" s="174"/>
      <c r="ACK12" s="174"/>
      <c r="ACL12" s="174"/>
      <c r="ACM12" s="174"/>
      <c r="ACN12" s="174"/>
      <c r="ACO12" s="174"/>
      <c r="ACP12" s="174"/>
      <c r="ACQ12" s="174"/>
      <c r="ACR12" s="174"/>
      <c r="ACS12" s="174"/>
      <c r="ACT12" s="174"/>
      <c r="ACU12" s="174"/>
      <c r="ACV12" s="174"/>
      <c r="ACW12" s="174"/>
      <c r="ACX12" s="174"/>
      <c r="ACY12" s="174"/>
      <c r="ACZ12" s="174"/>
      <c r="ADA12" s="174"/>
      <c r="ADB12" s="174"/>
      <c r="ADC12" s="174"/>
      <c r="ADD12" s="174"/>
      <c r="ADE12" s="174"/>
      <c r="ADF12" s="174"/>
      <c r="ADG12" s="174"/>
      <c r="ADH12" s="174"/>
      <c r="ADI12" s="174"/>
      <c r="ADJ12" s="174"/>
      <c r="ADK12" s="174"/>
      <c r="ADL12" s="174"/>
      <c r="ADM12" s="174"/>
      <c r="ADN12" s="174"/>
      <c r="ADO12" s="174"/>
      <c r="ADP12" s="174"/>
      <c r="ADQ12" s="174"/>
      <c r="ADR12" s="174"/>
      <c r="ADS12" s="174"/>
      <c r="ADT12" s="174"/>
      <c r="ADU12" s="174"/>
      <c r="ADV12" s="174"/>
      <c r="ADW12" s="174"/>
      <c r="ADX12" s="174"/>
      <c r="ADY12" s="174"/>
      <c r="ADZ12" s="174"/>
      <c r="AEA12" s="174"/>
      <c r="AEB12" s="174"/>
      <c r="AEC12" s="174"/>
      <c r="AED12" s="174"/>
      <c r="AEE12" s="174"/>
      <c r="AEF12" s="174"/>
      <c r="AEG12" s="174"/>
      <c r="AEH12" s="174"/>
      <c r="AEI12" s="174"/>
      <c r="AEJ12" s="174"/>
      <c r="AEK12" s="174"/>
      <c r="AEL12" s="174"/>
      <c r="AEM12" s="174"/>
      <c r="AEN12" s="174"/>
      <c r="AEO12" s="174"/>
      <c r="AEP12" s="174"/>
      <c r="AEQ12" s="174"/>
      <c r="AER12" s="174"/>
      <c r="AES12" s="174"/>
      <c r="AET12" s="174"/>
      <c r="AEU12" s="174"/>
      <c r="AEV12" s="174"/>
      <c r="AEW12" s="174"/>
      <c r="AEX12" s="174"/>
      <c r="AEY12" s="174"/>
      <c r="AEZ12" s="174"/>
      <c r="AFA12" s="174"/>
      <c r="AFB12" s="174"/>
      <c r="AFC12" s="174"/>
      <c r="AFD12" s="174"/>
      <c r="AFE12" s="174"/>
      <c r="AFF12" s="174"/>
      <c r="AFG12" s="174"/>
      <c r="AFH12" s="174"/>
      <c r="AFI12" s="174"/>
      <c r="AFJ12" s="174"/>
      <c r="AFK12" s="174"/>
      <c r="AFL12" s="174"/>
      <c r="AFM12" s="174"/>
      <c r="AFN12" s="174"/>
      <c r="AFO12" s="174"/>
      <c r="AFP12" s="174"/>
      <c r="AFQ12" s="174"/>
      <c r="AFR12" s="174"/>
      <c r="AFS12" s="174"/>
      <c r="AFT12" s="174"/>
      <c r="AFU12" s="174"/>
      <c r="AFV12" s="174"/>
      <c r="AFW12" s="174"/>
      <c r="AFX12" s="174"/>
      <c r="AFY12" s="174"/>
      <c r="AFZ12" s="174"/>
      <c r="AGA12" s="174"/>
      <c r="AGB12" s="174"/>
      <c r="AGC12" s="174"/>
      <c r="AGD12" s="174"/>
      <c r="AGE12" s="174"/>
      <c r="AGF12" s="174"/>
      <c r="AGG12" s="174"/>
      <c r="AGH12" s="174"/>
      <c r="AGI12" s="174"/>
      <c r="AGJ12" s="174"/>
      <c r="AGK12" s="174"/>
      <c r="AGL12" s="174"/>
      <c r="AGM12" s="174"/>
      <c r="AGN12" s="174"/>
      <c r="AGO12" s="174"/>
      <c r="AGP12" s="174"/>
      <c r="AGQ12" s="174"/>
      <c r="AGR12" s="174"/>
      <c r="AGS12" s="174"/>
      <c r="AGT12" s="174"/>
      <c r="AGU12" s="174"/>
      <c r="AGV12" s="174"/>
      <c r="AGW12" s="174"/>
      <c r="AGX12" s="174"/>
      <c r="AGY12" s="174"/>
      <c r="AGZ12" s="174"/>
      <c r="AHA12" s="174"/>
      <c r="AHB12" s="174"/>
      <c r="AHC12" s="174"/>
      <c r="AHD12" s="174"/>
      <c r="AHE12" s="174"/>
      <c r="AHF12" s="174"/>
      <c r="AHG12" s="174"/>
      <c r="AHH12" s="174"/>
      <c r="AHI12" s="174"/>
      <c r="AHJ12" s="174"/>
      <c r="AHK12" s="174"/>
      <c r="AHL12" s="174"/>
      <c r="AHM12" s="174"/>
      <c r="AHN12" s="174"/>
      <c r="AHO12" s="174"/>
      <c r="AHP12" s="174"/>
      <c r="AHQ12" s="174"/>
      <c r="AHR12" s="174"/>
      <c r="AHS12" s="174"/>
      <c r="AHT12" s="174"/>
      <c r="AHU12" s="174"/>
      <c r="AHV12" s="174"/>
      <c r="AHW12" s="174"/>
      <c r="AHX12" s="174"/>
      <c r="AHY12" s="174"/>
      <c r="AHZ12" s="174"/>
      <c r="AIA12" s="174"/>
      <c r="AIB12" s="174"/>
      <c r="AIC12" s="174"/>
      <c r="AID12" s="174"/>
      <c r="AIE12" s="174"/>
      <c r="AIF12" s="174"/>
      <c r="AIG12" s="174"/>
      <c r="AIH12" s="174"/>
      <c r="AII12" s="174"/>
      <c r="AIJ12" s="174"/>
      <c r="AIK12" s="174"/>
      <c r="AIL12" s="174"/>
      <c r="AIM12" s="174"/>
      <c r="AIN12" s="174"/>
      <c r="AIO12" s="174"/>
      <c r="AIP12" s="174"/>
      <c r="AIQ12" s="174"/>
      <c r="AIR12" s="174"/>
      <c r="AIS12" s="174"/>
      <c r="AIT12" s="174"/>
      <c r="AIU12" s="174"/>
      <c r="AIV12" s="174"/>
      <c r="AIW12" s="174"/>
      <c r="AIX12" s="174"/>
      <c r="AIY12" s="174"/>
      <c r="AIZ12" s="174"/>
      <c r="AJA12" s="174"/>
      <c r="AJB12" s="174"/>
      <c r="AJC12" s="174"/>
      <c r="AJD12" s="174"/>
      <c r="AJE12" s="174"/>
      <c r="AJF12" s="174"/>
      <c r="AJG12" s="174"/>
      <c r="AJH12" s="174"/>
      <c r="AJI12" s="174"/>
      <c r="AJJ12" s="174"/>
      <c r="AJK12" s="174"/>
      <c r="AJL12" s="174"/>
      <c r="AJM12" s="174"/>
      <c r="AJN12" s="174"/>
      <c r="AJO12" s="174"/>
      <c r="AJP12" s="174"/>
      <c r="AJQ12" s="174"/>
      <c r="AJR12" s="174"/>
      <c r="AJS12" s="174"/>
      <c r="AJT12" s="174"/>
      <c r="AJU12" s="174"/>
      <c r="AJV12" s="174"/>
      <c r="AJW12" s="174"/>
      <c r="AJX12" s="174"/>
      <c r="AJY12" s="174"/>
      <c r="AJZ12" s="174"/>
      <c r="AKA12" s="174"/>
      <c r="AKB12" s="174"/>
      <c r="AKC12" s="174"/>
      <c r="AKD12" s="174"/>
      <c r="AKE12" s="174"/>
      <c r="AKF12" s="174"/>
      <c r="AKG12" s="174"/>
      <c r="AKH12" s="174"/>
      <c r="AKI12" s="174"/>
      <c r="AKJ12" s="174"/>
      <c r="AKK12" s="174"/>
      <c r="AKL12" s="174"/>
      <c r="AKM12" s="174"/>
      <c r="AKN12" s="174"/>
      <c r="AKO12" s="174"/>
      <c r="AKP12" s="174"/>
      <c r="AKQ12" s="174"/>
      <c r="AKR12" s="174"/>
      <c r="AKS12" s="174"/>
      <c r="AKT12" s="174"/>
      <c r="AKU12" s="174"/>
      <c r="AKV12" s="174"/>
      <c r="AKW12" s="174"/>
      <c r="AKX12" s="174"/>
      <c r="AKY12" s="174"/>
      <c r="AKZ12" s="174"/>
      <c r="ALA12" s="174"/>
      <c r="ALB12" s="174"/>
      <c r="ALC12" s="174"/>
      <c r="ALD12" s="174"/>
      <c r="ALE12" s="174"/>
      <c r="ALF12" s="174"/>
      <c r="ALG12" s="174"/>
      <c r="ALH12" s="174"/>
      <c r="ALI12" s="174"/>
      <c r="ALJ12" s="174"/>
      <c r="ALK12" s="174"/>
      <c r="ALL12" s="174"/>
      <c r="ALM12" s="174"/>
      <c r="ALN12" s="174"/>
      <c r="ALO12" s="174"/>
      <c r="ALP12" s="174"/>
      <c r="ALQ12" s="174"/>
      <c r="ALR12" s="174"/>
      <c r="ALS12" s="174"/>
      <c r="ALT12" s="174"/>
      <c r="ALU12" s="174"/>
      <c r="ALV12" s="174"/>
      <c r="ALW12" s="174"/>
      <c r="ALX12" s="174"/>
      <c r="ALY12" s="174"/>
      <c r="ALZ12" s="174"/>
      <c r="AMA12" s="174"/>
      <c r="AMB12" s="174"/>
      <c r="AMC12" s="174"/>
      <c r="AMD12" s="174"/>
      <c r="AME12" s="174"/>
      <c r="AMF12" s="174"/>
      <c r="AMG12" s="174"/>
      <c r="AMH12" s="174"/>
      <c r="AMI12" s="174"/>
      <c r="AMJ12" s="174"/>
      <c r="AMK12" s="174"/>
      <c r="AML12" s="174"/>
      <c r="AMM12" s="174"/>
      <c r="AMN12" s="174"/>
      <c r="AMO12" s="174"/>
      <c r="AMP12" s="174"/>
      <c r="AMQ12" s="174"/>
      <c r="AMR12" s="174"/>
      <c r="AMS12" s="174"/>
      <c r="AMT12" s="174"/>
      <c r="AMU12" s="174"/>
      <c r="AMV12" s="174"/>
      <c r="AMW12" s="174"/>
      <c r="AMX12" s="174"/>
      <c r="AMY12" s="174"/>
      <c r="AMZ12" s="174"/>
      <c r="ANA12" s="174"/>
      <c r="ANB12" s="174"/>
      <c r="ANC12" s="174"/>
      <c r="AND12" s="174"/>
      <c r="ANE12" s="174"/>
      <c r="ANF12" s="174"/>
      <c r="ANG12" s="174"/>
      <c r="ANH12" s="174"/>
      <c r="ANI12" s="174"/>
      <c r="ANJ12" s="174"/>
      <c r="ANK12" s="174"/>
      <c r="ANL12" s="174"/>
      <c r="ANM12" s="174"/>
      <c r="ANN12" s="174"/>
      <c r="ANO12" s="174"/>
      <c r="ANP12" s="174"/>
      <c r="ANQ12" s="174"/>
      <c r="ANR12" s="174"/>
      <c r="ANS12" s="174"/>
      <c r="ANT12" s="174"/>
      <c r="ANU12" s="174"/>
      <c r="ANV12" s="174"/>
      <c r="ANW12" s="174"/>
      <c r="ANX12" s="174"/>
      <c r="ANY12" s="174"/>
      <c r="ANZ12" s="174"/>
      <c r="AOA12" s="174"/>
      <c r="AOB12" s="174"/>
      <c r="AOC12" s="174"/>
      <c r="AOD12" s="174"/>
      <c r="AOE12" s="174"/>
      <c r="AOF12" s="174"/>
      <c r="AOG12" s="174"/>
      <c r="AOH12" s="174"/>
      <c r="AOI12" s="174"/>
      <c r="AOJ12" s="174"/>
      <c r="AOK12" s="174"/>
      <c r="AOL12" s="174"/>
      <c r="AOM12" s="174"/>
      <c r="AON12" s="174"/>
      <c r="AOO12" s="174"/>
      <c r="AOP12" s="174"/>
      <c r="AOQ12" s="174"/>
      <c r="AOR12" s="174"/>
      <c r="AOS12" s="174"/>
      <c r="AOT12" s="174"/>
      <c r="AOU12" s="174"/>
      <c r="AOV12" s="174"/>
      <c r="AOW12" s="174"/>
      <c r="AOX12" s="174"/>
      <c r="AOY12" s="174"/>
      <c r="AOZ12" s="174"/>
      <c r="APA12" s="174"/>
      <c r="APB12" s="174"/>
      <c r="APC12" s="174"/>
      <c r="APD12" s="174"/>
      <c r="APE12" s="174"/>
      <c r="APF12" s="174"/>
      <c r="APG12" s="174"/>
      <c r="APH12" s="174"/>
      <c r="API12" s="174"/>
      <c r="APJ12" s="174"/>
      <c r="APK12" s="174"/>
      <c r="APL12" s="174"/>
      <c r="APM12" s="174"/>
      <c r="APN12" s="174"/>
      <c r="APO12" s="174"/>
      <c r="APP12" s="174"/>
      <c r="APQ12" s="174"/>
      <c r="APR12" s="174"/>
      <c r="APS12" s="174"/>
      <c r="APT12" s="174"/>
      <c r="APU12" s="174"/>
      <c r="APV12" s="174"/>
      <c r="APW12" s="174"/>
      <c r="APX12" s="174"/>
      <c r="APY12" s="174"/>
      <c r="APZ12" s="174"/>
      <c r="AQA12" s="174"/>
      <c r="AQB12" s="174"/>
      <c r="AQC12" s="174"/>
      <c r="AQD12" s="174"/>
      <c r="AQE12" s="174"/>
      <c r="AQF12" s="174"/>
      <c r="AQG12" s="174"/>
      <c r="AQH12" s="174"/>
      <c r="AQI12" s="174"/>
      <c r="AQJ12" s="174"/>
      <c r="AQK12" s="174"/>
      <c r="AQL12" s="174"/>
      <c r="AQM12" s="174"/>
      <c r="AQN12" s="174"/>
      <c r="AQO12" s="174"/>
      <c r="AQP12" s="174"/>
      <c r="AQQ12" s="174"/>
      <c r="AQR12" s="174"/>
      <c r="AQS12" s="174"/>
      <c r="AQT12" s="174"/>
      <c r="AQU12" s="174"/>
      <c r="AQV12" s="174"/>
      <c r="AQW12" s="174"/>
      <c r="AQX12" s="174"/>
      <c r="AQY12" s="174"/>
      <c r="AQZ12" s="174"/>
      <c r="ARA12" s="174"/>
      <c r="ARB12" s="174"/>
      <c r="ARC12" s="174"/>
      <c r="ARD12" s="174"/>
      <c r="ARE12" s="174"/>
      <c r="ARF12" s="174"/>
      <c r="ARG12" s="174"/>
      <c r="ARH12" s="174"/>
      <c r="ARI12" s="174"/>
      <c r="ARJ12" s="174"/>
      <c r="ARK12" s="174"/>
      <c r="ARL12" s="174"/>
      <c r="ARM12" s="174"/>
      <c r="ARN12" s="174"/>
      <c r="ARO12" s="174"/>
      <c r="ARP12" s="174"/>
      <c r="ARQ12" s="174"/>
      <c r="ARR12" s="174"/>
      <c r="ARS12" s="174"/>
      <c r="ART12" s="174"/>
      <c r="ARU12" s="174"/>
      <c r="ARV12" s="174"/>
      <c r="ARW12" s="174"/>
      <c r="ARX12" s="174"/>
      <c r="ARY12" s="174"/>
      <c r="ARZ12" s="174"/>
      <c r="ASA12" s="174"/>
      <c r="ASB12" s="174"/>
      <c r="ASC12" s="174"/>
      <c r="ASD12" s="174"/>
      <c r="ASE12" s="174"/>
      <c r="ASF12" s="174"/>
      <c r="ASG12" s="174"/>
      <c r="ASH12" s="174"/>
      <c r="ASI12" s="174"/>
      <c r="ASJ12" s="174"/>
      <c r="ASK12" s="174"/>
      <c r="ASL12" s="174"/>
      <c r="ASM12" s="174"/>
      <c r="ASN12" s="174"/>
      <c r="ASO12" s="174"/>
      <c r="ASP12" s="174"/>
      <c r="ASQ12" s="174"/>
      <c r="ASR12" s="174"/>
      <c r="ASS12" s="174"/>
      <c r="AST12" s="174"/>
      <c r="ASU12" s="174"/>
      <c r="ASV12" s="174"/>
      <c r="ASW12" s="174"/>
      <c r="ASX12" s="174"/>
      <c r="ASY12" s="174"/>
      <c r="ASZ12" s="174"/>
      <c r="ATA12" s="174"/>
      <c r="ATB12" s="174"/>
      <c r="ATC12" s="174"/>
      <c r="ATD12" s="174"/>
      <c r="ATE12" s="174"/>
      <c r="ATF12" s="174"/>
      <c r="ATG12" s="174"/>
      <c r="ATH12" s="174"/>
      <c r="ATI12" s="174"/>
      <c r="ATJ12" s="174"/>
      <c r="ATK12" s="174"/>
      <c r="ATL12" s="174"/>
      <c r="ATM12" s="174"/>
      <c r="ATN12" s="174"/>
      <c r="ATO12" s="174"/>
      <c r="ATP12" s="174"/>
      <c r="ATQ12" s="174"/>
      <c r="ATR12" s="174"/>
      <c r="ATS12" s="174"/>
      <c r="ATT12" s="174"/>
      <c r="ATU12" s="174"/>
      <c r="ATV12" s="174"/>
      <c r="ATW12" s="174"/>
      <c r="ATX12" s="174"/>
      <c r="ATY12" s="174"/>
      <c r="ATZ12" s="174"/>
      <c r="AUA12" s="174"/>
      <c r="AUB12" s="174"/>
      <c r="AUC12" s="174"/>
      <c r="AUD12" s="174"/>
      <c r="AUE12" s="174"/>
      <c r="AUF12" s="174"/>
      <c r="AUG12" s="174"/>
      <c r="AUH12" s="174"/>
      <c r="AUI12" s="174"/>
      <c r="AUJ12" s="174"/>
      <c r="AUK12" s="174"/>
      <c r="AUL12" s="174"/>
      <c r="AUM12" s="174"/>
      <c r="AUN12" s="174"/>
      <c r="AUO12" s="174"/>
      <c r="AUP12" s="174"/>
      <c r="AUQ12" s="174"/>
      <c r="AUR12" s="174"/>
      <c r="AUS12" s="174"/>
      <c r="AUT12" s="174"/>
      <c r="AUU12" s="174"/>
      <c r="AUV12" s="174"/>
      <c r="AUW12" s="174"/>
      <c r="AUX12" s="174"/>
      <c r="AUY12" s="174"/>
      <c r="AUZ12" s="174"/>
      <c r="AVA12" s="174"/>
      <c r="AVB12" s="174"/>
      <c r="AVC12" s="174"/>
      <c r="AVD12" s="174"/>
      <c r="AVE12" s="174"/>
      <c r="AVF12" s="174"/>
      <c r="AVG12" s="174"/>
      <c r="AVH12" s="174"/>
      <c r="AVI12" s="174"/>
      <c r="AVJ12" s="174"/>
      <c r="AVK12" s="174"/>
      <c r="AVL12" s="174"/>
      <c r="AVM12" s="174"/>
      <c r="AVN12" s="174"/>
      <c r="AVO12" s="174"/>
      <c r="AVP12" s="174"/>
      <c r="AVQ12" s="174"/>
      <c r="AVR12" s="174"/>
      <c r="AVS12" s="174"/>
      <c r="AVT12" s="174"/>
      <c r="AVU12" s="174"/>
      <c r="AVV12" s="174"/>
      <c r="AVW12" s="174"/>
      <c r="AVX12" s="174"/>
      <c r="AVY12" s="174"/>
      <c r="AVZ12" s="174"/>
      <c r="AWA12" s="174"/>
      <c r="AWB12" s="174"/>
      <c r="AWC12" s="174"/>
      <c r="AWD12" s="174"/>
      <c r="AWE12" s="174"/>
      <c r="AWF12" s="174"/>
      <c r="AWG12" s="174"/>
      <c r="AWH12" s="174"/>
      <c r="AWI12" s="174"/>
      <c r="AWJ12" s="174"/>
      <c r="AWK12" s="174"/>
      <c r="AWL12" s="174"/>
      <c r="AWM12" s="174"/>
      <c r="AWN12" s="174"/>
      <c r="AWO12" s="174"/>
      <c r="AWP12" s="174"/>
      <c r="AWQ12" s="174"/>
      <c r="AWR12" s="174"/>
      <c r="AWS12" s="174"/>
      <c r="AWT12" s="174"/>
      <c r="AWU12" s="174"/>
      <c r="AWV12" s="174"/>
      <c r="AWW12" s="174"/>
      <c r="AWX12" s="174"/>
      <c r="AWY12" s="174"/>
      <c r="AWZ12" s="174"/>
      <c r="AXA12" s="174"/>
      <c r="AXB12" s="174"/>
      <c r="AXC12" s="174"/>
      <c r="AXD12" s="174"/>
      <c r="AXE12" s="174"/>
      <c r="AXF12" s="174"/>
      <c r="AXG12" s="174"/>
      <c r="AXH12" s="174"/>
      <c r="AXI12" s="174"/>
      <c r="AXJ12" s="174"/>
      <c r="AXK12" s="174"/>
      <c r="AXL12" s="174"/>
      <c r="AXM12" s="174"/>
      <c r="AXN12" s="174"/>
      <c r="AXO12" s="174"/>
      <c r="AXP12" s="174"/>
      <c r="AXQ12" s="174"/>
      <c r="AXR12" s="174"/>
      <c r="AXS12" s="174"/>
      <c r="AXT12" s="174"/>
      <c r="AXU12" s="174"/>
      <c r="AXV12" s="174"/>
      <c r="AXW12" s="174"/>
      <c r="AXX12" s="174"/>
      <c r="AXY12" s="174"/>
      <c r="AXZ12" s="174"/>
      <c r="AYA12" s="174"/>
      <c r="AYB12" s="174"/>
      <c r="AYC12" s="174"/>
      <c r="AYD12" s="174"/>
      <c r="AYE12" s="174"/>
      <c r="AYF12" s="174"/>
      <c r="AYG12" s="174"/>
      <c r="AYH12" s="174"/>
      <c r="AYI12" s="174"/>
      <c r="AYJ12" s="174"/>
      <c r="AYK12" s="174"/>
      <c r="AYL12" s="174"/>
      <c r="AYM12" s="174"/>
      <c r="AYN12" s="174"/>
      <c r="AYO12" s="174"/>
      <c r="AYP12" s="174"/>
      <c r="AYQ12" s="174"/>
      <c r="AYR12" s="174"/>
      <c r="AYS12" s="174"/>
      <c r="AYT12" s="174"/>
      <c r="AYU12" s="174"/>
      <c r="AYV12" s="174"/>
      <c r="AYW12" s="174"/>
      <c r="AYX12" s="174"/>
      <c r="AYY12" s="174"/>
      <c r="AYZ12" s="174"/>
      <c r="AZA12" s="174"/>
      <c r="AZB12" s="174"/>
      <c r="AZC12" s="174"/>
      <c r="AZD12" s="174"/>
      <c r="AZE12" s="174"/>
      <c r="AZF12" s="174"/>
      <c r="AZG12" s="174"/>
      <c r="AZH12" s="174"/>
      <c r="AZI12" s="174"/>
      <c r="AZJ12" s="174"/>
      <c r="AZK12" s="174"/>
      <c r="AZL12" s="174"/>
      <c r="AZM12" s="174"/>
      <c r="AZN12" s="174"/>
      <c r="AZO12" s="174"/>
      <c r="AZP12" s="174"/>
      <c r="AZQ12" s="174"/>
      <c r="AZR12" s="174"/>
      <c r="AZS12" s="174"/>
      <c r="AZT12" s="174"/>
      <c r="AZU12" s="174"/>
      <c r="AZV12" s="174"/>
      <c r="AZW12" s="174"/>
      <c r="AZX12" s="174"/>
      <c r="AZY12" s="174"/>
      <c r="AZZ12" s="174"/>
      <c r="BAA12" s="174"/>
      <c r="BAB12" s="174"/>
      <c r="BAC12" s="174"/>
      <c r="BAD12" s="174"/>
      <c r="BAE12" s="174"/>
      <c r="BAF12" s="174"/>
      <c r="BAG12" s="174"/>
      <c r="BAH12" s="174"/>
      <c r="BAI12" s="174"/>
      <c r="BAJ12" s="174"/>
      <c r="BAK12" s="174"/>
      <c r="BAL12" s="174"/>
      <c r="BAM12" s="174"/>
      <c r="BAN12" s="174"/>
      <c r="BAO12" s="174"/>
      <c r="BAP12" s="174"/>
      <c r="BAQ12" s="174"/>
      <c r="BAR12" s="174"/>
      <c r="BAS12" s="174"/>
      <c r="BAT12" s="174"/>
      <c r="BAU12" s="174"/>
      <c r="BAV12" s="174"/>
      <c r="BAW12" s="174"/>
      <c r="BAX12" s="174"/>
      <c r="BAY12" s="174"/>
      <c r="BAZ12" s="174"/>
      <c r="BBA12" s="174"/>
      <c r="BBB12" s="174"/>
      <c r="BBC12" s="174"/>
      <c r="BBD12" s="174"/>
      <c r="BBE12" s="174"/>
      <c r="BBF12" s="174"/>
      <c r="BBG12" s="174"/>
      <c r="BBH12" s="174"/>
      <c r="BBI12" s="174"/>
      <c r="BBJ12" s="174"/>
      <c r="BBK12" s="174"/>
      <c r="BBL12" s="174"/>
      <c r="BBM12" s="174"/>
      <c r="BBN12" s="174"/>
      <c r="BBO12" s="174"/>
      <c r="BBP12" s="174"/>
      <c r="BBQ12" s="174"/>
      <c r="BBR12" s="174"/>
      <c r="BBS12" s="174"/>
      <c r="BBT12" s="174"/>
      <c r="BBU12" s="174"/>
      <c r="BBV12" s="174"/>
      <c r="BBW12" s="174"/>
      <c r="BBX12" s="174"/>
      <c r="BBY12" s="174"/>
      <c r="BBZ12" s="174"/>
      <c r="BCA12" s="174"/>
      <c r="BCB12" s="174"/>
      <c r="BCC12" s="174"/>
      <c r="BCD12" s="174"/>
      <c r="BCE12" s="174"/>
      <c r="BCF12" s="174"/>
      <c r="BCG12" s="174"/>
      <c r="BCH12" s="174"/>
      <c r="BCI12" s="174"/>
      <c r="BCJ12" s="174"/>
      <c r="BCK12" s="174"/>
      <c r="BCL12" s="174"/>
      <c r="BCM12" s="174"/>
      <c r="BCN12" s="174"/>
      <c r="BCO12" s="174"/>
      <c r="BCP12" s="174"/>
      <c r="BCQ12" s="174"/>
      <c r="BCR12" s="174"/>
      <c r="BCS12" s="174"/>
      <c r="BCT12" s="174"/>
      <c r="BCU12" s="174"/>
      <c r="BCV12" s="174"/>
      <c r="BCW12" s="174"/>
      <c r="BCX12" s="174"/>
      <c r="BCY12" s="174"/>
      <c r="BCZ12" s="174"/>
      <c r="BDA12" s="174"/>
      <c r="BDB12" s="174"/>
      <c r="BDC12" s="174"/>
      <c r="BDD12" s="174"/>
    </row>
    <row r="13" spans="1:1460" ht="9.9499999999999993" customHeight="1">
      <c r="A13" s="174"/>
      <c r="B13" s="1"/>
      <c r="C13" s="174"/>
      <c r="D13" s="174"/>
      <c r="E13" s="207"/>
      <c r="F13" s="208"/>
      <c r="G13" s="208"/>
      <c r="H13" s="208"/>
      <c r="I13" s="208"/>
      <c r="J13" s="208"/>
      <c r="K13" s="208"/>
      <c r="L13" s="208"/>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4"/>
      <c r="BG13" s="174"/>
      <c r="BH13" s="174"/>
      <c r="BI13" s="177"/>
      <c r="BJ13" s="174"/>
      <c r="BK13" s="174"/>
      <c r="BL13" s="174"/>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c r="EK13" s="174"/>
      <c r="EL13" s="174"/>
      <c r="EM13" s="174"/>
      <c r="EN13" s="174"/>
      <c r="EO13" s="174"/>
      <c r="EP13" s="174"/>
      <c r="EQ13" s="174"/>
      <c r="ER13" s="174"/>
      <c r="ES13" s="174"/>
      <c r="ET13" s="174"/>
      <c r="EU13" s="174"/>
      <c r="EV13" s="174"/>
      <c r="EW13" s="174"/>
      <c r="EX13" s="174"/>
      <c r="EY13" s="174"/>
      <c r="EZ13" s="174"/>
      <c r="FA13" s="174"/>
      <c r="FB13" s="174"/>
      <c r="FC13" s="174"/>
      <c r="FD13" s="174"/>
      <c r="FE13" s="174"/>
      <c r="FF13" s="174"/>
      <c r="FG13" s="174"/>
      <c r="FH13" s="174"/>
      <c r="FI13" s="174"/>
      <c r="FJ13" s="174"/>
      <c r="FK13" s="174"/>
      <c r="FL13" s="174"/>
      <c r="FM13" s="174"/>
      <c r="FN13" s="174"/>
      <c r="FO13" s="174"/>
      <c r="FP13" s="174"/>
      <c r="FQ13" s="174"/>
      <c r="FR13" s="174"/>
      <c r="FS13" s="174"/>
      <c r="FT13" s="174"/>
      <c r="FU13" s="174"/>
      <c r="FV13" s="174"/>
      <c r="FW13" s="174"/>
      <c r="FX13" s="174"/>
      <c r="FY13" s="174"/>
      <c r="FZ13" s="174"/>
      <c r="GA13" s="174"/>
      <c r="GB13" s="174"/>
      <c r="GC13" s="174"/>
      <c r="GD13" s="174"/>
      <c r="GE13" s="174"/>
      <c r="GF13" s="174"/>
      <c r="GG13" s="174"/>
      <c r="GH13" s="174"/>
      <c r="GI13" s="174"/>
      <c r="GJ13" s="174"/>
      <c r="GK13" s="174"/>
      <c r="GL13" s="174"/>
      <c r="GM13" s="174"/>
      <c r="GN13" s="174"/>
      <c r="GO13" s="174"/>
      <c r="GP13" s="174"/>
      <c r="GQ13" s="174"/>
      <c r="GR13" s="174"/>
      <c r="GS13" s="174"/>
      <c r="GT13" s="174"/>
      <c r="GU13" s="174"/>
      <c r="GV13" s="174"/>
      <c r="GW13" s="174"/>
      <c r="GX13" s="174"/>
      <c r="GY13" s="174"/>
      <c r="GZ13" s="174"/>
      <c r="HA13" s="174"/>
      <c r="HB13" s="174"/>
      <c r="HC13" s="174"/>
      <c r="HD13" s="174"/>
      <c r="HE13" s="174"/>
      <c r="HF13" s="174"/>
      <c r="HG13" s="174"/>
      <c r="HH13" s="174"/>
      <c r="HI13" s="174"/>
      <c r="HJ13" s="174"/>
      <c r="HK13" s="174"/>
      <c r="HL13" s="174"/>
      <c r="HM13" s="174"/>
      <c r="HN13" s="174"/>
      <c r="HO13" s="174"/>
      <c r="HP13" s="174"/>
      <c r="HQ13" s="174"/>
      <c r="HR13" s="174"/>
      <c r="HS13" s="174"/>
      <c r="HT13" s="174"/>
      <c r="HU13" s="174"/>
      <c r="HV13" s="174"/>
      <c r="HW13" s="174"/>
      <c r="HX13" s="174"/>
      <c r="HY13" s="174"/>
      <c r="HZ13" s="174"/>
      <c r="IA13" s="174"/>
      <c r="IB13" s="174"/>
      <c r="IC13" s="174"/>
      <c r="ID13" s="174"/>
      <c r="IE13" s="174"/>
      <c r="IF13" s="174"/>
      <c r="IG13" s="174"/>
      <c r="IH13" s="174"/>
      <c r="II13" s="174"/>
      <c r="IJ13" s="174"/>
      <c r="IK13" s="174"/>
      <c r="IL13" s="174"/>
      <c r="IM13" s="174"/>
      <c r="IN13" s="174"/>
      <c r="IO13" s="174"/>
      <c r="IP13" s="174"/>
      <c r="IQ13" s="174"/>
      <c r="IR13" s="174"/>
      <c r="IS13" s="174"/>
      <c r="IT13" s="174"/>
      <c r="IU13" s="174"/>
      <c r="IV13" s="174"/>
      <c r="IW13" s="174"/>
      <c r="IX13" s="174"/>
      <c r="IY13" s="174"/>
      <c r="IZ13" s="174"/>
      <c r="JA13" s="174"/>
      <c r="JB13" s="174"/>
      <c r="JC13" s="174"/>
      <c r="JD13" s="174"/>
      <c r="JE13" s="174"/>
      <c r="JF13" s="174"/>
      <c r="JG13" s="174"/>
      <c r="JH13" s="174"/>
      <c r="JI13" s="174"/>
      <c r="JJ13" s="174"/>
      <c r="JK13" s="174"/>
      <c r="JL13" s="174"/>
      <c r="JM13" s="174"/>
      <c r="JN13" s="174"/>
      <c r="JO13" s="174"/>
      <c r="JP13" s="174"/>
      <c r="JQ13" s="174"/>
      <c r="JR13" s="174"/>
      <c r="JS13" s="174"/>
      <c r="JT13" s="174"/>
      <c r="JU13" s="174"/>
      <c r="JV13" s="174"/>
      <c r="JW13" s="174"/>
      <c r="JX13" s="174"/>
      <c r="JY13" s="174"/>
      <c r="JZ13" s="174"/>
      <c r="KA13" s="174"/>
      <c r="KB13" s="174"/>
      <c r="KC13" s="174"/>
      <c r="KD13" s="174"/>
      <c r="KE13" s="174"/>
      <c r="KF13" s="174"/>
      <c r="KG13" s="174"/>
      <c r="KH13" s="174"/>
      <c r="KI13" s="174"/>
      <c r="KJ13" s="174"/>
      <c r="KK13" s="174"/>
      <c r="KL13" s="174"/>
      <c r="KM13" s="174"/>
      <c r="KN13" s="174"/>
      <c r="KO13" s="174"/>
      <c r="KP13" s="174"/>
      <c r="KQ13" s="174"/>
      <c r="KR13" s="174"/>
      <c r="KS13" s="174"/>
      <c r="KT13" s="174"/>
      <c r="KU13" s="174"/>
      <c r="KV13" s="174"/>
      <c r="KW13" s="174"/>
      <c r="KX13" s="174"/>
      <c r="KY13" s="174"/>
      <c r="KZ13" s="174"/>
      <c r="LA13" s="174"/>
      <c r="LB13" s="174"/>
      <c r="LC13" s="174"/>
      <c r="LD13" s="174"/>
      <c r="LE13" s="174"/>
      <c r="LF13" s="174"/>
      <c r="LG13" s="174"/>
      <c r="LH13" s="174"/>
      <c r="LI13" s="174"/>
      <c r="LJ13" s="174"/>
      <c r="LK13" s="174"/>
      <c r="LL13" s="174"/>
      <c r="LM13" s="174"/>
      <c r="LN13" s="174"/>
      <c r="LO13" s="174"/>
      <c r="LP13" s="174"/>
      <c r="LQ13" s="174"/>
      <c r="LR13" s="174"/>
      <c r="LS13" s="174"/>
      <c r="LT13" s="174"/>
      <c r="LU13" s="174"/>
      <c r="LV13" s="174"/>
      <c r="LW13" s="174"/>
      <c r="LX13" s="174"/>
      <c r="LY13" s="174"/>
      <c r="LZ13" s="174"/>
      <c r="MA13" s="174"/>
      <c r="MB13" s="174"/>
      <c r="MC13" s="174"/>
      <c r="MD13" s="174"/>
      <c r="ME13" s="174"/>
      <c r="MF13" s="174"/>
      <c r="MG13" s="174"/>
      <c r="MH13" s="174"/>
      <c r="MI13" s="174"/>
      <c r="MJ13" s="174"/>
      <c r="MK13" s="174"/>
      <c r="ML13" s="174"/>
      <c r="MM13" s="174"/>
      <c r="MN13" s="174"/>
      <c r="MO13" s="174"/>
      <c r="MP13" s="174"/>
      <c r="MQ13" s="174"/>
      <c r="MR13" s="174"/>
      <c r="MS13" s="174"/>
      <c r="MT13" s="174"/>
      <c r="MU13" s="174"/>
      <c r="MV13" s="174"/>
      <c r="MW13" s="174"/>
      <c r="MX13" s="174"/>
      <c r="MY13" s="174"/>
      <c r="MZ13" s="174"/>
      <c r="NA13" s="174"/>
      <c r="NB13" s="174"/>
      <c r="NC13" s="174"/>
      <c r="ND13" s="174"/>
      <c r="NE13" s="174"/>
      <c r="NF13" s="174"/>
      <c r="NG13" s="174"/>
      <c r="NH13" s="174"/>
      <c r="NI13" s="174"/>
      <c r="NJ13" s="174"/>
      <c r="NK13" s="174"/>
      <c r="NL13" s="174"/>
      <c r="NM13" s="174"/>
      <c r="NN13" s="174"/>
      <c r="NO13" s="174"/>
      <c r="NP13" s="174"/>
      <c r="NQ13" s="174"/>
      <c r="NR13" s="174"/>
      <c r="NS13" s="174"/>
      <c r="NT13" s="174"/>
      <c r="NU13" s="174"/>
      <c r="NV13" s="174"/>
      <c r="NW13" s="174"/>
      <c r="NX13" s="174"/>
      <c r="NY13" s="174"/>
      <c r="NZ13" s="174"/>
      <c r="OA13" s="174"/>
      <c r="OB13" s="174"/>
      <c r="OC13" s="174"/>
      <c r="OD13" s="174"/>
      <c r="OE13" s="174"/>
      <c r="OF13" s="174"/>
      <c r="OG13" s="174"/>
      <c r="OH13" s="174"/>
      <c r="OI13" s="174"/>
      <c r="OJ13" s="174"/>
      <c r="OK13" s="174"/>
      <c r="OL13" s="174"/>
      <c r="OM13" s="174"/>
      <c r="ON13" s="174"/>
      <c r="OO13" s="174"/>
      <c r="OP13" s="174"/>
      <c r="OQ13" s="174"/>
      <c r="OR13" s="174"/>
      <c r="OS13" s="174"/>
      <c r="OT13" s="174"/>
      <c r="OU13" s="174"/>
      <c r="OV13" s="174"/>
      <c r="OW13" s="174"/>
      <c r="OX13" s="174"/>
      <c r="OY13" s="174"/>
      <c r="OZ13" s="174"/>
      <c r="PA13" s="174"/>
      <c r="PB13" s="174"/>
      <c r="PC13" s="174"/>
      <c r="PD13" s="174"/>
      <c r="PE13" s="174"/>
      <c r="PF13" s="174"/>
      <c r="PG13" s="174"/>
      <c r="PH13" s="174"/>
      <c r="PI13" s="174"/>
      <c r="PJ13" s="174"/>
      <c r="PK13" s="174"/>
      <c r="PL13" s="174"/>
      <c r="PM13" s="174"/>
      <c r="PN13" s="174"/>
      <c r="PO13" s="174"/>
      <c r="PP13" s="174"/>
      <c r="PQ13" s="174"/>
      <c r="PR13" s="174"/>
      <c r="PS13" s="174"/>
      <c r="PT13" s="174"/>
      <c r="PU13" s="174"/>
      <c r="PV13" s="174"/>
      <c r="PW13" s="174"/>
      <c r="PX13" s="174"/>
      <c r="PY13" s="174"/>
      <c r="PZ13" s="174"/>
      <c r="QA13" s="174"/>
      <c r="QB13" s="174"/>
      <c r="QC13" s="174"/>
      <c r="QD13" s="174"/>
      <c r="QE13" s="174"/>
      <c r="QF13" s="174"/>
      <c r="QG13" s="174"/>
      <c r="QH13" s="174"/>
      <c r="QI13" s="174"/>
      <c r="QJ13" s="174"/>
      <c r="QK13" s="174"/>
      <c r="QL13" s="174"/>
      <c r="QM13" s="174"/>
      <c r="QN13" s="174"/>
      <c r="QO13" s="174"/>
      <c r="QP13" s="174"/>
      <c r="QQ13" s="174"/>
      <c r="QR13" s="174"/>
      <c r="QS13" s="174"/>
      <c r="QT13" s="174"/>
      <c r="QU13" s="174"/>
      <c r="QV13" s="174"/>
      <c r="QW13" s="174"/>
      <c r="QX13" s="174"/>
      <c r="QY13" s="174"/>
      <c r="QZ13" s="174"/>
      <c r="RA13" s="174"/>
      <c r="RB13" s="174"/>
      <c r="RC13" s="174"/>
      <c r="RD13" s="174"/>
      <c r="RE13" s="174"/>
      <c r="RF13" s="174"/>
      <c r="RG13" s="174"/>
      <c r="RH13" s="174"/>
      <c r="RI13" s="174"/>
      <c r="RJ13" s="174"/>
      <c r="RK13" s="174"/>
      <c r="RL13" s="174"/>
      <c r="RM13" s="174"/>
      <c r="RN13" s="174"/>
      <c r="RO13" s="174"/>
      <c r="RP13" s="174"/>
      <c r="RQ13" s="174"/>
      <c r="RR13" s="174"/>
      <c r="RS13" s="174"/>
      <c r="RT13" s="174"/>
      <c r="RU13" s="174"/>
      <c r="RV13" s="174"/>
      <c r="RW13" s="174"/>
      <c r="RX13" s="174"/>
      <c r="RY13" s="174"/>
      <c r="RZ13" s="174"/>
      <c r="SA13" s="174"/>
      <c r="SB13" s="174"/>
      <c r="SC13" s="174"/>
      <c r="SD13" s="174"/>
      <c r="SE13" s="174"/>
      <c r="SF13" s="174"/>
      <c r="SG13" s="174"/>
      <c r="SH13" s="174"/>
      <c r="SI13" s="174"/>
      <c r="SJ13" s="174"/>
      <c r="SK13" s="174"/>
      <c r="SL13" s="174"/>
      <c r="SM13" s="174"/>
      <c r="SN13" s="174"/>
      <c r="SO13" s="174"/>
      <c r="SP13" s="174"/>
      <c r="SQ13" s="174"/>
      <c r="SR13" s="174"/>
      <c r="SS13" s="174"/>
      <c r="ST13" s="174"/>
      <c r="SU13" s="174"/>
      <c r="SV13" s="174"/>
      <c r="SW13" s="174"/>
      <c r="SX13" s="174"/>
      <c r="SY13" s="174"/>
      <c r="SZ13" s="174"/>
      <c r="TA13" s="174"/>
      <c r="TB13" s="174"/>
      <c r="TC13" s="174"/>
      <c r="TD13" s="174"/>
      <c r="TE13" s="174"/>
      <c r="TF13" s="174"/>
      <c r="TG13" s="174"/>
      <c r="TH13" s="174"/>
      <c r="TI13" s="174"/>
      <c r="TJ13" s="174"/>
      <c r="TK13" s="174"/>
      <c r="TL13" s="174"/>
      <c r="TM13" s="174"/>
      <c r="TN13" s="174"/>
      <c r="TO13" s="174"/>
      <c r="TP13" s="174"/>
      <c r="TQ13" s="174"/>
      <c r="TR13" s="174"/>
      <c r="TS13" s="174"/>
      <c r="TT13" s="174"/>
      <c r="TU13" s="174"/>
      <c r="TV13" s="174"/>
      <c r="TW13" s="174"/>
      <c r="TX13" s="174"/>
      <c r="TY13" s="174"/>
      <c r="TZ13" s="174"/>
      <c r="UA13" s="174"/>
      <c r="UB13" s="174"/>
      <c r="UC13" s="174"/>
      <c r="UD13" s="174"/>
      <c r="UE13" s="174"/>
      <c r="UF13" s="174"/>
      <c r="UG13" s="174"/>
      <c r="UH13" s="174"/>
      <c r="UI13" s="174"/>
      <c r="UJ13" s="174"/>
      <c r="UK13" s="174"/>
      <c r="UL13" s="174"/>
      <c r="UM13" s="174"/>
      <c r="UN13" s="174"/>
      <c r="UO13" s="174"/>
      <c r="UP13" s="174"/>
      <c r="UQ13" s="174"/>
      <c r="UR13" s="174"/>
      <c r="US13" s="174"/>
      <c r="UT13" s="174"/>
      <c r="UU13" s="174"/>
      <c r="UV13" s="174"/>
      <c r="UW13" s="174"/>
      <c r="UX13" s="174"/>
      <c r="UY13" s="174"/>
      <c r="UZ13" s="174"/>
      <c r="VA13" s="174"/>
      <c r="VB13" s="174"/>
      <c r="VC13" s="174"/>
      <c r="VD13" s="174"/>
      <c r="VE13" s="174"/>
      <c r="VF13" s="174"/>
      <c r="VG13" s="174"/>
      <c r="VH13" s="174"/>
      <c r="VI13" s="174"/>
      <c r="VJ13" s="174"/>
      <c r="VK13" s="174"/>
      <c r="VL13" s="174"/>
      <c r="VM13" s="174"/>
      <c r="VN13" s="174"/>
      <c r="VO13" s="174"/>
      <c r="VP13" s="174"/>
      <c r="VQ13" s="174"/>
      <c r="VR13" s="174"/>
      <c r="VS13" s="174"/>
      <c r="VT13" s="174"/>
      <c r="VU13" s="174"/>
      <c r="VV13" s="174"/>
      <c r="VW13" s="174"/>
      <c r="VX13" s="174"/>
      <c r="VY13" s="174"/>
      <c r="VZ13" s="174"/>
      <c r="WA13" s="174"/>
      <c r="WB13" s="174"/>
      <c r="WC13" s="174"/>
      <c r="WD13" s="174"/>
      <c r="WE13" s="174"/>
      <c r="WF13" s="174"/>
      <c r="WG13" s="174"/>
      <c r="WH13" s="174"/>
      <c r="WI13" s="174"/>
      <c r="WJ13" s="174"/>
      <c r="WK13" s="174"/>
      <c r="WL13" s="174"/>
      <c r="WM13" s="174"/>
      <c r="WN13" s="174"/>
      <c r="WO13" s="174"/>
      <c r="WP13" s="174"/>
      <c r="WQ13" s="174"/>
      <c r="WR13" s="174"/>
      <c r="WS13" s="174"/>
      <c r="WT13" s="174"/>
      <c r="WU13" s="174"/>
      <c r="WV13" s="174"/>
      <c r="WW13" s="174"/>
      <c r="WX13" s="174"/>
      <c r="WY13" s="174"/>
      <c r="WZ13" s="174"/>
      <c r="XA13" s="174"/>
      <c r="XB13" s="174"/>
      <c r="XC13" s="174"/>
      <c r="XD13" s="174"/>
      <c r="XE13" s="174"/>
      <c r="XF13" s="174"/>
      <c r="XG13" s="174"/>
      <c r="XH13" s="174"/>
      <c r="XI13" s="174"/>
      <c r="XJ13" s="174"/>
      <c r="XK13" s="174"/>
      <c r="XL13" s="174"/>
      <c r="XM13" s="174"/>
      <c r="XN13" s="174"/>
      <c r="XO13" s="174"/>
      <c r="XP13" s="174"/>
      <c r="XQ13" s="174"/>
      <c r="XR13" s="174"/>
      <c r="XS13" s="174"/>
      <c r="XT13" s="174"/>
      <c r="XU13" s="174"/>
      <c r="XV13" s="174"/>
      <c r="XW13" s="174"/>
      <c r="XX13" s="174"/>
      <c r="XY13" s="174"/>
      <c r="XZ13" s="174"/>
      <c r="YA13" s="174"/>
      <c r="YB13" s="174"/>
      <c r="YC13" s="174"/>
      <c r="YD13" s="174"/>
      <c r="YE13" s="174"/>
      <c r="YF13" s="174"/>
      <c r="YG13" s="174"/>
      <c r="YH13" s="174"/>
      <c r="YI13" s="174"/>
      <c r="YJ13" s="174"/>
      <c r="YK13" s="174"/>
      <c r="YL13" s="174"/>
      <c r="YM13" s="174"/>
      <c r="YN13" s="174"/>
      <c r="YO13" s="174"/>
      <c r="YP13" s="174"/>
      <c r="YQ13" s="174"/>
      <c r="YR13" s="174"/>
      <c r="YS13" s="174"/>
      <c r="YT13" s="174"/>
      <c r="YU13" s="174"/>
      <c r="YV13" s="174"/>
      <c r="YW13" s="174"/>
      <c r="YX13" s="174"/>
      <c r="YY13" s="174"/>
      <c r="YZ13" s="174"/>
      <c r="ZA13" s="174"/>
      <c r="ZB13" s="174"/>
      <c r="ZC13" s="174"/>
      <c r="ZD13" s="174"/>
      <c r="ZE13" s="174"/>
      <c r="ZF13" s="174"/>
      <c r="ZG13" s="174"/>
      <c r="ZH13" s="174"/>
      <c r="ZI13" s="174"/>
      <c r="ZJ13" s="174"/>
      <c r="ZK13" s="174"/>
      <c r="ZL13" s="174"/>
      <c r="ZM13" s="174"/>
      <c r="ZN13" s="174"/>
      <c r="ZO13" s="174"/>
      <c r="ZP13" s="174"/>
      <c r="ZQ13" s="174"/>
      <c r="ZR13" s="174"/>
      <c r="ZS13" s="174"/>
      <c r="ZT13" s="174"/>
      <c r="ZU13" s="174"/>
      <c r="ZV13" s="174"/>
      <c r="ZW13" s="174"/>
      <c r="ZX13" s="174"/>
      <c r="ZY13" s="174"/>
      <c r="ZZ13" s="174"/>
      <c r="AAA13" s="174"/>
      <c r="AAB13" s="174"/>
      <c r="AAC13" s="174"/>
      <c r="AAD13" s="174"/>
      <c r="AAE13" s="174"/>
      <c r="AAF13" s="174"/>
      <c r="AAG13" s="174"/>
      <c r="AAH13" s="174"/>
      <c r="AAI13" s="174"/>
      <c r="AAJ13" s="174"/>
      <c r="AAK13" s="174"/>
      <c r="AAL13" s="174"/>
      <c r="AAM13" s="174"/>
      <c r="AAN13" s="174"/>
      <c r="AAO13" s="174"/>
      <c r="AAP13" s="174"/>
      <c r="AAQ13" s="174"/>
      <c r="AAR13" s="174"/>
      <c r="AAS13" s="174"/>
      <c r="AAT13" s="174"/>
      <c r="AAU13" s="174"/>
      <c r="AAV13" s="174"/>
      <c r="AAW13" s="174"/>
      <c r="AAX13" s="174"/>
      <c r="AAY13" s="174"/>
      <c r="AAZ13" s="174"/>
      <c r="ABA13" s="174"/>
      <c r="ABB13" s="174"/>
      <c r="ABC13" s="174"/>
      <c r="ABD13" s="174"/>
      <c r="ABE13" s="174"/>
      <c r="ABF13" s="174"/>
      <c r="ABG13" s="174"/>
      <c r="ABH13" s="174"/>
      <c r="ABI13" s="174"/>
      <c r="ABJ13" s="174"/>
      <c r="ABK13" s="174"/>
      <c r="ABL13" s="174"/>
      <c r="ABM13" s="174"/>
      <c r="ABN13" s="174"/>
      <c r="ABO13" s="174"/>
      <c r="ABP13" s="174"/>
      <c r="ABQ13" s="174"/>
      <c r="ABR13" s="174"/>
      <c r="ABS13" s="174"/>
      <c r="ABT13" s="174"/>
      <c r="ABU13" s="174"/>
      <c r="ABV13" s="174"/>
      <c r="ABW13" s="174"/>
      <c r="ABX13" s="174"/>
      <c r="ABY13" s="174"/>
      <c r="ABZ13" s="174"/>
      <c r="ACA13" s="174"/>
      <c r="ACB13" s="174"/>
      <c r="ACC13" s="174"/>
      <c r="ACD13" s="174"/>
      <c r="ACE13" s="174"/>
      <c r="ACF13" s="174"/>
      <c r="ACG13" s="174"/>
      <c r="ACH13" s="174"/>
      <c r="ACI13" s="174"/>
      <c r="ACJ13" s="174"/>
      <c r="ACK13" s="174"/>
      <c r="ACL13" s="174"/>
      <c r="ACM13" s="174"/>
      <c r="ACN13" s="174"/>
      <c r="ACO13" s="174"/>
      <c r="ACP13" s="174"/>
      <c r="ACQ13" s="174"/>
      <c r="ACR13" s="174"/>
      <c r="ACS13" s="174"/>
      <c r="ACT13" s="174"/>
      <c r="ACU13" s="174"/>
      <c r="ACV13" s="174"/>
      <c r="ACW13" s="174"/>
      <c r="ACX13" s="174"/>
      <c r="ACY13" s="174"/>
      <c r="ACZ13" s="174"/>
      <c r="ADA13" s="174"/>
      <c r="ADB13" s="174"/>
      <c r="ADC13" s="174"/>
      <c r="ADD13" s="174"/>
      <c r="ADE13" s="174"/>
      <c r="ADF13" s="174"/>
      <c r="ADG13" s="174"/>
      <c r="ADH13" s="174"/>
      <c r="ADI13" s="174"/>
      <c r="ADJ13" s="174"/>
      <c r="ADK13" s="174"/>
      <c r="ADL13" s="174"/>
      <c r="ADM13" s="174"/>
      <c r="ADN13" s="174"/>
      <c r="ADO13" s="174"/>
      <c r="ADP13" s="174"/>
      <c r="ADQ13" s="174"/>
      <c r="ADR13" s="174"/>
      <c r="ADS13" s="174"/>
      <c r="ADT13" s="174"/>
      <c r="ADU13" s="174"/>
      <c r="ADV13" s="174"/>
      <c r="ADW13" s="174"/>
      <c r="ADX13" s="174"/>
      <c r="ADY13" s="174"/>
      <c r="ADZ13" s="174"/>
      <c r="AEA13" s="174"/>
      <c r="AEB13" s="174"/>
      <c r="AEC13" s="174"/>
      <c r="AED13" s="174"/>
      <c r="AEE13" s="174"/>
      <c r="AEF13" s="174"/>
      <c r="AEG13" s="174"/>
      <c r="AEH13" s="174"/>
      <c r="AEI13" s="174"/>
      <c r="AEJ13" s="174"/>
      <c r="AEK13" s="174"/>
      <c r="AEL13" s="174"/>
      <c r="AEM13" s="174"/>
      <c r="AEN13" s="174"/>
      <c r="AEO13" s="174"/>
      <c r="AEP13" s="174"/>
      <c r="AEQ13" s="174"/>
      <c r="AER13" s="174"/>
      <c r="AES13" s="174"/>
      <c r="AET13" s="174"/>
      <c r="AEU13" s="174"/>
      <c r="AEV13" s="174"/>
      <c r="AEW13" s="174"/>
      <c r="AEX13" s="174"/>
      <c r="AEY13" s="174"/>
      <c r="AEZ13" s="174"/>
      <c r="AFA13" s="174"/>
      <c r="AFB13" s="174"/>
      <c r="AFC13" s="174"/>
      <c r="AFD13" s="174"/>
      <c r="AFE13" s="174"/>
      <c r="AFF13" s="174"/>
      <c r="AFG13" s="174"/>
      <c r="AFH13" s="174"/>
      <c r="AFI13" s="174"/>
      <c r="AFJ13" s="174"/>
      <c r="AFK13" s="174"/>
      <c r="AFL13" s="174"/>
      <c r="AFM13" s="174"/>
      <c r="AFN13" s="174"/>
      <c r="AFO13" s="174"/>
      <c r="AFP13" s="174"/>
      <c r="AFQ13" s="174"/>
      <c r="AFR13" s="174"/>
      <c r="AFS13" s="174"/>
      <c r="AFT13" s="174"/>
      <c r="AFU13" s="174"/>
      <c r="AFV13" s="174"/>
      <c r="AFW13" s="174"/>
      <c r="AFX13" s="174"/>
      <c r="AFY13" s="174"/>
      <c r="AFZ13" s="174"/>
      <c r="AGA13" s="174"/>
      <c r="AGB13" s="174"/>
      <c r="AGC13" s="174"/>
      <c r="AGD13" s="174"/>
      <c r="AGE13" s="174"/>
      <c r="AGF13" s="174"/>
      <c r="AGG13" s="174"/>
      <c r="AGH13" s="174"/>
      <c r="AGI13" s="174"/>
      <c r="AGJ13" s="174"/>
      <c r="AGK13" s="174"/>
      <c r="AGL13" s="174"/>
      <c r="AGM13" s="174"/>
      <c r="AGN13" s="174"/>
      <c r="AGO13" s="174"/>
      <c r="AGP13" s="174"/>
      <c r="AGQ13" s="174"/>
      <c r="AGR13" s="174"/>
      <c r="AGS13" s="174"/>
      <c r="AGT13" s="174"/>
      <c r="AGU13" s="174"/>
      <c r="AGV13" s="174"/>
      <c r="AGW13" s="174"/>
      <c r="AGX13" s="174"/>
      <c r="AGY13" s="174"/>
      <c r="AGZ13" s="174"/>
      <c r="AHA13" s="174"/>
      <c r="AHB13" s="174"/>
      <c r="AHC13" s="174"/>
      <c r="AHD13" s="174"/>
      <c r="AHE13" s="174"/>
      <c r="AHF13" s="174"/>
      <c r="AHG13" s="174"/>
      <c r="AHH13" s="174"/>
      <c r="AHI13" s="174"/>
      <c r="AHJ13" s="174"/>
      <c r="AHK13" s="174"/>
      <c r="AHL13" s="174"/>
      <c r="AHM13" s="174"/>
      <c r="AHN13" s="174"/>
      <c r="AHO13" s="174"/>
      <c r="AHP13" s="174"/>
      <c r="AHQ13" s="174"/>
      <c r="AHR13" s="174"/>
      <c r="AHS13" s="174"/>
      <c r="AHT13" s="174"/>
      <c r="AHU13" s="174"/>
      <c r="AHV13" s="174"/>
      <c r="AHW13" s="174"/>
      <c r="AHX13" s="174"/>
      <c r="AHY13" s="174"/>
      <c r="AHZ13" s="174"/>
      <c r="AIA13" s="174"/>
      <c r="AIB13" s="174"/>
      <c r="AIC13" s="174"/>
      <c r="AID13" s="174"/>
      <c r="AIE13" s="174"/>
      <c r="AIF13" s="174"/>
      <c r="AIG13" s="174"/>
      <c r="AIH13" s="174"/>
      <c r="AII13" s="174"/>
      <c r="AIJ13" s="174"/>
      <c r="AIK13" s="174"/>
      <c r="AIL13" s="174"/>
      <c r="AIM13" s="174"/>
      <c r="AIN13" s="174"/>
      <c r="AIO13" s="174"/>
      <c r="AIP13" s="174"/>
      <c r="AIQ13" s="174"/>
      <c r="AIR13" s="174"/>
      <c r="AIS13" s="174"/>
      <c r="AIT13" s="174"/>
      <c r="AIU13" s="174"/>
      <c r="AIV13" s="174"/>
      <c r="AIW13" s="174"/>
      <c r="AIX13" s="174"/>
      <c r="AIY13" s="174"/>
      <c r="AIZ13" s="174"/>
      <c r="AJA13" s="174"/>
      <c r="AJB13" s="174"/>
      <c r="AJC13" s="174"/>
      <c r="AJD13" s="174"/>
      <c r="AJE13" s="174"/>
      <c r="AJF13" s="174"/>
      <c r="AJG13" s="174"/>
      <c r="AJH13" s="174"/>
      <c r="AJI13" s="174"/>
      <c r="AJJ13" s="174"/>
      <c r="AJK13" s="174"/>
      <c r="AJL13" s="174"/>
      <c r="AJM13" s="174"/>
      <c r="AJN13" s="174"/>
      <c r="AJO13" s="174"/>
      <c r="AJP13" s="174"/>
      <c r="AJQ13" s="174"/>
      <c r="AJR13" s="174"/>
      <c r="AJS13" s="174"/>
      <c r="AJT13" s="174"/>
      <c r="AJU13" s="174"/>
      <c r="AJV13" s="174"/>
      <c r="AJW13" s="174"/>
      <c r="AJX13" s="174"/>
      <c r="AJY13" s="174"/>
      <c r="AJZ13" s="174"/>
      <c r="AKA13" s="174"/>
      <c r="AKB13" s="174"/>
      <c r="AKC13" s="174"/>
      <c r="AKD13" s="174"/>
      <c r="AKE13" s="174"/>
      <c r="AKF13" s="174"/>
      <c r="AKG13" s="174"/>
      <c r="AKH13" s="174"/>
      <c r="AKI13" s="174"/>
      <c r="AKJ13" s="174"/>
      <c r="AKK13" s="174"/>
      <c r="AKL13" s="174"/>
      <c r="AKM13" s="174"/>
      <c r="AKN13" s="174"/>
      <c r="AKO13" s="174"/>
      <c r="AKP13" s="174"/>
      <c r="AKQ13" s="174"/>
      <c r="AKR13" s="174"/>
      <c r="AKS13" s="174"/>
      <c r="AKT13" s="174"/>
      <c r="AKU13" s="174"/>
      <c r="AKV13" s="174"/>
      <c r="AKW13" s="174"/>
      <c r="AKX13" s="174"/>
      <c r="AKY13" s="174"/>
      <c r="AKZ13" s="174"/>
      <c r="ALA13" s="174"/>
      <c r="ALB13" s="174"/>
      <c r="ALC13" s="174"/>
      <c r="ALD13" s="174"/>
      <c r="ALE13" s="174"/>
      <c r="ALF13" s="174"/>
      <c r="ALG13" s="174"/>
      <c r="ALH13" s="174"/>
      <c r="ALI13" s="174"/>
      <c r="ALJ13" s="174"/>
      <c r="ALK13" s="174"/>
      <c r="ALL13" s="174"/>
      <c r="ALM13" s="174"/>
      <c r="ALN13" s="174"/>
      <c r="ALO13" s="174"/>
      <c r="ALP13" s="174"/>
      <c r="ALQ13" s="174"/>
      <c r="ALR13" s="174"/>
      <c r="ALS13" s="174"/>
      <c r="ALT13" s="174"/>
      <c r="ALU13" s="174"/>
      <c r="ALV13" s="174"/>
      <c r="ALW13" s="174"/>
      <c r="ALX13" s="174"/>
      <c r="ALY13" s="174"/>
      <c r="ALZ13" s="174"/>
      <c r="AMA13" s="174"/>
      <c r="AMB13" s="174"/>
      <c r="AMC13" s="174"/>
      <c r="AMD13" s="174"/>
      <c r="AME13" s="174"/>
      <c r="AMF13" s="174"/>
      <c r="AMG13" s="174"/>
      <c r="AMH13" s="174"/>
      <c r="AMI13" s="174"/>
      <c r="AMJ13" s="174"/>
      <c r="AMK13" s="174"/>
      <c r="AML13" s="174"/>
      <c r="AMM13" s="174"/>
      <c r="AMN13" s="174"/>
      <c r="AMO13" s="174"/>
      <c r="AMP13" s="174"/>
      <c r="AMQ13" s="174"/>
      <c r="AMR13" s="174"/>
      <c r="AMS13" s="174"/>
      <c r="AMT13" s="174"/>
      <c r="AMU13" s="174"/>
      <c r="AMV13" s="174"/>
      <c r="AMW13" s="174"/>
      <c r="AMX13" s="174"/>
      <c r="AMY13" s="174"/>
      <c r="AMZ13" s="174"/>
      <c r="ANA13" s="174"/>
      <c r="ANB13" s="174"/>
      <c r="ANC13" s="174"/>
      <c r="AND13" s="174"/>
      <c r="ANE13" s="174"/>
      <c r="ANF13" s="174"/>
      <c r="ANG13" s="174"/>
      <c r="ANH13" s="174"/>
      <c r="ANI13" s="174"/>
      <c r="ANJ13" s="174"/>
      <c r="ANK13" s="174"/>
      <c r="ANL13" s="174"/>
      <c r="ANM13" s="174"/>
      <c r="ANN13" s="174"/>
      <c r="ANO13" s="174"/>
      <c r="ANP13" s="174"/>
      <c r="ANQ13" s="174"/>
      <c r="ANR13" s="174"/>
      <c r="ANS13" s="174"/>
      <c r="ANT13" s="174"/>
      <c r="ANU13" s="174"/>
      <c r="ANV13" s="174"/>
      <c r="ANW13" s="174"/>
      <c r="ANX13" s="174"/>
      <c r="ANY13" s="174"/>
      <c r="ANZ13" s="174"/>
      <c r="AOA13" s="174"/>
      <c r="AOB13" s="174"/>
      <c r="AOC13" s="174"/>
      <c r="AOD13" s="174"/>
      <c r="AOE13" s="174"/>
      <c r="AOF13" s="174"/>
      <c r="AOG13" s="174"/>
      <c r="AOH13" s="174"/>
      <c r="AOI13" s="174"/>
      <c r="AOJ13" s="174"/>
      <c r="AOK13" s="174"/>
      <c r="AOL13" s="174"/>
      <c r="AOM13" s="174"/>
      <c r="AON13" s="174"/>
      <c r="AOO13" s="174"/>
      <c r="AOP13" s="174"/>
      <c r="AOQ13" s="174"/>
      <c r="AOR13" s="174"/>
      <c r="AOS13" s="174"/>
      <c r="AOT13" s="174"/>
      <c r="AOU13" s="174"/>
      <c r="AOV13" s="174"/>
      <c r="AOW13" s="174"/>
      <c r="AOX13" s="174"/>
      <c r="AOY13" s="174"/>
      <c r="AOZ13" s="174"/>
      <c r="APA13" s="174"/>
      <c r="APB13" s="174"/>
      <c r="APC13" s="174"/>
      <c r="APD13" s="174"/>
      <c r="APE13" s="174"/>
      <c r="APF13" s="174"/>
      <c r="APG13" s="174"/>
      <c r="APH13" s="174"/>
      <c r="API13" s="174"/>
      <c r="APJ13" s="174"/>
      <c r="APK13" s="174"/>
      <c r="APL13" s="174"/>
      <c r="APM13" s="174"/>
      <c r="APN13" s="174"/>
      <c r="APO13" s="174"/>
      <c r="APP13" s="174"/>
      <c r="APQ13" s="174"/>
      <c r="APR13" s="174"/>
      <c r="APS13" s="174"/>
      <c r="APT13" s="174"/>
      <c r="APU13" s="174"/>
      <c r="APV13" s="174"/>
      <c r="APW13" s="174"/>
      <c r="APX13" s="174"/>
      <c r="APY13" s="174"/>
      <c r="APZ13" s="174"/>
      <c r="AQA13" s="174"/>
      <c r="AQB13" s="174"/>
      <c r="AQC13" s="174"/>
      <c r="AQD13" s="174"/>
      <c r="AQE13" s="174"/>
      <c r="AQF13" s="174"/>
      <c r="AQG13" s="174"/>
      <c r="AQH13" s="174"/>
      <c r="AQI13" s="174"/>
      <c r="AQJ13" s="174"/>
      <c r="AQK13" s="174"/>
      <c r="AQL13" s="174"/>
      <c r="AQM13" s="174"/>
      <c r="AQN13" s="174"/>
      <c r="AQO13" s="174"/>
      <c r="AQP13" s="174"/>
      <c r="AQQ13" s="174"/>
      <c r="AQR13" s="174"/>
      <c r="AQS13" s="174"/>
      <c r="AQT13" s="174"/>
      <c r="AQU13" s="174"/>
      <c r="AQV13" s="174"/>
      <c r="AQW13" s="174"/>
      <c r="AQX13" s="174"/>
      <c r="AQY13" s="174"/>
      <c r="AQZ13" s="174"/>
      <c r="ARA13" s="174"/>
      <c r="ARB13" s="174"/>
      <c r="ARC13" s="174"/>
      <c r="ARD13" s="174"/>
      <c r="ARE13" s="174"/>
      <c r="ARF13" s="174"/>
      <c r="ARG13" s="174"/>
      <c r="ARH13" s="174"/>
      <c r="ARI13" s="174"/>
      <c r="ARJ13" s="174"/>
      <c r="ARK13" s="174"/>
      <c r="ARL13" s="174"/>
      <c r="ARM13" s="174"/>
      <c r="ARN13" s="174"/>
      <c r="ARO13" s="174"/>
      <c r="ARP13" s="174"/>
      <c r="ARQ13" s="174"/>
      <c r="ARR13" s="174"/>
      <c r="ARS13" s="174"/>
      <c r="ART13" s="174"/>
      <c r="ARU13" s="174"/>
      <c r="ARV13" s="174"/>
      <c r="ARW13" s="174"/>
      <c r="ARX13" s="174"/>
      <c r="ARY13" s="174"/>
      <c r="ARZ13" s="174"/>
      <c r="ASA13" s="174"/>
      <c r="ASB13" s="174"/>
      <c r="ASC13" s="174"/>
      <c r="ASD13" s="174"/>
      <c r="ASE13" s="174"/>
      <c r="ASF13" s="174"/>
      <c r="ASG13" s="174"/>
      <c r="ASH13" s="174"/>
      <c r="ASI13" s="174"/>
      <c r="ASJ13" s="174"/>
      <c r="ASK13" s="174"/>
      <c r="ASL13" s="174"/>
      <c r="ASM13" s="174"/>
      <c r="ASN13" s="174"/>
      <c r="ASO13" s="174"/>
      <c r="ASP13" s="174"/>
      <c r="ASQ13" s="174"/>
      <c r="ASR13" s="174"/>
      <c r="ASS13" s="174"/>
      <c r="AST13" s="174"/>
      <c r="ASU13" s="174"/>
      <c r="ASV13" s="174"/>
      <c r="ASW13" s="174"/>
      <c r="ASX13" s="174"/>
      <c r="ASY13" s="174"/>
      <c r="ASZ13" s="174"/>
      <c r="ATA13" s="174"/>
      <c r="ATB13" s="174"/>
      <c r="ATC13" s="174"/>
      <c r="ATD13" s="174"/>
      <c r="ATE13" s="174"/>
      <c r="ATF13" s="174"/>
      <c r="ATG13" s="174"/>
      <c r="ATH13" s="174"/>
      <c r="ATI13" s="174"/>
      <c r="ATJ13" s="174"/>
      <c r="ATK13" s="174"/>
      <c r="ATL13" s="174"/>
      <c r="ATM13" s="174"/>
      <c r="ATN13" s="174"/>
      <c r="ATO13" s="174"/>
      <c r="ATP13" s="174"/>
      <c r="ATQ13" s="174"/>
      <c r="ATR13" s="174"/>
      <c r="ATS13" s="174"/>
      <c r="ATT13" s="174"/>
      <c r="ATU13" s="174"/>
      <c r="ATV13" s="174"/>
      <c r="ATW13" s="174"/>
      <c r="ATX13" s="174"/>
      <c r="ATY13" s="174"/>
      <c r="ATZ13" s="174"/>
      <c r="AUA13" s="174"/>
      <c r="AUB13" s="174"/>
      <c r="AUC13" s="174"/>
      <c r="AUD13" s="174"/>
      <c r="AUE13" s="174"/>
      <c r="AUF13" s="174"/>
      <c r="AUG13" s="174"/>
      <c r="AUH13" s="174"/>
      <c r="AUI13" s="174"/>
      <c r="AUJ13" s="174"/>
      <c r="AUK13" s="174"/>
      <c r="AUL13" s="174"/>
      <c r="AUM13" s="174"/>
      <c r="AUN13" s="174"/>
      <c r="AUO13" s="174"/>
      <c r="AUP13" s="174"/>
      <c r="AUQ13" s="174"/>
      <c r="AUR13" s="174"/>
      <c r="AUS13" s="174"/>
      <c r="AUT13" s="174"/>
      <c r="AUU13" s="174"/>
      <c r="AUV13" s="174"/>
      <c r="AUW13" s="174"/>
      <c r="AUX13" s="174"/>
      <c r="AUY13" s="174"/>
      <c r="AUZ13" s="174"/>
      <c r="AVA13" s="174"/>
      <c r="AVB13" s="174"/>
      <c r="AVC13" s="174"/>
      <c r="AVD13" s="174"/>
      <c r="AVE13" s="174"/>
      <c r="AVF13" s="174"/>
      <c r="AVG13" s="174"/>
      <c r="AVH13" s="174"/>
      <c r="AVI13" s="174"/>
      <c r="AVJ13" s="174"/>
      <c r="AVK13" s="174"/>
      <c r="AVL13" s="174"/>
      <c r="AVM13" s="174"/>
      <c r="AVN13" s="174"/>
      <c r="AVO13" s="174"/>
      <c r="AVP13" s="174"/>
      <c r="AVQ13" s="174"/>
      <c r="AVR13" s="174"/>
      <c r="AVS13" s="174"/>
      <c r="AVT13" s="174"/>
      <c r="AVU13" s="174"/>
      <c r="AVV13" s="174"/>
      <c r="AVW13" s="174"/>
      <c r="AVX13" s="174"/>
      <c r="AVY13" s="174"/>
      <c r="AVZ13" s="174"/>
      <c r="AWA13" s="174"/>
      <c r="AWB13" s="174"/>
      <c r="AWC13" s="174"/>
      <c r="AWD13" s="174"/>
      <c r="AWE13" s="174"/>
      <c r="AWF13" s="174"/>
      <c r="AWG13" s="174"/>
      <c r="AWH13" s="174"/>
      <c r="AWI13" s="174"/>
      <c r="AWJ13" s="174"/>
      <c r="AWK13" s="174"/>
      <c r="AWL13" s="174"/>
      <c r="AWM13" s="174"/>
      <c r="AWN13" s="174"/>
      <c r="AWO13" s="174"/>
      <c r="AWP13" s="174"/>
      <c r="AWQ13" s="174"/>
      <c r="AWR13" s="174"/>
      <c r="AWS13" s="174"/>
      <c r="AWT13" s="174"/>
      <c r="AWU13" s="174"/>
      <c r="AWV13" s="174"/>
      <c r="AWW13" s="174"/>
      <c r="AWX13" s="174"/>
      <c r="AWY13" s="174"/>
      <c r="AWZ13" s="174"/>
      <c r="AXA13" s="174"/>
      <c r="AXB13" s="174"/>
      <c r="AXC13" s="174"/>
      <c r="AXD13" s="174"/>
      <c r="AXE13" s="174"/>
      <c r="AXF13" s="174"/>
      <c r="AXG13" s="174"/>
      <c r="AXH13" s="174"/>
      <c r="AXI13" s="174"/>
      <c r="AXJ13" s="174"/>
      <c r="AXK13" s="174"/>
      <c r="AXL13" s="174"/>
      <c r="AXM13" s="174"/>
      <c r="AXN13" s="174"/>
      <c r="AXO13" s="174"/>
      <c r="AXP13" s="174"/>
      <c r="AXQ13" s="174"/>
      <c r="AXR13" s="174"/>
      <c r="AXS13" s="174"/>
      <c r="AXT13" s="174"/>
      <c r="AXU13" s="174"/>
      <c r="AXV13" s="174"/>
      <c r="AXW13" s="174"/>
      <c r="AXX13" s="174"/>
      <c r="AXY13" s="174"/>
      <c r="AXZ13" s="174"/>
      <c r="AYA13" s="174"/>
      <c r="AYB13" s="174"/>
      <c r="AYC13" s="174"/>
      <c r="AYD13" s="174"/>
      <c r="AYE13" s="174"/>
      <c r="AYF13" s="174"/>
      <c r="AYG13" s="174"/>
      <c r="AYH13" s="174"/>
      <c r="AYI13" s="174"/>
      <c r="AYJ13" s="174"/>
      <c r="AYK13" s="174"/>
      <c r="AYL13" s="174"/>
      <c r="AYM13" s="174"/>
      <c r="AYN13" s="174"/>
      <c r="AYO13" s="174"/>
      <c r="AYP13" s="174"/>
      <c r="AYQ13" s="174"/>
      <c r="AYR13" s="174"/>
      <c r="AYS13" s="174"/>
      <c r="AYT13" s="174"/>
      <c r="AYU13" s="174"/>
      <c r="AYV13" s="174"/>
      <c r="AYW13" s="174"/>
      <c r="AYX13" s="174"/>
      <c r="AYY13" s="174"/>
      <c r="AYZ13" s="174"/>
      <c r="AZA13" s="174"/>
      <c r="AZB13" s="174"/>
      <c r="AZC13" s="174"/>
      <c r="AZD13" s="174"/>
      <c r="AZE13" s="174"/>
      <c r="AZF13" s="174"/>
      <c r="AZG13" s="174"/>
      <c r="AZH13" s="174"/>
      <c r="AZI13" s="174"/>
      <c r="AZJ13" s="174"/>
      <c r="AZK13" s="174"/>
      <c r="AZL13" s="174"/>
      <c r="AZM13" s="174"/>
      <c r="AZN13" s="174"/>
      <c r="AZO13" s="174"/>
      <c r="AZP13" s="174"/>
      <c r="AZQ13" s="174"/>
      <c r="AZR13" s="174"/>
      <c r="AZS13" s="174"/>
      <c r="AZT13" s="174"/>
      <c r="AZU13" s="174"/>
      <c r="AZV13" s="174"/>
      <c r="AZW13" s="174"/>
      <c r="AZX13" s="174"/>
      <c r="AZY13" s="174"/>
      <c r="AZZ13" s="174"/>
      <c r="BAA13" s="174"/>
      <c r="BAB13" s="174"/>
      <c r="BAC13" s="174"/>
      <c r="BAD13" s="174"/>
      <c r="BAE13" s="174"/>
      <c r="BAF13" s="174"/>
      <c r="BAG13" s="174"/>
      <c r="BAH13" s="174"/>
      <c r="BAI13" s="174"/>
      <c r="BAJ13" s="174"/>
      <c r="BAK13" s="174"/>
      <c r="BAL13" s="174"/>
      <c r="BAM13" s="174"/>
      <c r="BAN13" s="174"/>
      <c r="BAO13" s="174"/>
      <c r="BAP13" s="174"/>
      <c r="BAQ13" s="174"/>
      <c r="BAR13" s="174"/>
      <c r="BAS13" s="174"/>
      <c r="BAT13" s="174"/>
      <c r="BAU13" s="174"/>
      <c r="BAV13" s="174"/>
      <c r="BAW13" s="174"/>
      <c r="BAX13" s="174"/>
      <c r="BAY13" s="174"/>
      <c r="BAZ13" s="174"/>
      <c r="BBA13" s="174"/>
      <c r="BBB13" s="174"/>
      <c r="BBC13" s="174"/>
      <c r="BBD13" s="174"/>
      <c r="BBE13" s="174"/>
      <c r="BBF13" s="174"/>
      <c r="BBG13" s="174"/>
      <c r="BBH13" s="174"/>
      <c r="BBI13" s="174"/>
      <c r="BBJ13" s="174"/>
      <c r="BBK13" s="174"/>
      <c r="BBL13" s="174"/>
      <c r="BBM13" s="174"/>
      <c r="BBN13" s="174"/>
      <c r="BBO13" s="174"/>
      <c r="BBP13" s="174"/>
      <c r="BBQ13" s="174"/>
      <c r="BBR13" s="174"/>
      <c r="BBS13" s="174"/>
      <c r="BBT13" s="174"/>
      <c r="BBU13" s="174"/>
      <c r="BBV13" s="174"/>
      <c r="BBW13" s="174"/>
      <c r="BBX13" s="174"/>
      <c r="BBY13" s="174"/>
      <c r="BBZ13" s="174"/>
      <c r="BCA13" s="174"/>
      <c r="BCB13" s="174"/>
      <c r="BCC13" s="174"/>
      <c r="BCD13" s="174"/>
      <c r="BCE13" s="174"/>
      <c r="BCF13" s="174"/>
      <c r="BCG13" s="174"/>
      <c r="BCH13" s="174"/>
      <c r="BCI13" s="174"/>
      <c r="BCJ13" s="174"/>
      <c r="BCK13" s="174"/>
      <c r="BCL13" s="174"/>
      <c r="BCM13" s="174"/>
      <c r="BCN13" s="174"/>
      <c r="BCO13" s="174"/>
      <c r="BCP13" s="174"/>
      <c r="BCQ13" s="174"/>
      <c r="BCR13" s="174"/>
      <c r="BCS13" s="174"/>
      <c r="BCT13" s="174"/>
      <c r="BCU13" s="174"/>
      <c r="BCV13" s="174"/>
      <c r="BCW13" s="174"/>
      <c r="BCX13" s="174"/>
      <c r="BCY13" s="174"/>
      <c r="BCZ13" s="174"/>
      <c r="BDA13" s="174"/>
      <c r="BDB13" s="174"/>
      <c r="BDC13" s="174"/>
      <c r="BDD13" s="174"/>
    </row>
    <row r="14" spans="1:1460" ht="9.9499999999999993" customHeight="1">
      <c r="A14" s="174"/>
      <c r="B14" s="1"/>
      <c r="C14" s="174"/>
      <c r="D14" s="174"/>
      <c r="E14" s="207" t="s">
        <v>9</v>
      </c>
      <c r="F14" s="208"/>
      <c r="G14" s="208"/>
      <c r="H14" s="208"/>
      <c r="I14" s="208"/>
      <c r="J14" s="208"/>
      <c r="K14" s="208"/>
      <c r="L14" s="208"/>
      <c r="M14" s="241" t="s">
        <v>10</v>
      </c>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2"/>
      <c r="BG14" s="174"/>
      <c r="BH14" s="174"/>
      <c r="BI14" s="177"/>
      <c r="BJ14" s="174"/>
      <c r="BK14" s="174"/>
      <c r="BL14" s="174"/>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4"/>
      <c r="DT14" s="174"/>
      <c r="DU14" s="174"/>
      <c r="DV14" s="174"/>
      <c r="DW14" s="174"/>
      <c r="DX14" s="174"/>
      <c r="DY14" s="174"/>
      <c r="DZ14" s="174"/>
      <c r="EA14" s="174"/>
      <c r="EB14" s="174"/>
      <c r="EC14" s="174"/>
      <c r="ED14" s="174"/>
      <c r="EE14" s="174"/>
      <c r="EF14" s="174"/>
      <c r="EG14" s="174"/>
      <c r="EH14" s="174"/>
      <c r="EI14" s="174"/>
      <c r="EJ14" s="174"/>
      <c r="EK14" s="174"/>
      <c r="EL14" s="174"/>
      <c r="EM14" s="174"/>
      <c r="EN14" s="174"/>
      <c r="EO14" s="174"/>
      <c r="EP14" s="174"/>
      <c r="EQ14" s="174"/>
      <c r="ER14" s="174"/>
      <c r="ES14" s="174"/>
      <c r="ET14" s="174"/>
      <c r="EU14" s="174"/>
      <c r="EV14" s="174"/>
      <c r="EW14" s="174"/>
      <c r="EX14" s="174"/>
      <c r="EY14" s="174"/>
      <c r="EZ14" s="174"/>
      <c r="FA14" s="174"/>
      <c r="FB14" s="174"/>
      <c r="FC14" s="174"/>
      <c r="FD14" s="174"/>
      <c r="FE14" s="174"/>
      <c r="FF14" s="174"/>
      <c r="FG14" s="174"/>
      <c r="FH14" s="174"/>
      <c r="FI14" s="174"/>
      <c r="FJ14" s="174"/>
      <c r="FK14" s="174"/>
      <c r="FL14" s="174"/>
      <c r="FM14" s="174"/>
      <c r="FN14" s="174"/>
      <c r="FO14" s="174"/>
      <c r="FP14" s="174"/>
      <c r="FQ14" s="174"/>
      <c r="FR14" s="174"/>
      <c r="FS14" s="174"/>
      <c r="FT14" s="174"/>
      <c r="FU14" s="174"/>
      <c r="FV14" s="174"/>
      <c r="FW14" s="174"/>
      <c r="FX14" s="174"/>
      <c r="FY14" s="174"/>
      <c r="FZ14" s="174"/>
      <c r="GA14" s="174"/>
      <c r="GB14" s="174"/>
      <c r="GC14" s="174"/>
      <c r="GD14" s="174"/>
      <c r="GE14" s="174"/>
      <c r="GF14" s="174"/>
      <c r="GG14" s="174"/>
      <c r="GH14" s="174"/>
      <c r="GI14" s="174"/>
      <c r="GJ14" s="174"/>
      <c r="GK14" s="174"/>
      <c r="GL14" s="174"/>
      <c r="GM14" s="174"/>
      <c r="GN14" s="174"/>
      <c r="GO14" s="174"/>
      <c r="GP14" s="174"/>
      <c r="GQ14" s="174"/>
      <c r="GR14" s="174"/>
      <c r="GS14" s="174"/>
      <c r="GT14" s="174"/>
      <c r="GU14" s="174"/>
      <c r="GV14" s="174"/>
      <c r="GW14" s="174"/>
      <c r="GX14" s="174"/>
      <c r="GY14" s="174"/>
      <c r="GZ14" s="174"/>
      <c r="HA14" s="174"/>
      <c r="HB14" s="174"/>
      <c r="HC14" s="174"/>
      <c r="HD14" s="174"/>
      <c r="HE14" s="174"/>
      <c r="HF14" s="174"/>
      <c r="HG14" s="174"/>
      <c r="HH14" s="174"/>
      <c r="HI14" s="174"/>
      <c r="HJ14" s="174"/>
      <c r="HK14" s="174"/>
      <c r="HL14" s="174"/>
      <c r="HM14" s="174"/>
      <c r="HN14" s="174"/>
      <c r="HO14" s="174"/>
      <c r="HP14" s="174"/>
      <c r="HQ14" s="174"/>
      <c r="HR14" s="174"/>
      <c r="HS14" s="174"/>
      <c r="HT14" s="174"/>
      <c r="HU14" s="174"/>
      <c r="HV14" s="174"/>
      <c r="HW14" s="174"/>
      <c r="HX14" s="174"/>
      <c r="HY14" s="174"/>
      <c r="HZ14" s="174"/>
      <c r="IA14" s="174"/>
      <c r="IB14" s="174"/>
      <c r="IC14" s="174"/>
      <c r="ID14" s="174"/>
      <c r="IE14" s="174"/>
      <c r="IF14" s="174"/>
      <c r="IG14" s="174"/>
      <c r="IH14" s="174"/>
      <c r="II14" s="174"/>
      <c r="IJ14" s="174"/>
      <c r="IK14" s="174"/>
      <c r="IL14" s="174"/>
      <c r="IM14" s="174"/>
      <c r="IN14" s="174"/>
      <c r="IO14" s="174"/>
      <c r="IP14" s="174"/>
      <c r="IQ14" s="174"/>
      <c r="IR14" s="174"/>
      <c r="IS14" s="174"/>
      <c r="IT14" s="174"/>
      <c r="IU14" s="174"/>
      <c r="IV14" s="174"/>
      <c r="IW14" s="174"/>
      <c r="IX14" s="174"/>
      <c r="IY14" s="174"/>
      <c r="IZ14" s="174"/>
      <c r="JA14" s="174"/>
      <c r="JB14" s="174"/>
      <c r="JC14" s="174"/>
      <c r="JD14" s="174"/>
      <c r="JE14" s="174"/>
      <c r="JF14" s="174"/>
      <c r="JG14" s="174"/>
      <c r="JH14" s="174"/>
      <c r="JI14" s="174"/>
      <c r="JJ14" s="174"/>
      <c r="JK14" s="174"/>
      <c r="JL14" s="174"/>
      <c r="JM14" s="174"/>
      <c r="JN14" s="174"/>
      <c r="JO14" s="174"/>
      <c r="JP14" s="174"/>
      <c r="JQ14" s="174"/>
      <c r="JR14" s="174"/>
      <c r="JS14" s="174"/>
      <c r="JT14" s="174"/>
      <c r="JU14" s="174"/>
      <c r="JV14" s="174"/>
      <c r="JW14" s="174"/>
      <c r="JX14" s="174"/>
      <c r="JY14" s="174"/>
      <c r="JZ14" s="174"/>
      <c r="KA14" s="174"/>
      <c r="KB14" s="174"/>
      <c r="KC14" s="174"/>
      <c r="KD14" s="174"/>
      <c r="KE14" s="174"/>
      <c r="KF14" s="174"/>
      <c r="KG14" s="174"/>
      <c r="KH14" s="174"/>
      <c r="KI14" s="174"/>
      <c r="KJ14" s="174"/>
      <c r="KK14" s="174"/>
      <c r="KL14" s="174"/>
      <c r="KM14" s="174"/>
      <c r="KN14" s="174"/>
      <c r="KO14" s="174"/>
      <c r="KP14" s="174"/>
      <c r="KQ14" s="174"/>
      <c r="KR14" s="174"/>
      <c r="KS14" s="174"/>
      <c r="KT14" s="174"/>
      <c r="KU14" s="174"/>
      <c r="KV14" s="174"/>
      <c r="KW14" s="174"/>
      <c r="KX14" s="174"/>
      <c r="KY14" s="174"/>
      <c r="KZ14" s="174"/>
      <c r="LA14" s="174"/>
      <c r="LB14" s="174"/>
      <c r="LC14" s="174"/>
      <c r="LD14" s="174"/>
      <c r="LE14" s="174"/>
      <c r="LF14" s="174"/>
      <c r="LG14" s="174"/>
      <c r="LH14" s="174"/>
      <c r="LI14" s="174"/>
      <c r="LJ14" s="174"/>
      <c r="LK14" s="174"/>
      <c r="LL14" s="174"/>
      <c r="LM14" s="174"/>
      <c r="LN14" s="174"/>
      <c r="LO14" s="174"/>
      <c r="LP14" s="174"/>
      <c r="LQ14" s="174"/>
      <c r="LR14" s="174"/>
      <c r="LS14" s="174"/>
      <c r="LT14" s="174"/>
      <c r="LU14" s="174"/>
      <c r="LV14" s="174"/>
      <c r="LW14" s="174"/>
      <c r="LX14" s="174"/>
      <c r="LY14" s="174"/>
      <c r="LZ14" s="174"/>
      <c r="MA14" s="174"/>
      <c r="MB14" s="174"/>
      <c r="MC14" s="174"/>
      <c r="MD14" s="174"/>
      <c r="ME14" s="174"/>
      <c r="MF14" s="174"/>
      <c r="MG14" s="174"/>
      <c r="MH14" s="174"/>
      <c r="MI14" s="174"/>
      <c r="MJ14" s="174"/>
      <c r="MK14" s="174"/>
      <c r="ML14" s="174"/>
      <c r="MM14" s="174"/>
      <c r="MN14" s="174"/>
      <c r="MO14" s="174"/>
      <c r="MP14" s="174"/>
      <c r="MQ14" s="174"/>
      <c r="MR14" s="174"/>
      <c r="MS14" s="174"/>
      <c r="MT14" s="174"/>
      <c r="MU14" s="174"/>
      <c r="MV14" s="174"/>
      <c r="MW14" s="174"/>
      <c r="MX14" s="174"/>
      <c r="MY14" s="174"/>
      <c r="MZ14" s="174"/>
      <c r="NA14" s="174"/>
      <c r="NB14" s="174"/>
      <c r="NC14" s="174"/>
      <c r="ND14" s="174"/>
      <c r="NE14" s="174"/>
      <c r="NF14" s="174"/>
      <c r="NG14" s="174"/>
      <c r="NH14" s="174"/>
      <c r="NI14" s="174"/>
      <c r="NJ14" s="174"/>
      <c r="NK14" s="174"/>
      <c r="NL14" s="174"/>
      <c r="NM14" s="174"/>
      <c r="NN14" s="174"/>
      <c r="NO14" s="174"/>
      <c r="NP14" s="174"/>
      <c r="NQ14" s="174"/>
      <c r="NR14" s="174"/>
      <c r="NS14" s="174"/>
      <c r="NT14" s="174"/>
      <c r="NU14" s="174"/>
      <c r="NV14" s="174"/>
      <c r="NW14" s="174"/>
      <c r="NX14" s="174"/>
      <c r="NY14" s="174"/>
      <c r="NZ14" s="174"/>
      <c r="OA14" s="174"/>
      <c r="OB14" s="174"/>
      <c r="OC14" s="174"/>
      <c r="OD14" s="174"/>
      <c r="OE14" s="174"/>
      <c r="OF14" s="174"/>
      <c r="OG14" s="174"/>
      <c r="OH14" s="174"/>
      <c r="OI14" s="174"/>
      <c r="OJ14" s="174"/>
      <c r="OK14" s="174"/>
      <c r="OL14" s="174"/>
      <c r="OM14" s="174"/>
      <c r="ON14" s="174"/>
      <c r="OO14" s="174"/>
      <c r="OP14" s="174"/>
      <c r="OQ14" s="174"/>
      <c r="OR14" s="174"/>
      <c r="OS14" s="174"/>
      <c r="OT14" s="174"/>
      <c r="OU14" s="174"/>
      <c r="OV14" s="174"/>
      <c r="OW14" s="174"/>
      <c r="OX14" s="174"/>
      <c r="OY14" s="174"/>
      <c r="OZ14" s="174"/>
      <c r="PA14" s="174"/>
      <c r="PB14" s="174"/>
      <c r="PC14" s="174"/>
      <c r="PD14" s="174"/>
      <c r="PE14" s="174"/>
      <c r="PF14" s="174"/>
      <c r="PG14" s="174"/>
      <c r="PH14" s="174"/>
      <c r="PI14" s="174"/>
      <c r="PJ14" s="174"/>
      <c r="PK14" s="174"/>
      <c r="PL14" s="174"/>
      <c r="PM14" s="174"/>
      <c r="PN14" s="174"/>
      <c r="PO14" s="174"/>
      <c r="PP14" s="174"/>
      <c r="PQ14" s="174"/>
      <c r="PR14" s="174"/>
      <c r="PS14" s="174"/>
      <c r="PT14" s="174"/>
      <c r="PU14" s="174"/>
      <c r="PV14" s="174"/>
      <c r="PW14" s="174"/>
      <c r="PX14" s="174"/>
      <c r="PY14" s="174"/>
      <c r="PZ14" s="174"/>
      <c r="QA14" s="174"/>
      <c r="QB14" s="174"/>
      <c r="QC14" s="174"/>
      <c r="QD14" s="174"/>
      <c r="QE14" s="174"/>
      <c r="QF14" s="174"/>
      <c r="QG14" s="174"/>
      <c r="QH14" s="174"/>
      <c r="QI14" s="174"/>
      <c r="QJ14" s="174"/>
      <c r="QK14" s="174"/>
      <c r="QL14" s="174"/>
      <c r="QM14" s="174"/>
      <c r="QN14" s="174"/>
      <c r="QO14" s="174"/>
      <c r="QP14" s="174"/>
      <c r="QQ14" s="174"/>
      <c r="QR14" s="174"/>
      <c r="QS14" s="174"/>
      <c r="QT14" s="174"/>
      <c r="QU14" s="174"/>
      <c r="QV14" s="174"/>
      <c r="QW14" s="174"/>
      <c r="QX14" s="174"/>
      <c r="QY14" s="174"/>
      <c r="QZ14" s="174"/>
      <c r="RA14" s="174"/>
      <c r="RB14" s="174"/>
      <c r="RC14" s="174"/>
      <c r="RD14" s="174"/>
      <c r="RE14" s="174"/>
      <c r="RF14" s="174"/>
      <c r="RG14" s="174"/>
      <c r="RH14" s="174"/>
      <c r="RI14" s="174"/>
      <c r="RJ14" s="174"/>
      <c r="RK14" s="174"/>
      <c r="RL14" s="174"/>
      <c r="RM14" s="174"/>
      <c r="RN14" s="174"/>
      <c r="RO14" s="174"/>
      <c r="RP14" s="174"/>
      <c r="RQ14" s="174"/>
      <c r="RR14" s="174"/>
      <c r="RS14" s="174"/>
      <c r="RT14" s="174"/>
      <c r="RU14" s="174"/>
      <c r="RV14" s="174"/>
      <c r="RW14" s="174"/>
      <c r="RX14" s="174"/>
      <c r="RY14" s="174"/>
      <c r="RZ14" s="174"/>
      <c r="SA14" s="174"/>
      <c r="SB14" s="174"/>
      <c r="SC14" s="174"/>
      <c r="SD14" s="174"/>
      <c r="SE14" s="174"/>
      <c r="SF14" s="174"/>
      <c r="SG14" s="174"/>
      <c r="SH14" s="174"/>
      <c r="SI14" s="174"/>
      <c r="SJ14" s="174"/>
      <c r="SK14" s="174"/>
      <c r="SL14" s="174"/>
      <c r="SM14" s="174"/>
      <c r="SN14" s="174"/>
      <c r="SO14" s="174"/>
      <c r="SP14" s="174"/>
      <c r="SQ14" s="174"/>
      <c r="SR14" s="174"/>
      <c r="SS14" s="174"/>
      <c r="ST14" s="174"/>
      <c r="SU14" s="174"/>
      <c r="SV14" s="174"/>
      <c r="SW14" s="174"/>
      <c r="SX14" s="174"/>
      <c r="SY14" s="174"/>
      <c r="SZ14" s="174"/>
      <c r="TA14" s="174"/>
      <c r="TB14" s="174"/>
      <c r="TC14" s="174"/>
      <c r="TD14" s="174"/>
      <c r="TE14" s="174"/>
      <c r="TF14" s="174"/>
      <c r="TG14" s="174"/>
      <c r="TH14" s="174"/>
      <c r="TI14" s="174"/>
      <c r="TJ14" s="174"/>
      <c r="TK14" s="174"/>
      <c r="TL14" s="174"/>
      <c r="TM14" s="174"/>
      <c r="TN14" s="174"/>
      <c r="TO14" s="174"/>
      <c r="TP14" s="174"/>
      <c r="TQ14" s="174"/>
      <c r="TR14" s="174"/>
      <c r="TS14" s="174"/>
      <c r="TT14" s="174"/>
      <c r="TU14" s="174"/>
      <c r="TV14" s="174"/>
      <c r="TW14" s="174"/>
      <c r="TX14" s="174"/>
      <c r="TY14" s="174"/>
      <c r="TZ14" s="174"/>
      <c r="UA14" s="174"/>
      <c r="UB14" s="174"/>
      <c r="UC14" s="174"/>
      <c r="UD14" s="174"/>
      <c r="UE14" s="174"/>
      <c r="UF14" s="174"/>
      <c r="UG14" s="174"/>
      <c r="UH14" s="174"/>
      <c r="UI14" s="174"/>
      <c r="UJ14" s="174"/>
      <c r="UK14" s="174"/>
      <c r="UL14" s="174"/>
      <c r="UM14" s="174"/>
      <c r="UN14" s="174"/>
      <c r="UO14" s="174"/>
      <c r="UP14" s="174"/>
      <c r="UQ14" s="174"/>
      <c r="UR14" s="174"/>
      <c r="US14" s="174"/>
      <c r="UT14" s="174"/>
      <c r="UU14" s="174"/>
      <c r="UV14" s="174"/>
      <c r="UW14" s="174"/>
      <c r="UX14" s="174"/>
      <c r="UY14" s="174"/>
      <c r="UZ14" s="174"/>
      <c r="VA14" s="174"/>
      <c r="VB14" s="174"/>
      <c r="VC14" s="174"/>
      <c r="VD14" s="174"/>
      <c r="VE14" s="174"/>
      <c r="VF14" s="174"/>
      <c r="VG14" s="174"/>
      <c r="VH14" s="174"/>
      <c r="VI14" s="174"/>
      <c r="VJ14" s="174"/>
      <c r="VK14" s="174"/>
      <c r="VL14" s="174"/>
      <c r="VM14" s="174"/>
      <c r="VN14" s="174"/>
      <c r="VO14" s="174"/>
      <c r="VP14" s="174"/>
      <c r="VQ14" s="174"/>
      <c r="VR14" s="174"/>
      <c r="VS14" s="174"/>
      <c r="VT14" s="174"/>
      <c r="VU14" s="174"/>
      <c r="VV14" s="174"/>
      <c r="VW14" s="174"/>
      <c r="VX14" s="174"/>
      <c r="VY14" s="174"/>
      <c r="VZ14" s="174"/>
      <c r="WA14" s="174"/>
      <c r="WB14" s="174"/>
      <c r="WC14" s="174"/>
      <c r="WD14" s="174"/>
      <c r="WE14" s="174"/>
      <c r="WF14" s="174"/>
      <c r="WG14" s="174"/>
      <c r="WH14" s="174"/>
      <c r="WI14" s="174"/>
      <c r="WJ14" s="174"/>
      <c r="WK14" s="174"/>
      <c r="WL14" s="174"/>
      <c r="WM14" s="174"/>
      <c r="WN14" s="174"/>
      <c r="WO14" s="174"/>
      <c r="WP14" s="174"/>
      <c r="WQ14" s="174"/>
      <c r="WR14" s="174"/>
      <c r="WS14" s="174"/>
      <c r="WT14" s="174"/>
      <c r="WU14" s="174"/>
      <c r="WV14" s="174"/>
      <c r="WW14" s="174"/>
      <c r="WX14" s="174"/>
      <c r="WY14" s="174"/>
      <c r="WZ14" s="174"/>
      <c r="XA14" s="174"/>
      <c r="XB14" s="174"/>
      <c r="XC14" s="174"/>
      <c r="XD14" s="174"/>
      <c r="XE14" s="174"/>
      <c r="XF14" s="174"/>
      <c r="XG14" s="174"/>
      <c r="XH14" s="174"/>
      <c r="XI14" s="174"/>
      <c r="XJ14" s="174"/>
      <c r="XK14" s="174"/>
      <c r="XL14" s="174"/>
      <c r="XM14" s="174"/>
      <c r="XN14" s="174"/>
      <c r="XO14" s="174"/>
      <c r="XP14" s="174"/>
      <c r="XQ14" s="174"/>
      <c r="XR14" s="174"/>
      <c r="XS14" s="174"/>
      <c r="XT14" s="174"/>
      <c r="XU14" s="174"/>
      <c r="XV14" s="174"/>
      <c r="XW14" s="174"/>
      <c r="XX14" s="174"/>
      <c r="XY14" s="174"/>
      <c r="XZ14" s="174"/>
      <c r="YA14" s="174"/>
      <c r="YB14" s="174"/>
      <c r="YC14" s="174"/>
      <c r="YD14" s="174"/>
      <c r="YE14" s="174"/>
      <c r="YF14" s="174"/>
      <c r="YG14" s="174"/>
      <c r="YH14" s="174"/>
      <c r="YI14" s="174"/>
      <c r="YJ14" s="174"/>
      <c r="YK14" s="174"/>
      <c r="YL14" s="174"/>
      <c r="YM14" s="174"/>
      <c r="YN14" s="174"/>
      <c r="YO14" s="174"/>
      <c r="YP14" s="174"/>
      <c r="YQ14" s="174"/>
      <c r="YR14" s="174"/>
      <c r="YS14" s="174"/>
      <c r="YT14" s="174"/>
      <c r="YU14" s="174"/>
      <c r="YV14" s="174"/>
      <c r="YW14" s="174"/>
      <c r="YX14" s="174"/>
      <c r="YY14" s="174"/>
      <c r="YZ14" s="174"/>
      <c r="ZA14" s="174"/>
      <c r="ZB14" s="174"/>
      <c r="ZC14" s="174"/>
      <c r="ZD14" s="174"/>
      <c r="ZE14" s="174"/>
      <c r="ZF14" s="174"/>
      <c r="ZG14" s="174"/>
      <c r="ZH14" s="174"/>
      <c r="ZI14" s="174"/>
      <c r="ZJ14" s="174"/>
      <c r="ZK14" s="174"/>
      <c r="ZL14" s="174"/>
      <c r="ZM14" s="174"/>
      <c r="ZN14" s="174"/>
      <c r="ZO14" s="174"/>
      <c r="ZP14" s="174"/>
      <c r="ZQ14" s="174"/>
      <c r="ZR14" s="174"/>
      <c r="ZS14" s="174"/>
      <c r="ZT14" s="174"/>
      <c r="ZU14" s="174"/>
      <c r="ZV14" s="174"/>
      <c r="ZW14" s="174"/>
      <c r="ZX14" s="174"/>
      <c r="ZY14" s="174"/>
      <c r="ZZ14" s="174"/>
      <c r="AAA14" s="174"/>
      <c r="AAB14" s="174"/>
      <c r="AAC14" s="174"/>
      <c r="AAD14" s="174"/>
      <c r="AAE14" s="174"/>
      <c r="AAF14" s="174"/>
      <c r="AAG14" s="174"/>
      <c r="AAH14" s="174"/>
      <c r="AAI14" s="174"/>
      <c r="AAJ14" s="174"/>
      <c r="AAK14" s="174"/>
      <c r="AAL14" s="174"/>
      <c r="AAM14" s="174"/>
      <c r="AAN14" s="174"/>
      <c r="AAO14" s="174"/>
      <c r="AAP14" s="174"/>
      <c r="AAQ14" s="174"/>
      <c r="AAR14" s="174"/>
      <c r="AAS14" s="174"/>
      <c r="AAT14" s="174"/>
      <c r="AAU14" s="174"/>
      <c r="AAV14" s="174"/>
      <c r="AAW14" s="174"/>
      <c r="AAX14" s="174"/>
      <c r="AAY14" s="174"/>
      <c r="AAZ14" s="174"/>
      <c r="ABA14" s="174"/>
      <c r="ABB14" s="174"/>
      <c r="ABC14" s="174"/>
      <c r="ABD14" s="174"/>
      <c r="ABE14" s="174"/>
      <c r="ABF14" s="174"/>
      <c r="ABG14" s="174"/>
      <c r="ABH14" s="174"/>
      <c r="ABI14" s="174"/>
      <c r="ABJ14" s="174"/>
      <c r="ABK14" s="174"/>
      <c r="ABL14" s="174"/>
      <c r="ABM14" s="174"/>
      <c r="ABN14" s="174"/>
      <c r="ABO14" s="174"/>
      <c r="ABP14" s="174"/>
      <c r="ABQ14" s="174"/>
      <c r="ABR14" s="174"/>
      <c r="ABS14" s="174"/>
      <c r="ABT14" s="174"/>
      <c r="ABU14" s="174"/>
      <c r="ABV14" s="174"/>
      <c r="ABW14" s="174"/>
      <c r="ABX14" s="174"/>
      <c r="ABY14" s="174"/>
      <c r="ABZ14" s="174"/>
      <c r="ACA14" s="174"/>
      <c r="ACB14" s="174"/>
      <c r="ACC14" s="174"/>
      <c r="ACD14" s="174"/>
      <c r="ACE14" s="174"/>
      <c r="ACF14" s="174"/>
      <c r="ACG14" s="174"/>
      <c r="ACH14" s="174"/>
      <c r="ACI14" s="174"/>
      <c r="ACJ14" s="174"/>
      <c r="ACK14" s="174"/>
      <c r="ACL14" s="174"/>
      <c r="ACM14" s="174"/>
      <c r="ACN14" s="174"/>
      <c r="ACO14" s="174"/>
      <c r="ACP14" s="174"/>
      <c r="ACQ14" s="174"/>
      <c r="ACR14" s="174"/>
      <c r="ACS14" s="174"/>
      <c r="ACT14" s="174"/>
      <c r="ACU14" s="174"/>
      <c r="ACV14" s="174"/>
      <c r="ACW14" s="174"/>
      <c r="ACX14" s="174"/>
      <c r="ACY14" s="174"/>
      <c r="ACZ14" s="174"/>
      <c r="ADA14" s="174"/>
      <c r="ADB14" s="174"/>
      <c r="ADC14" s="174"/>
      <c r="ADD14" s="174"/>
      <c r="ADE14" s="174"/>
      <c r="ADF14" s="174"/>
      <c r="ADG14" s="174"/>
      <c r="ADH14" s="174"/>
      <c r="ADI14" s="174"/>
      <c r="ADJ14" s="174"/>
      <c r="ADK14" s="174"/>
      <c r="ADL14" s="174"/>
      <c r="ADM14" s="174"/>
      <c r="ADN14" s="174"/>
      <c r="ADO14" s="174"/>
      <c r="ADP14" s="174"/>
      <c r="ADQ14" s="174"/>
      <c r="ADR14" s="174"/>
      <c r="ADS14" s="174"/>
      <c r="ADT14" s="174"/>
      <c r="ADU14" s="174"/>
      <c r="ADV14" s="174"/>
      <c r="ADW14" s="174"/>
      <c r="ADX14" s="174"/>
      <c r="ADY14" s="174"/>
      <c r="ADZ14" s="174"/>
      <c r="AEA14" s="174"/>
      <c r="AEB14" s="174"/>
      <c r="AEC14" s="174"/>
      <c r="AED14" s="174"/>
      <c r="AEE14" s="174"/>
      <c r="AEF14" s="174"/>
      <c r="AEG14" s="174"/>
      <c r="AEH14" s="174"/>
      <c r="AEI14" s="174"/>
      <c r="AEJ14" s="174"/>
      <c r="AEK14" s="174"/>
      <c r="AEL14" s="174"/>
      <c r="AEM14" s="174"/>
      <c r="AEN14" s="174"/>
      <c r="AEO14" s="174"/>
      <c r="AEP14" s="174"/>
      <c r="AEQ14" s="174"/>
      <c r="AER14" s="174"/>
      <c r="AES14" s="174"/>
      <c r="AET14" s="174"/>
      <c r="AEU14" s="174"/>
      <c r="AEV14" s="174"/>
      <c r="AEW14" s="174"/>
      <c r="AEX14" s="174"/>
      <c r="AEY14" s="174"/>
      <c r="AEZ14" s="174"/>
      <c r="AFA14" s="174"/>
      <c r="AFB14" s="174"/>
      <c r="AFC14" s="174"/>
      <c r="AFD14" s="174"/>
      <c r="AFE14" s="174"/>
      <c r="AFF14" s="174"/>
      <c r="AFG14" s="174"/>
      <c r="AFH14" s="174"/>
      <c r="AFI14" s="174"/>
      <c r="AFJ14" s="174"/>
      <c r="AFK14" s="174"/>
      <c r="AFL14" s="174"/>
      <c r="AFM14" s="174"/>
      <c r="AFN14" s="174"/>
      <c r="AFO14" s="174"/>
      <c r="AFP14" s="174"/>
      <c r="AFQ14" s="174"/>
      <c r="AFR14" s="174"/>
      <c r="AFS14" s="174"/>
      <c r="AFT14" s="174"/>
      <c r="AFU14" s="174"/>
      <c r="AFV14" s="174"/>
      <c r="AFW14" s="174"/>
      <c r="AFX14" s="174"/>
      <c r="AFY14" s="174"/>
      <c r="AFZ14" s="174"/>
      <c r="AGA14" s="174"/>
      <c r="AGB14" s="174"/>
      <c r="AGC14" s="174"/>
      <c r="AGD14" s="174"/>
      <c r="AGE14" s="174"/>
      <c r="AGF14" s="174"/>
      <c r="AGG14" s="174"/>
      <c r="AGH14" s="174"/>
      <c r="AGI14" s="174"/>
      <c r="AGJ14" s="174"/>
      <c r="AGK14" s="174"/>
      <c r="AGL14" s="174"/>
      <c r="AGM14" s="174"/>
      <c r="AGN14" s="174"/>
      <c r="AGO14" s="174"/>
      <c r="AGP14" s="174"/>
      <c r="AGQ14" s="174"/>
      <c r="AGR14" s="174"/>
      <c r="AGS14" s="174"/>
      <c r="AGT14" s="174"/>
      <c r="AGU14" s="174"/>
      <c r="AGV14" s="174"/>
      <c r="AGW14" s="174"/>
      <c r="AGX14" s="174"/>
      <c r="AGY14" s="174"/>
      <c r="AGZ14" s="174"/>
      <c r="AHA14" s="174"/>
      <c r="AHB14" s="174"/>
      <c r="AHC14" s="174"/>
      <c r="AHD14" s="174"/>
      <c r="AHE14" s="174"/>
      <c r="AHF14" s="174"/>
      <c r="AHG14" s="174"/>
      <c r="AHH14" s="174"/>
      <c r="AHI14" s="174"/>
      <c r="AHJ14" s="174"/>
      <c r="AHK14" s="174"/>
      <c r="AHL14" s="174"/>
      <c r="AHM14" s="174"/>
      <c r="AHN14" s="174"/>
      <c r="AHO14" s="174"/>
      <c r="AHP14" s="174"/>
      <c r="AHQ14" s="174"/>
      <c r="AHR14" s="174"/>
      <c r="AHS14" s="174"/>
      <c r="AHT14" s="174"/>
      <c r="AHU14" s="174"/>
      <c r="AHV14" s="174"/>
      <c r="AHW14" s="174"/>
      <c r="AHX14" s="174"/>
      <c r="AHY14" s="174"/>
      <c r="AHZ14" s="174"/>
      <c r="AIA14" s="174"/>
      <c r="AIB14" s="174"/>
      <c r="AIC14" s="174"/>
      <c r="AID14" s="174"/>
      <c r="AIE14" s="174"/>
      <c r="AIF14" s="174"/>
      <c r="AIG14" s="174"/>
      <c r="AIH14" s="174"/>
      <c r="AII14" s="174"/>
      <c r="AIJ14" s="174"/>
      <c r="AIK14" s="174"/>
      <c r="AIL14" s="174"/>
      <c r="AIM14" s="174"/>
      <c r="AIN14" s="174"/>
      <c r="AIO14" s="174"/>
      <c r="AIP14" s="174"/>
      <c r="AIQ14" s="174"/>
      <c r="AIR14" s="174"/>
      <c r="AIS14" s="174"/>
      <c r="AIT14" s="174"/>
      <c r="AIU14" s="174"/>
      <c r="AIV14" s="174"/>
      <c r="AIW14" s="174"/>
      <c r="AIX14" s="174"/>
      <c r="AIY14" s="174"/>
      <c r="AIZ14" s="174"/>
      <c r="AJA14" s="174"/>
      <c r="AJB14" s="174"/>
      <c r="AJC14" s="174"/>
      <c r="AJD14" s="174"/>
      <c r="AJE14" s="174"/>
      <c r="AJF14" s="174"/>
      <c r="AJG14" s="174"/>
      <c r="AJH14" s="174"/>
      <c r="AJI14" s="174"/>
      <c r="AJJ14" s="174"/>
      <c r="AJK14" s="174"/>
      <c r="AJL14" s="174"/>
      <c r="AJM14" s="174"/>
      <c r="AJN14" s="174"/>
      <c r="AJO14" s="174"/>
      <c r="AJP14" s="174"/>
      <c r="AJQ14" s="174"/>
      <c r="AJR14" s="174"/>
      <c r="AJS14" s="174"/>
      <c r="AJT14" s="174"/>
      <c r="AJU14" s="174"/>
      <c r="AJV14" s="174"/>
      <c r="AJW14" s="174"/>
      <c r="AJX14" s="174"/>
      <c r="AJY14" s="174"/>
      <c r="AJZ14" s="174"/>
      <c r="AKA14" s="174"/>
      <c r="AKB14" s="174"/>
      <c r="AKC14" s="174"/>
      <c r="AKD14" s="174"/>
      <c r="AKE14" s="174"/>
      <c r="AKF14" s="174"/>
      <c r="AKG14" s="174"/>
      <c r="AKH14" s="174"/>
      <c r="AKI14" s="174"/>
      <c r="AKJ14" s="174"/>
      <c r="AKK14" s="174"/>
      <c r="AKL14" s="174"/>
      <c r="AKM14" s="174"/>
      <c r="AKN14" s="174"/>
      <c r="AKO14" s="174"/>
      <c r="AKP14" s="174"/>
      <c r="AKQ14" s="174"/>
      <c r="AKR14" s="174"/>
      <c r="AKS14" s="174"/>
      <c r="AKT14" s="174"/>
      <c r="AKU14" s="174"/>
      <c r="AKV14" s="174"/>
      <c r="AKW14" s="174"/>
      <c r="AKX14" s="174"/>
      <c r="AKY14" s="174"/>
      <c r="AKZ14" s="174"/>
      <c r="ALA14" s="174"/>
      <c r="ALB14" s="174"/>
      <c r="ALC14" s="174"/>
      <c r="ALD14" s="174"/>
      <c r="ALE14" s="174"/>
      <c r="ALF14" s="174"/>
      <c r="ALG14" s="174"/>
      <c r="ALH14" s="174"/>
      <c r="ALI14" s="174"/>
      <c r="ALJ14" s="174"/>
      <c r="ALK14" s="174"/>
      <c r="ALL14" s="174"/>
      <c r="ALM14" s="174"/>
      <c r="ALN14" s="174"/>
      <c r="ALO14" s="174"/>
      <c r="ALP14" s="174"/>
      <c r="ALQ14" s="174"/>
      <c r="ALR14" s="174"/>
      <c r="ALS14" s="174"/>
      <c r="ALT14" s="174"/>
      <c r="ALU14" s="174"/>
      <c r="ALV14" s="174"/>
      <c r="ALW14" s="174"/>
      <c r="ALX14" s="174"/>
      <c r="ALY14" s="174"/>
      <c r="ALZ14" s="174"/>
      <c r="AMA14" s="174"/>
      <c r="AMB14" s="174"/>
      <c r="AMC14" s="174"/>
      <c r="AMD14" s="174"/>
      <c r="AME14" s="174"/>
      <c r="AMF14" s="174"/>
      <c r="AMG14" s="174"/>
      <c r="AMH14" s="174"/>
      <c r="AMI14" s="174"/>
      <c r="AMJ14" s="174"/>
      <c r="AMK14" s="174"/>
      <c r="AML14" s="174"/>
      <c r="AMM14" s="174"/>
      <c r="AMN14" s="174"/>
      <c r="AMO14" s="174"/>
      <c r="AMP14" s="174"/>
      <c r="AMQ14" s="174"/>
      <c r="AMR14" s="174"/>
      <c r="AMS14" s="174"/>
      <c r="AMT14" s="174"/>
      <c r="AMU14" s="174"/>
      <c r="AMV14" s="174"/>
      <c r="AMW14" s="174"/>
      <c r="AMX14" s="174"/>
      <c r="AMY14" s="174"/>
      <c r="AMZ14" s="174"/>
      <c r="ANA14" s="174"/>
      <c r="ANB14" s="174"/>
      <c r="ANC14" s="174"/>
      <c r="AND14" s="174"/>
      <c r="ANE14" s="174"/>
      <c r="ANF14" s="174"/>
      <c r="ANG14" s="174"/>
      <c r="ANH14" s="174"/>
      <c r="ANI14" s="174"/>
      <c r="ANJ14" s="174"/>
      <c r="ANK14" s="174"/>
      <c r="ANL14" s="174"/>
      <c r="ANM14" s="174"/>
      <c r="ANN14" s="174"/>
      <c r="ANO14" s="174"/>
      <c r="ANP14" s="174"/>
      <c r="ANQ14" s="174"/>
      <c r="ANR14" s="174"/>
      <c r="ANS14" s="174"/>
      <c r="ANT14" s="174"/>
      <c r="ANU14" s="174"/>
      <c r="ANV14" s="174"/>
      <c r="ANW14" s="174"/>
      <c r="ANX14" s="174"/>
      <c r="ANY14" s="174"/>
      <c r="ANZ14" s="174"/>
      <c r="AOA14" s="174"/>
      <c r="AOB14" s="174"/>
      <c r="AOC14" s="174"/>
      <c r="AOD14" s="174"/>
      <c r="AOE14" s="174"/>
      <c r="AOF14" s="174"/>
      <c r="AOG14" s="174"/>
      <c r="AOH14" s="174"/>
      <c r="AOI14" s="174"/>
      <c r="AOJ14" s="174"/>
      <c r="AOK14" s="174"/>
      <c r="AOL14" s="174"/>
      <c r="AOM14" s="174"/>
      <c r="AON14" s="174"/>
      <c r="AOO14" s="174"/>
      <c r="AOP14" s="174"/>
      <c r="AOQ14" s="174"/>
      <c r="AOR14" s="174"/>
      <c r="AOS14" s="174"/>
      <c r="AOT14" s="174"/>
      <c r="AOU14" s="174"/>
      <c r="AOV14" s="174"/>
      <c r="AOW14" s="174"/>
      <c r="AOX14" s="174"/>
      <c r="AOY14" s="174"/>
      <c r="AOZ14" s="174"/>
      <c r="APA14" s="174"/>
      <c r="APB14" s="174"/>
      <c r="APC14" s="174"/>
      <c r="APD14" s="174"/>
      <c r="APE14" s="174"/>
      <c r="APF14" s="174"/>
      <c r="APG14" s="174"/>
      <c r="APH14" s="174"/>
      <c r="API14" s="174"/>
      <c r="APJ14" s="174"/>
      <c r="APK14" s="174"/>
      <c r="APL14" s="174"/>
      <c r="APM14" s="174"/>
      <c r="APN14" s="174"/>
      <c r="APO14" s="174"/>
      <c r="APP14" s="174"/>
      <c r="APQ14" s="174"/>
      <c r="APR14" s="174"/>
      <c r="APS14" s="174"/>
      <c r="APT14" s="174"/>
      <c r="APU14" s="174"/>
      <c r="APV14" s="174"/>
      <c r="APW14" s="174"/>
      <c r="APX14" s="174"/>
      <c r="APY14" s="174"/>
      <c r="APZ14" s="174"/>
      <c r="AQA14" s="174"/>
      <c r="AQB14" s="174"/>
      <c r="AQC14" s="174"/>
      <c r="AQD14" s="174"/>
      <c r="AQE14" s="174"/>
      <c r="AQF14" s="174"/>
      <c r="AQG14" s="174"/>
      <c r="AQH14" s="174"/>
      <c r="AQI14" s="174"/>
      <c r="AQJ14" s="174"/>
      <c r="AQK14" s="174"/>
      <c r="AQL14" s="174"/>
      <c r="AQM14" s="174"/>
      <c r="AQN14" s="174"/>
      <c r="AQO14" s="174"/>
      <c r="AQP14" s="174"/>
      <c r="AQQ14" s="174"/>
      <c r="AQR14" s="174"/>
      <c r="AQS14" s="174"/>
      <c r="AQT14" s="174"/>
      <c r="AQU14" s="174"/>
      <c r="AQV14" s="174"/>
      <c r="AQW14" s="174"/>
      <c r="AQX14" s="174"/>
      <c r="AQY14" s="174"/>
      <c r="AQZ14" s="174"/>
      <c r="ARA14" s="174"/>
      <c r="ARB14" s="174"/>
      <c r="ARC14" s="174"/>
      <c r="ARD14" s="174"/>
      <c r="ARE14" s="174"/>
      <c r="ARF14" s="174"/>
      <c r="ARG14" s="174"/>
      <c r="ARH14" s="174"/>
      <c r="ARI14" s="174"/>
      <c r="ARJ14" s="174"/>
      <c r="ARK14" s="174"/>
      <c r="ARL14" s="174"/>
      <c r="ARM14" s="174"/>
      <c r="ARN14" s="174"/>
      <c r="ARO14" s="174"/>
      <c r="ARP14" s="174"/>
      <c r="ARQ14" s="174"/>
      <c r="ARR14" s="174"/>
      <c r="ARS14" s="174"/>
      <c r="ART14" s="174"/>
      <c r="ARU14" s="174"/>
      <c r="ARV14" s="174"/>
      <c r="ARW14" s="174"/>
      <c r="ARX14" s="174"/>
      <c r="ARY14" s="174"/>
      <c r="ARZ14" s="174"/>
      <c r="ASA14" s="174"/>
      <c r="ASB14" s="174"/>
      <c r="ASC14" s="174"/>
      <c r="ASD14" s="174"/>
      <c r="ASE14" s="174"/>
      <c r="ASF14" s="174"/>
      <c r="ASG14" s="174"/>
      <c r="ASH14" s="174"/>
      <c r="ASI14" s="174"/>
      <c r="ASJ14" s="174"/>
      <c r="ASK14" s="174"/>
      <c r="ASL14" s="174"/>
      <c r="ASM14" s="174"/>
      <c r="ASN14" s="174"/>
      <c r="ASO14" s="174"/>
      <c r="ASP14" s="174"/>
      <c r="ASQ14" s="174"/>
      <c r="ASR14" s="174"/>
      <c r="ASS14" s="174"/>
      <c r="AST14" s="174"/>
      <c r="ASU14" s="174"/>
      <c r="ASV14" s="174"/>
      <c r="ASW14" s="174"/>
      <c r="ASX14" s="174"/>
      <c r="ASY14" s="174"/>
      <c r="ASZ14" s="174"/>
      <c r="ATA14" s="174"/>
      <c r="ATB14" s="174"/>
      <c r="ATC14" s="174"/>
      <c r="ATD14" s="174"/>
      <c r="ATE14" s="174"/>
      <c r="ATF14" s="174"/>
      <c r="ATG14" s="174"/>
      <c r="ATH14" s="174"/>
      <c r="ATI14" s="174"/>
      <c r="ATJ14" s="174"/>
      <c r="ATK14" s="174"/>
      <c r="ATL14" s="174"/>
      <c r="ATM14" s="174"/>
      <c r="ATN14" s="174"/>
      <c r="ATO14" s="174"/>
      <c r="ATP14" s="174"/>
      <c r="ATQ14" s="174"/>
      <c r="ATR14" s="174"/>
      <c r="ATS14" s="174"/>
      <c r="ATT14" s="174"/>
      <c r="ATU14" s="174"/>
      <c r="ATV14" s="174"/>
      <c r="ATW14" s="174"/>
      <c r="ATX14" s="174"/>
      <c r="ATY14" s="174"/>
      <c r="ATZ14" s="174"/>
      <c r="AUA14" s="174"/>
      <c r="AUB14" s="174"/>
      <c r="AUC14" s="174"/>
      <c r="AUD14" s="174"/>
      <c r="AUE14" s="174"/>
      <c r="AUF14" s="174"/>
      <c r="AUG14" s="174"/>
      <c r="AUH14" s="174"/>
      <c r="AUI14" s="174"/>
      <c r="AUJ14" s="174"/>
      <c r="AUK14" s="174"/>
      <c r="AUL14" s="174"/>
      <c r="AUM14" s="174"/>
      <c r="AUN14" s="174"/>
      <c r="AUO14" s="174"/>
      <c r="AUP14" s="174"/>
      <c r="AUQ14" s="174"/>
      <c r="AUR14" s="174"/>
      <c r="AUS14" s="174"/>
      <c r="AUT14" s="174"/>
      <c r="AUU14" s="174"/>
      <c r="AUV14" s="174"/>
      <c r="AUW14" s="174"/>
      <c r="AUX14" s="174"/>
      <c r="AUY14" s="174"/>
      <c r="AUZ14" s="174"/>
      <c r="AVA14" s="174"/>
      <c r="AVB14" s="174"/>
      <c r="AVC14" s="174"/>
      <c r="AVD14" s="174"/>
      <c r="AVE14" s="174"/>
      <c r="AVF14" s="174"/>
      <c r="AVG14" s="174"/>
      <c r="AVH14" s="174"/>
      <c r="AVI14" s="174"/>
      <c r="AVJ14" s="174"/>
      <c r="AVK14" s="174"/>
      <c r="AVL14" s="174"/>
      <c r="AVM14" s="174"/>
      <c r="AVN14" s="174"/>
      <c r="AVO14" s="174"/>
      <c r="AVP14" s="174"/>
      <c r="AVQ14" s="174"/>
      <c r="AVR14" s="174"/>
      <c r="AVS14" s="174"/>
      <c r="AVT14" s="174"/>
      <c r="AVU14" s="174"/>
      <c r="AVV14" s="174"/>
      <c r="AVW14" s="174"/>
      <c r="AVX14" s="174"/>
      <c r="AVY14" s="174"/>
      <c r="AVZ14" s="174"/>
      <c r="AWA14" s="174"/>
      <c r="AWB14" s="174"/>
      <c r="AWC14" s="174"/>
      <c r="AWD14" s="174"/>
      <c r="AWE14" s="174"/>
      <c r="AWF14" s="174"/>
      <c r="AWG14" s="174"/>
      <c r="AWH14" s="174"/>
      <c r="AWI14" s="174"/>
      <c r="AWJ14" s="174"/>
      <c r="AWK14" s="174"/>
      <c r="AWL14" s="174"/>
      <c r="AWM14" s="174"/>
      <c r="AWN14" s="174"/>
      <c r="AWO14" s="174"/>
      <c r="AWP14" s="174"/>
      <c r="AWQ14" s="174"/>
      <c r="AWR14" s="174"/>
      <c r="AWS14" s="174"/>
      <c r="AWT14" s="174"/>
      <c r="AWU14" s="174"/>
      <c r="AWV14" s="174"/>
      <c r="AWW14" s="174"/>
      <c r="AWX14" s="174"/>
      <c r="AWY14" s="174"/>
      <c r="AWZ14" s="174"/>
      <c r="AXA14" s="174"/>
      <c r="AXB14" s="174"/>
      <c r="AXC14" s="174"/>
      <c r="AXD14" s="174"/>
      <c r="AXE14" s="174"/>
      <c r="AXF14" s="174"/>
      <c r="AXG14" s="174"/>
      <c r="AXH14" s="174"/>
      <c r="AXI14" s="174"/>
      <c r="AXJ14" s="174"/>
      <c r="AXK14" s="174"/>
      <c r="AXL14" s="174"/>
      <c r="AXM14" s="174"/>
      <c r="AXN14" s="174"/>
      <c r="AXO14" s="174"/>
      <c r="AXP14" s="174"/>
      <c r="AXQ14" s="174"/>
      <c r="AXR14" s="174"/>
      <c r="AXS14" s="174"/>
      <c r="AXT14" s="174"/>
      <c r="AXU14" s="174"/>
      <c r="AXV14" s="174"/>
      <c r="AXW14" s="174"/>
      <c r="AXX14" s="174"/>
      <c r="AXY14" s="174"/>
      <c r="AXZ14" s="174"/>
      <c r="AYA14" s="174"/>
      <c r="AYB14" s="174"/>
      <c r="AYC14" s="174"/>
      <c r="AYD14" s="174"/>
      <c r="AYE14" s="174"/>
      <c r="AYF14" s="174"/>
      <c r="AYG14" s="174"/>
      <c r="AYH14" s="174"/>
      <c r="AYI14" s="174"/>
      <c r="AYJ14" s="174"/>
      <c r="AYK14" s="174"/>
      <c r="AYL14" s="174"/>
      <c r="AYM14" s="174"/>
      <c r="AYN14" s="174"/>
      <c r="AYO14" s="174"/>
      <c r="AYP14" s="174"/>
      <c r="AYQ14" s="174"/>
      <c r="AYR14" s="174"/>
      <c r="AYS14" s="174"/>
      <c r="AYT14" s="174"/>
      <c r="AYU14" s="174"/>
      <c r="AYV14" s="174"/>
      <c r="AYW14" s="174"/>
      <c r="AYX14" s="174"/>
      <c r="AYY14" s="174"/>
      <c r="AYZ14" s="174"/>
      <c r="AZA14" s="174"/>
      <c r="AZB14" s="174"/>
      <c r="AZC14" s="174"/>
      <c r="AZD14" s="174"/>
      <c r="AZE14" s="174"/>
      <c r="AZF14" s="174"/>
      <c r="AZG14" s="174"/>
      <c r="AZH14" s="174"/>
      <c r="AZI14" s="174"/>
      <c r="AZJ14" s="174"/>
      <c r="AZK14" s="174"/>
      <c r="AZL14" s="174"/>
      <c r="AZM14" s="174"/>
      <c r="AZN14" s="174"/>
      <c r="AZO14" s="174"/>
      <c r="AZP14" s="174"/>
      <c r="AZQ14" s="174"/>
      <c r="AZR14" s="174"/>
      <c r="AZS14" s="174"/>
      <c r="AZT14" s="174"/>
      <c r="AZU14" s="174"/>
      <c r="AZV14" s="174"/>
      <c r="AZW14" s="174"/>
      <c r="AZX14" s="174"/>
      <c r="AZY14" s="174"/>
      <c r="AZZ14" s="174"/>
      <c r="BAA14" s="174"/>
      <c r="BAB14" s="174"/>
      <c r="BAC14" s="174"/>
      <c r="BAD14" s="174"/>
      <c r="BAE14" s="174"/>
      <c r="BAF14" s="174"/>
      <c r="BAG14" s="174"/>
      <c r="BAH14" s="174"/>
      <c r="BAI14" s="174"/>
      <c r="BAJ14" s="174"/>
      <c r="BAK14" s="174"/>
      <c r="BAL14" s="174"/>
      <c r="BAM14" s="174"/>
      <c r="BAN14" s="174"/>
      <c r="BAO14" s="174"/>
      <c r="BAP14" s="174"/>
      <c r="BAQ14" s="174"/>
      <c r="BAR14" s="174"/>
      <c r="BAS14" s="174"/>
      <c r="BAT14" s="174"/>
      <c r="BAU14" s="174"/>
      <c r="BAV14" s="174"/>
      <c r="BAW14" s="174"/>
      <c r="BAX14" s="174"/>
      <c r="BAY14" s="174"/>
      <c r="BAZ14" s="174"/>
      <c r="BBA14" s="174"/>
      <c r="BBB14" s="174"/>
      <c r="BBC14" s="174"/>
      <c r="BBD14" s="174"/>
      <c r="BBE14" s="174"/>
      <c r="BBF14" s="174"/>
      <c r="BBG14" s="174"/>
      <c r="BBH14" s="174"/>
      <c r="BBI14" s="174"/>
      <c r="BBJ14" s="174"/>
      <c r="BBK14" s="174"/>
      <c r="BBL14" s="174"/>
      <c r="BBM14" s="174"/>
      <c r="BBN14" s="174"/>
      <c r="BBO14" s="174"/>
      <c r="BBP14" s="174"/>
      <c r="BBQ14" s="174"/>
      <c r="BBR14" s="174"/>
      <c r="BBS14" s="174"/>
      <c r="BBT14" s="174"/>
      <c r="BBU14" s="174"/>
      <c r="BBV14" s="174"/>
      <c r="BBW14" s="174"/>
      <c r="BBX14" s="174"/>
      <c r="BBY14" s="174"/>
      <c r="BBZ14" s="174"/>
      <c r="BCA14" s="174"/>
      <c r="BCB14" s="174"/>
      <c r="BCC14" s="174"/>
      <c r="BCD14" s="174"/>
      <c r="BCE14" s="174"/>
      <c r="BCF14" s="174"/>
      <c r="BCG14" s="174"/>
      <c r="BCH14" s="174"/>
      <c r="BCI14" s="174"/>
      <c r="BCJ14" s="174"/>
      <c r="BCK14" s="174"/>
      <c r="BCL14" s="174"/>
      <c r="BCM14" s="174"/>
      <c r="BCN14" s="174"/>
      <c r="BCO14" s="174"/>
      <c r="BCP14" s="174"/>
      <c r="BCQ14" s="174"/>
      <c r="BCR14" s="174"/>
      <c r="BCS14" s="174"/>
      <c r="BCT14" s="174"/>
      <c r="BCU14" s="174"/>
      <c r="BCV14" s="174"/>
      <c r="BCW14" s="174"/>
      <c r="BCX14" s="174"/>
      <c r="BCY14" s="174"/>
      <c r="BCZ14" s="174"/>
      <c r="BDA14" s="174"/>
      <c r="BDB14" s="174"/>
      <c r="BDC14" s="174"/>
      <c r="BDD14" s="174"/>
    </row>
    <row r="15" spans="1:1460" ht="9.9499999999999993" customHeight="1" thickBot="1">
      <c r="A15" s="174"/>
      <c r="B15" s="1"/>
      <c r="C15" s="174"/>
      <c r="D15" s="174"/>
      <c r="E15" s="239"/>
      <c r="F15" s="240"/>
      <c r="G15" s="240"/>
      <c r="H15" s="240"/>
      <c r="I15" s="240"/>
      <c r="J15" s="240"/>
      <c r="K15" s="240"/>
      <c r="L15" s="240"/>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4"/>
      <c r="BG15" s="174"/>
      <c r="BH15" s="174"/>
      <c r="BI15" s="177"/>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4"/>
      <c r="FE15" s="174"/>
      <c r="FF15" s="174"/>
      <c r="FG15" s="174"/>
      <c r="FH15" s="174"/>
      <c r="FI15" s="174"/>
      <c r="FJ15" s="174"/>
      <c r="FK15" s="174"/>
      <c r="FL15" s="174"/>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4"/>
      <c r="GL15" s="174"/>
      <c r="GM15" s="174"/>
      <c r="GN15" s="174"/>
      <c r="GO15" s="174"/>
      <c r="GP15" s="174"/>
      <c r="GQ15" s="174"/>
      <c r="GR15" s="174"/>
      <c r="GS15" s="174"/>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4"/>
      <c r="HS15" s="174"/>
      <c r="HT15" s="174"/>
      <c r="HU15" s="174"/>
      <c r="HV15" s="174"/>
      <c r="HW15" s="174"/>
      <c r="HX15" s="174"/>
      <c r="HY15" s="174"/>
      <c r="HZ15" s="174"/>
      <c r="IA15" s="174"/>
      <c r="IB15" s="174"/>
      <c r="IC15" s="174"/>
      <c r="ID15" s="174"/>
      <c r="IE15" s="174"/>
      <c r="IF15" s="174"/>
      <c r="IG15" s="174"/>
      <c r="IH15" s="174"/>
      <c r="II15" s="174"/>
      <c r="IJ15" s="174"/>
      <c r="IK15" s="174"/>
      <c r="IL15" s="174"/>
      <c r="IM15" s="174"/>
      <c r="IN15" s="174"/>
      <c r="IO15" s="174"/>
      <c r="IP15" s="174"/>
      <c r="IQ15" s="174"/>
      <c r="IR15" s="174"/>
      <c r="IS15" s="174"/>
      <c r="IT15" s="174"/>
      <c r="IU15" s="174"/>
      <c r="IV15" s="174"/>
      <c r="IW15" s="174"/>
      <c r="IX15" s="174"/>
      <c r="IY15" s="174"/>
      <c r="IZ15" s="174"/>
      <c r="JA15" s="174"/>
      <c r="JB15" s="174"/>
      <c r="JC15" s="174"/>
      <c r="JD15" s="174"/>
      <c r="JE15" s="174"/>
      <c r="JF15" s="174"/>
      <c r="JG15" s="174"/>
      <c r="JH15" s="174"/>
      <c r="JI15" s="174"/>
      <c r="JJ15" s="174"/>
      <c r="JK15" s="174"/>
      <c r="JL15" s="174"/>
      <c r="JM15" s="174"/>
      <c r="JN15" s="174"/>
      <c r="JO15" s="174"/>
      <c r="JP15" s="174"/>
      <c r="JQ15" s="174"/>
      <c r="JR15" s="174"/>
      <c r="JS15" s="174"/>
      <c r="JT15" s="174"/>
      <c r="JU15" s="174"/>
      <c r="JV15" s="174"/>
      <c r="JW15" s="174"/>
      <c r="JX15" s="174"/>
      <c r="JY15" s="174"/>
      <c r="JZ15" s="174"/>
      <c r="KA15" s="174"/>
      <c r="KB15" s="174"/>
      <c r="KC15" s="174"/>
      <c r="KD15" s="174"/>
      <c r="KE15" s="174"/>
      <c r="KF15" s="174"/>
      <c r="KG15" s="174"/>
      <c r="KH15" s="174"/>
      <c r="KI15" s="174"/>
      <c r="KJ15" s="174"/>
      <c r="KK15" s="174"/>
      <c r="KL15" s="174"/>
      <c r="KM15" s="174"/>
      <c r="KN15" s="174"/>
      <c r="KO15" s="174"/>
      <c r="KP15" s="174"/>
      <c r="KQ15" s="174"/>
      <c r="KR15" s="174"/>
      <c r="KS15" s="174"/>
      <c r="KT15" s="174"/>
      <c r="KU15" s="174"/>
      <c r="KV15" s="174"/>
      <c r="KW15" s="174"/>
      <c r="KX15" s="174"/>
      <c r="KY15" s="174"/>
      <c r="KZ15" s="174"/>
      <c r="LA15" s="174"/>
      <c r="LB15" s="174"/>
      <c r="LC15" s="174"/>
      <c r="LD15" s="174"/>
      <c r="LE15" s="174"/>
      <c r="LF15" s="174"/>
      <c r="LG15" s="174"/>
      <c r="LH15" s="174"/>
      <c r="LI15" s="174"/>
      <c r="LJ15" s="174"/>
      <c r="LK15" s="174"/>
      <c r="LL15" s="174"/>
      <c r="LM15" s="174"/>
      <c r="LN15" s="174"/>
      <c r="LO15" s="174"/>
      <c r="LP15" s="174"/>
      <c r="LQ15" s="174"/>
      <c r="LR15" s="174"/>
      <c r="LS15" s="174"/>
      <c r="LT15" s="174"/>
      <c r="LU15" s="174"/>
      <c r="LV15" s="174"/>
      <c r="LW15" s="174"/>
      <c r="LX15" s="174"/>
      <c r="LY15" s="174"/>
      <c r="LZ15" s="174"/>
      <c r="MA15" s="174"/>
      <c r="MB15" s="174"/>
      <c r="MC15" s="174"/>
      <c r="MD15" s="174"/>
      <c r="ME15" s="174"/>
      <c r="MF15" s="174"/>
      <c r="MG15" s="174"/>
      <c r="MH15" s="174"/>
      <c r="MI15" s="174"/>
      <c r="MJ15" s="174"/>
      <c r="MK15" s="174"/>
      <c r="ML15" s="174"/>
      <c r="MM15" s="174"/>
      <c r="MN15" s="174"/>
      <c r="MO15" s="174"/>
      <c r="MP15" s="174"/>
      <c r="MQ15" s="174"/>
      <c r="MR15" s="174"/>
      <c r="MS15" s="174"/>
      <c r="MT15" s="174"/>
      <c r="MU15" s="174"/>
      <c r="MV15" s="174"/>
      <c r="MW15" s="174"/>
      <c r="MX15" s="174"/>
      <c r="MY15" s="174"/>
      <c r="MZ15" s="174"/>
      <c r="NA15" s="174"/>
      <c r="NB15" s="174"/>
      <c r="NC15" s="174"/>
      <c r="ND15" s="174"/>
      <c r="NE15" s="174"/>
      <c r="NF15" s="174"/>
      <c r="NG15" s="174"/>
      <c r="NH15" s="174"/>
      <c r="NI15" s="174"/>
      <c r="NJ15" s="174"/>
      <c r="NK15" s="174"/>
      <c r="NL15" s="174"/>
      <c r="NM15" s="174"/>
      <c r="NN15" s="174"/>
      <c r="NO15" s="174"/>
      <c r="NP15" s="174"/>
      <c r="NQ15" s="174"/>
      <c r="NR15" s="174"/>
      <c r="NS15" s="174"/>
      <c r="NT15" s="174"/>
      <c r="NU15" s="174"/>
      <c r="NV15" s="174"/>
      <c r="NW15" s="174"/>
      <c r="NX15" s="174"/>
      <c r="NY15" s="174"/>
      <c r="NZ15" s="174"/>
      <c r="OA15" s="174"/>
      <c r="OB15" s="174"/>
      <c r="OC15" s="174"/>
      <c r="OD15" s="174"/>
      <c r="OE15" s="174"/>
      <c r="OF15" s="174"/>
      <c r="OG15" s="174"/>
      <c r="OH15" s="174"/>
      <c r="OI15" s="174"/>
      <c r="OJ15" s="174"/>
      <c r="OK15" s="174"/>
      <c r="OL15" s="174"/>
      <c r="OM15" s="174"/>
      <c r="ON15" s="174"/>
      <c r="OO15" s="174"/>
      <c r="OP15" s="174"/>
      <c r="OQ15" s="174"/>
      <c r="OR15" s="174"/>
      <c r="OS15" s="174"/>
      <c r="OT15" s="174"/>
      <c r="OU15" s="174"/>
      <c r="OV15" s="174"/>
      <c r="OW15" s="174"/>
      <c r="OX15" s="174"/>
      <c r="OY15" s="174"/>
      <c r="OZ15" s="174"/>
      <c r="PA15" s="174"/>
      <c r="PB15" s="174"/>
      <c r="PC15" s="174"/>
      <c r="PD15" s="174"/>
      <c r="PE15" s="174"/>
      <c r="PF15" s="174"/>
      <c r="PG15" s="174"/>
      <c r="PH15" s="174"/>
      <c r="PI15" s="174"/>
      <c r="PJ15" s="174"/>
      <c r="PK15" s="174"/>
      <c r="PL15" s="174"/>
      <c r="PM15" s="174"/>
      <c r="PN15" s="174"/>
      <c r="PO15" s="174"/>
      <c r="PP15" s="174"/>
      <c r="PQ15" s="174"/>
      <c r="PR15" s="174"/>
      <c r="PS15" s="174"/>
      <c r="PT15" s="174"/>
      <c r="PU15" s="174"/>
      <c r="PV15" s="174"/>
      <c r="PW15" s="174"/>
      <c r="PX15" s="174"/>
      <c r="PY15" s="174"/>
      <c r="PZ15" s="174"/>
      <c r="QA15" s="174"/>
      <c r="QB15" s="174"/>
      <c r="QC15" s="174"/>
      <c r="QD15" s="174"/>
      <c r="QE15" s="174"/>
      <c r="QF15" s="174"/>
      <c r="QG15" s="174"/>
      <c r="QH15" s="174"/>
      <c r="QI15" s="174"/>
      <c r="QJ15" s="174"/>
      <c r="QK15" s="174"/>
      <c r="QL15" s="174"/>
      <c r="QM15" s="174"/>
      <c r="QN15" s="174"/>
      <c r="QO15" s="174"/>
      <c r="QP15" s="174"/>
      <c r="QQ15" s="174"/>
      <c r="QR15" s="174"/>
      <c r="QS15" s="174"/>
      <c r="QT15" s="174"/>
      <c r="QU15" s="174"/>
      <c r="QV15" s="174"/>
      <c r="QW15" s="174"/>
      <c r="QX15" s="174"/>
      <c r="QY15" s="174"/>
      <c r="QZ15" s="174"/>
      <c r="RA15" s="174"/>
      <c r="RB15" s="174"/>
      <c r="RC15" s="174"/>
      <c r="RD15" s="174"/>
      <c r="RE15" s="174"/>
      <c r="RF15" s="174"/>
      <c r="RG15" s="174"/>
      <c r="RH15" s="174"/>
      <c r="RI15" s="174"/>
      <c r="RJ15" s="174"/>
      <c r="RK15" s="174"/>
      <c r="RL15" s="174"/>
      <c r="RM15" s="174"/>
      <c r="RN15" s="174"/>
      <c r="RO15" s="174"/>
      <c r="RP15" s="174"/>
      <c r="RQ15" s="174"/>
      <c r="RR15" s="174"/>
      <c r="RS15" s="174"/>
      <c r="RT15" s="174"/>
      <c r="RU15" s="174"/>
      <c r="RV15" s="174"/>
      <c r="RW15" s="174"/>
      <c r="RX15" s="174"/>
      <c r="RY15" s="174"/>
      <c r="RZ15" s="174"/>
      <c r="SA15" s="174"/>
      <c r="SB15" s="174"/>
      <c r="SC15" s="174"/>
      <c r="SD15" s="174"/>
      <c r="SE15" s="174"/>
      <c r="SF15" s="174"/>
      <c r="SG15" s="174"/>
      <c r="SH15" s="174"/>
      <c r="SI15" s="174"/>
      <c r="SJ15" s="174"/>
      <c r="SK15" s="174"/>
      <c r="SL15" s="174"/>
      <c r="SM15" s="174"/>
      <c r="SN15" s="174"/>
      <c r="SO15" s="174"/>
      <c r="SP15" s="174"/>
      <c r="SQ15" s="174"/>
      <c r="SR15" s="174"/>
      <c r="SS15" s="174"/>
      <c r="ST15" s="174"/>
      <c r="SU15" s="174"/>
      <c r="SV15" s="174"/>
      <c r="SW15" s="174"/>
      <c r="SX15" s="174"/>
      <c r="SY15" s="174"/>
      <c r="SZ15" s="174"/>
      <c r="TA15" s="174"/>
      <c r="TB15" s="174"/>
      <c r="TC15" s="174"/>
      <c r="TD15" s="174"/>
      <c r="TE15" s="174"/>
      <c r="TF15" s="174"/>
      <c r="TG15" s="174"/>
      <c r="TH15" s="174"/>
      <c r="TI15" s="174"/>
      <c r="TJ15" s="174"/>
      <c r="TK15" s="174"/>
      <c r="TL15" s="174"/>
      <c r="TM15" s="174"/>
      <c r="TN15" s="174"/>
      <c r="TO15" s="174"/>
      <c r="TP15" s="174"/>
      <c r="TQ15" s="174"/>
      <c r="TR15" s="174"/>
      <c r="TS15" s="174"/>
      <c r="TT15" s="174"/>
      <c r="TU15" s="174"/>
      <c r="TV15" s="174"/>
      <c r="TW15" s="174"/>
      <c r="TX15" s="174"/>
      <c r="TY15" s="174"/>
      <c r="TZ15" s="174"/>
      <c r="UA15" s="174"/>
      <c r="UB15" s="174"/>
      <c r="UC15" s="174"/>
      <c r="UD15" s="174"/>
      <c r="UE15" s="174"/>
      <c r="UF15" s="174"/>
      <c r="UG15" s="174"/>
      <c r="UH15" s="174"/>
      <c r="UI15" s="174"/>
      <c r="UJ15" s="174"/>
      <c r="UK15" s="174"/>
      <c r="UL15" s="174"/>
      <c r="UM15" s="174"/>
      <c r="UN15" s="174"/>
      <c r="UO15" s="174"/>
      <c r="UP15" s="174"/>
      <c r="UQ15" s="174"/>
      <c r="UR15" s="174"/>
      <c r="US15" s="174"/>
      <c r="UT15" s="174"/>
      <c r="UU15" s="174"/>
      <c r="UV15" s="174"/>
      <c r="UW15" s="174"/>
      <c r="UX15" s="174"/>
      <c r="UY15" s="174"/>
      <c r="UZ15" s="174"/>
      <c r="VA15" s="174"/>
      <c r="VB15" s="174"/>
      <c r="VC15" s="174"/>
      <c r="VD15" s="174"/>
      <c r="VE15" s="174"/>
      <c r="VF15" s="174"/>
      <c r="VG15" s="174"/>
      <c r="VH15" s="174"/>
      <c r="VI15" s="174"/>
      <c r="VJ15" s="174"/>
      <c r="VK15" s="174"/>
      <c r="VL15" s="174"/>
      <c r="VM15" s="174"/>
      <c r="VN15" s="174"/>
      <c r="VO15" s="174"/>
      <c r="VP15" s="174"/>
      <c r="VQ15" s="174"/>
      <c r="VR15" s="174"/>
      <c r="VS15" s="174"/>
      <c r="VT15" s="174"/>
      <c r="VU15" s="174"/>
      <c r="VV15" s="174"/>
      <c r="VW15" s="174"/>
      <c r="VX15" s="174"/>
      <c r="VY15" s="174"/>
      <c r="VZ15" s="174"/>
      <c r="WA15" s="174"/>
      <c r="WB15" s="174"/>
      <c r="WC15" s="174"/>
      <c r="WD15" s="174"/>
      <c r="WE15" s="174"/>
      <c r="WF15" s="174"/>
      <c r="WG15" s="174"/>
      <c r="WH15" s="174"/>
      <c r="WI15" s="174"/>
      <c r="WJ15" s="174"/>
      <c r="WK15" s="174"/>
      <c r="WL15" s="174"/>
      <c r="WM15" s="174"/>
      <c r="WN15" s="174"/>
      <c r="WO15" s="174"/>
      <c r="WP15" s="174"/>
      <c r="WQ15" s="174"/>
      <c r="WR15" s="174"/>
      <c r="WS15" s="174"/>
      <c r="WT15" s="174"/>
      <c r="WU15" s="174"/>
      <c r="WV15" s="174"/>
      <c r="WW15" s="174"/>
      <c r="WX15" s="174"/>
      <c r="WY15" s="174"/>
      <c r="WZ15" s="174"/>
      <c r="XA15" s="174"/>
      <c r="XB15" s="174"/>
      <c r="XC15" s="174"/>
      <c r="XD15" s="174"/>
      <c r="XE15" s="174"/>
      <c r="XF15" s="174"/>
      <c r="XG15" s="174"/>
      <c r="XH15" s="174"/>
      <c r="XI15" s="174"/>
      <c r="XJ15" s="174"/>
      <c r="XK15" s="174"/>
      <c r="XL15" s="174"/>
      <c r="XM15" s="174"/>
      <c r="XN15" s="174"/>
      <c r="XO15" s="174"/>
      <c r="XP15" s="174"/>
      <c r="XQ15" s="174"/>
      <c r="XR15" s="174"/>
      <c r="XS15" s="174"/>
      <c r="XT15" s="174"/>
      <c r="XU15" s="174"/>
      <c r="XV15" s="174"/>
      <c r="XW15" s="174"/>
      <c r="XX15" s="174"/>
      <c r="XY15" s="174"/>
      <c r="XZ15" s="174"/>
      <c r="YA15" s="174"/>
      <c r="YB15" s="174"/>
      <c r="YC15" s="174"/>
      <c r="YD15" s="174"/>
      <c r="YE15" s="174"/>
      <c r="YF15" s="174"/>
      <c r="YG15" s="174"/>
      <c r="YH15" s="174"/>
      <c r="YI15" s="174"/>
      <c r="YJ15" s="174"/>
      <c r="YK15" s="174"/>
      <c r="YL15" s="174"/>
      <c r="YM15" s="174"/>
      <c r="YN15" s="174"/>
      <c r="YO15" s="174"/>
      <c r="YP15" s="174"/>
      <c r="YQ15" s="174"/>
      <c r="YR15" s="174"/>
      <c r="YS15" s="174"/>
      <c r="YT15" s="174"/>
      <c r="YU15" s="174"/>
      <c r="YV15" s="174"/>
      <c r="YW15" s="174"/>
      <c r="YX15" s="174"/>
      <c r="YY15" s="174"/>
      <c r="YZ15" s="174"/>
      <c r="ZA15" s="174"/>
      <c r="ZB15" s="174"/>
      <c r="ZC15" s="174"/>
      <c r="ZD15" s="174"/>
      <c r="ZE15" s="174"/>
      <c r="ZF15" s="174"/>
      <c r="ZG15" s="174"/>
      <c r="ZH15" s="174"/>
      <c r="ZI15" s="174"/>
      <c r="ZJ15" s="174"/>
      <c r="ZK15" s="174"/>
      <c r="ZL15" s="174"/>
      <c r="ZM15" s="174"/>
      <c r="ZN15" s="174"/>
      <c r="ZO15" s="174"/>
      <c r="ZP15" s="174"/>
      <c r="ZQ15" s="174"/>
      <c r="ZR15" s="174"/>
      <c r="ZS15" s="174"/>
      <c r="ZT15" s="174"/>
      <c r="ZU15" s="174"/>
      <c r="ZV15" s="174"/>
      <c r="ZW15" s="174"/>
      <c r="ZX15" s="174"/>
      <c r="ZY15" s="174"/>
      <c r="ZZ15" s="174"/>
      <c r="AAA15" s="174"/>
      <c r="AAB15" s="174"/>
      <c r="AAC15" s="174"/>
      <c r="AAD15" s="174"/>
      <c r="AAE15" s="174"/>
      <c r="AAF15" s="174"/>
      <c r="AAG15" s="174"/>
      <c r="AAH15" s="174"/>
      <c r="AAI15" s="174"/>
      <c r="AAJ15" s="174"/>
      <c r="AAK15" s="174"/>
      <c r="AAL15" s="174"/>
      <c r="AAM15" s="174"/>
      <c r="AAN15" s="174"/>
      <c r="AAO15" s="174"/>
      <c r="AAP15" s="174"/>
      <c r="AAQ15" s="174"/>
      <c r="AAR15" s="174"/>
      <c r="AAS15" s="174"/>
      <c r="AAT15" s="174"/>
      <c r="AAU15" s="174"/>
      <c r="AAV15" s="174"/>
      <c r="AAW15" s="174"/>
      <c r="AAX15" s="174"/>
      <c r="AAY15" s="174"/>
      <c r="AAZ15" s="174"/>
      <c r="ABA15" s="174"/>
      <c r="ABB15" s="174"/>
      <c r="ABC15" s="174"/>
      <c r="ABD15" s="174"/>
      <c r="ABE15" s="174"/>
      <c r="ABF15" s="174"/>
      <c r="ABG15" s="174"/>
      <c r="ABH15" s="174"/>
      <c r="ABI15" s="174"/>
      <c r="ABJ15" s="174"/>
      <c r="ABK15" s="174"/>
      <c r="ABL15" s="174"/>
      <c r="ABM15" s="174"/>
      <c r="ABN15" s="174"/>
      <c r="ABO15" s="174"/>
      <c r="ABP15" s="174"/>
      <c r="ABQ15" s="174"/>
      <c r="ABR15" s="174"/>
      <c r="ABS15" s="174"/>
      <c r="ABT15" s="174"/>
      <c r="ABU15" s="174"/>
      <c r="ABV15" s="174"/>
      <c r="ABW15" s="174"/>
      <c r="ABX15" s="174"/>
      <c r="ABY15" s="174"/>
      <c r="ABZ15" s="174"/>
      <c r="ACA15" s="174"/>
      <c r="ACB15" s="174"/>
      <c r="ACC15" s="174"/>
      <c r="ACD15" s="174"/>
      <c r="ACE15" s="174"/>
      <c r="ACF15" s="174"/>
      <c r="ACG15" s="174"/>
      <c r="ACH15" s="174"/>
      <c r="ACI15" s="174"/>
      <c r="ACJ15" s="174"/>
      <c r="ACK15" s="174"/>
      <c r="ACL15" s="174"/>
      <c r="ACM15" s="174"/>
      <c r="ACN15" s="174"/>
      <c r="ACO15" s="174"/>
      <c r="ACP15" s="174"/>
      <c r="ACQ15" s="174"/>
      <c r="ACR15" s="174"/>
      <c r="ACS15" s="174"/>
      <c r="ACT15" s="174"/>
      <c r="ACU15" s="174"/>
      <c r="ACV15" s="174"/>
      <c r="ACW15" s="174"/>
      <c r="ACX15" s="174"/>
      <c r="ACY15" s="174"/>
      <c r="ACZ15" s="174"/>
      <c r="ADA15" s="174"/>
      <c r="ADB15" s="174"/>
      <c r="ADC15" s="174"/>
      <c r="ADD15" s="174"/>
      <c r="ADE15" s="174"/>
      <c r="ADF15" s="174"/>
      <c r="ADG15" s="174"/>
      <c r="ADH15" s="174"/>
      <c r="ADI15" s="174"/>
      <c r="ADJ15" s="174"/>
      <c r="ADK15" s="174"/>
      <c r="ADL15" s="174"/>
      <c r="ADM15" s="174"/>
      <c r="ADN15" s="174"/>
      <c r="ADO15" s="174"/>
      <c r="ADP15" s="174"/>
      <c r="ADQ15" s="174"/>
      <c r="ADR15" s="174"/>
      <c r="ADS15" s="174"/>
      <c r="ADT15" s="174"/>
      <c r="ADU15" s="174"/>
      <c r="ADV15" s="174"/>
      <c r="ADW15" s="174"/>
      <c r="ADX15" s="174"/>
      <c r="ADY15" s="174"/>
      <c r="ADZ15" s="174"/>
      <c r="AEA15" s="174"/>
      <c r="AEB15" s="174"/>
      <c r="AEC15" s="174"/>
      <c r="AED15" s="174"/>
      <c r="AEE15" s="174"/>
      <c r="AEF15" s="174"/>
      <c r="AEG15" s="174"/>
      <c r="AEH15" s="174"/>
      <c r="AEI15" s="174"/>
      <c r="AEJ15" s="174"/>
      <c r="AEK15" s="174"/>
      <c r="AEL15" s="174"/>
      <c r="AEM15" s="174"/>
      <c r="AEN15" s="174"/>
      <c r="AEO15" s="174"/>
      <c r="AEP15" s="174"/>
      <c r="AEQ15" s="174"/>
      <c r="AER15" s="174"/>
      <c r="AES15" s="174"/>
      <c r="AET15" s="174"/>
      <c r="AEU15" s="174"/>
      <c r="AEV15" s="174"/>
      <c r="AEW15" s="174"/>
      <c r="AEX15" s="174"/>
      <c r="AEY15" s="174"/>
      <c r="AEZ15" s="174"/>
      <c r="AFA15" s="174"/>
      <c r="AFB15" s="174"/>
      <c r="AFC15" s="174"/>
      <c r="AFD15" s="174"/>
      <c r="AFE15" s="174"/>
      <c r="AFF15" s="174"/>
      <c r="AFG15" s="174"/>
      <c r="AFH15" s="174"/>
      <c r="AFI15" s="174"/>
      <c r="AFJ15" s="174"/>
      <c r="AFK15" s="174"/>
      <c r="AFL15" s="174"/>
      <c r="AFM15" s="174"/>
      <c r="AFN15" s="174"/>
      <c r="AFO15" s="174"/>
      <c r="AFP15" s="174"/>
      <c r="AFQ15" s="174"/>
      <c r="AFR15" s="174"/>
      <c r="AFS15" s="174"/>
      <c r="AFT15" s="174"/>
      <c r="AFU15" s="174"/>
      <c r="AFV15" s="174"/>
      <c r="AFW15" s="174"/>
      <c r="AFX15" s="174"/>
      <c r="AFY15" s="174"/>
      <c r="AFZ15" s="174"/>
      <c r="AGA15" s="174"/>
      <c r="AGB15" s="174"/>
      <c r="AGC15" s="174"/>
      <c r="AGD15" s="174"/>
      <c r="AGE15" s="174"/>
      <c r="AGF15" s="174"/>
      <c r="AGG15" s="174"/>
      <c r="AGH15" s="174"/>
      <c r="AGI15" s="174"/>
      <c r="AGJ15" s="174"/>
      <c r="AGK15" s="174"/>
      <c r="AGL15" s="174"/>
      <c r="AGM15" s="174"/>
      <c r="AGN15" s="174"/>
      <c r="AGO15" s="174"/>
      <c r="AGP15" s="174"/>
      <c r="AGQ15" s="174"/>
      <c r="AGR15" s="174"/>
      <c r="AGS15" s="174"/>
      <c r="AGT15" s="174"/>
      <c r="AGU15" s="174"/>
      <c r="AGV15" s="174"/>
      <c r="AGW15" s="174"/>
      <c r="AGX15" s="174"/>
      <c r="AGY15" s="174"/>
      <c r="AGZ15" s="174"/>
      <c r="AHA15" s="174"/>
      <c r="AHB15" s="174"/>
      <c r="AHC15" s="174"/>
      <c r="AHD15" s="174"/>
      <c r="AHE15" s="174"/>
      <c r="AHF15" s="174"/>
      <c r="AHG15" s="174"/>
      <c r="AHH15" s="174"/>
      <c r="AHI15" s="174"/>
      <c r="AHJ15" s="174"/>
      <c r="AHK15" s="174"/>
      <c r="AHL15" s="174"/>
      <c r="AHM15" s="174"/>
      <c r="AHN15" s="174"/>
      <c r="AHO15" s="174"/>
      <c r="AHP15" s="174"/>
      <c r="AHQ15" s="174"/>
      <c r="AHR15" s="174"/>
      <c r="AHS15" s="174"/>
      <c r="AHT15" s="174"/>
      <c r="AHU15" s="174"/>
      <c r="AHV15" s="174"/>
      <c r="AHW15" s="174"/>
      <c r="AHX15" s="174"/>
      <c r="AHY15" s="174"/>
      <c r="AHZ15" s="174"/>
      <c r="AIA15" s="174"/>
      <c r="AIB15" s="174"/>
      <c r="AIC15" s="174"/>
      <c r="AID15" s="174"/>
      <c r="AIE15" s="174"/>
      <c r="AIF15" s="174"/>
      <c r="AIG15" s="174"/>
      <c r="AIH15" s="174"/>
      <c r="AII15" s="174"/>
      <c r="AIJ15" s="174"/>
      <c r="AIK15" s="174"/>
      <c r="AIL15" s="174"/>
      <c r="AIM15" s="174"/>
      <c r="AIN15" s="174"/>
      <c r="AIO15" s="174"/>
      <c r="AIP15" s="174"/>
      <c r="AIQ15" s="174"/>
      <c r="AIR15" s="174"/>
      <c r="AIS15" s="174"/>
      <c r="AIT15" s="174"/>
      <c r="AIU15" s="174"/>
      <c r="AIV15" s="174"/>
      <c r="AIW15" s="174"/>
      <c r="AIX15" s="174"/>
      <c r="AIY15" s="174"/>
      <c r="AIZ15" s="174"/>
      <c r="AJA15" s="174"/>
      <c r="AJB15" s="174"/>
      <c r="AJC15" s="174"/>
      <c r="AJD15" s="174"/>
      <c r="AJE15" s="174"/>
      <c r="AJF15" s="174"/>
      <c r="AJG15" s="174"/>
      <c r="AJH15" s="174"/>
      <c r="AJI15" s="174"/>
      <c r="AJJ15" s="174"/>
      <c r="AJK15" s="174"/>
      <c r="AJL15" s="174"/>
      <c r="AJM15" s="174"/>
      <c r="AJN15" s="174"/>
      <c r="AJO15" s="174"/>
      <c r="AJP15" s="174"/>
      <c r="AJQ15" s="174"/>
      <c r="AJR15" s="174"/>
      <c r="AJS15" s="174"/>
      <c r="AJT15" s="174"/>
      <c r="AJU15" s="174"/>
      <c r="AJV15" s="174"/>
      <c r="AJW15" s="174"/>
      <c r="AJX15" s="174"/>
      <c r="AJY15" s="174"/>
      <c r="AJZ15" s="174"/>
      <c r="AKA15" s="174"/>
      <c r="AKB15" s="174"/>
      <c r="AKC15" s="174"/>
      <c r="AKD15" s="174"/>
      <c r="AKE15" s="174"/>
      <c r="AKF15" s="174"/>
      <c r="AKG15" s="174"/>
      <c r="AKH15" s="174"/>
      <c r="AKI15" s="174"/>
      <c r="AKJ15" s="174"/>
      <c r="AKK15" s="174"/>
      <c r="AKL15" s="174"/>
      <c r="AKM15" s="174"/>
      <c r="AKN15" s="174"/>
      <c r="AKO15" s="174"/>
      <c r="AKP15" s="174"/>
      <c r="AKQ15" s="174"/>
      <c r="AKR15" s="174"/>
      <c r="AKS15" s="174"/>
      <c r="AKT15" s="174"/>
      <c r="AKU15" s="174"/>
      <c r="AKV15" s="174"/>
      <c r="AKW15" s="174"/>
      <c r="AKX15" s="174"/>
      <c r="AKY15" s="174"/>
      <c r="AKZ15" s="174"/>
      <c r="ALA15" s="174"/>
      <c r="ALB15" s="174"/>
      <c r="ALC15" s="174"/>
      <c r="ALD15" s="174"/>
      <c r="ALE15" s="174"/>
      <c r="ALF15" s="174"/>
      <c r="ALG15" s="174"/>
      <c r="ALH15" s="174"/>
      <c r="ALI15" s="174"/>
      <c r="ALJ15" s="174"/>
      <c r="ALK15" s="174"/>
      <c r="ALL15" s="174"/>
      <c r="ALM15" s="174"/>
      <c r="ALN15" s="174"/>
      <c r="ALO15" s="174"/>
      <c r="ALP15" s="174"/>
      <c r="ALQ15" s="174"/>
      <c r="ALR15" s="174"/>
      <c r="ALS15" s="174"/>
      <c r="ALT15" s="174"/>
      <c r="ALU15" s="174"/>
      <c r="ALV15" s="174"/>
      <c r="ALW15" s="174"/>
      <c r="ALX15" s="174"/>
      <c r="ALY15" s="174"/>
      <c r="ALZ15" s="174"/>
      <c r="AMA15" s="174"/>
      <c r="AMB15" s="174"/>
      <c r="AMC15" s="174"/>
      <c r="AMD15" s="174"/>
      <c r="AME15" s="174"/>
      <c r="AMF15" s="174"/>
      <c r="AMG15" s="174"/>
      <c r="AMH15" s="174"/>
      <c r="AMI15" s="174"/>
      <c r="AMJ15" s="174"/>
      <c r="AMK15" s="174"/>
      <c r="AML15" s="174"/>
      <c r="AMM15" s="174"/>
      <c r="AMN15" s="174"/>
      <c r="AMO15" s="174"/>
      <c r="AMP15" s="174"/>
      <c r="AMQ15" s="174"/>
      <c r="AMR15" s="174"/>
      <c r="AMS15" s="174"/>
      <c r="AMT15" s="174"/>
      <c r="AMU15" s="174"/>
      <c r="AMV15" s="174"/>
      <c r="AMW15" s="174"/>
      <c r="AMX15" s="174"/>
      <c r="AMY15" s="174"/>
      <c r="AMZ15" s="174"/>
      <c r="ANA15" s="174"/>
      <c r="ANB15" s="174"/>
      <c r="ANC15" s="174"/>
      <c r="AND15" s="174"/>
      <c r="ANE15" s="174"/>
      <c r="ANF15" s="174"/>
      <c r="ANG15" s="174"/>
      <c r="ANH15" s="174"/>
      <c r="ANI15" s="174"/>
      <c r="ANJ15" s="174"/>
      <c r="ANK15" s="174"/>
      <c r="ANL15" s="174"/>
      <c r="ANM15" s="174"/>
      <c r="ANN15" s="174"/>
      <c r="ANO15" s="174"/>
      <c r="ANP15" s="174"/>
      <c r="ANQ15" s="174"/>
      <c r="ANR15" s="174"/>
      <c r="ANS15" s="174"/>
      <c r="ANT15" s="174"/>
      <c r="ANU15" s="174"/>
      <c r="ANV15" s="174"/>
      <c r="ANW15" s="174"/>
      <c r="ANX15" s="174"/>
      <c r="ANY15" s="174"/>
      <c r="ANZ15" s="174"/>
      <c r="AOA15" s="174"/>
      <c r="AOB15" s="174"/>
      <c r="AOC15" s="174"/>
      <c r="AOD15" s="174"/>
      <c r="AOE15" s="174"/>
      <c r="AOF15" s="174"/>
      <c r="AOG15" s="174"/>
      <c r="AOH15" s="174"/>
      <c r="AOI15" s="174"/>
      <c r="AOJ15" s="174"/>
      <c r="AOK15" s="174"/>
      <c r="AOL15" s="174"/>
      <c r="AOM15" s="174"/>
      <c r="AON15" s="174"/>
      <c r="AOO15" s="174"/>
      <c r="AOP15" s="174"/>
      <c r="AOQ15" s="174"/>
      <c r="AOR15" s="174"/>
      <c r="AOS15" s="174"/>
      <c r="AOT15" s="174"/>
      <c r="AOU15" s="174"/>
      <c r="AOV15" s="174"/>
      <c r="AOW15" s="174"/>
      <c r="AOX15" s="174"/>
      <c r="AOY15" s="174"/>
      <c r="AOZ15" s="174"/>
      <c r="APA15" s="174"/>
      <c r="APB15" s="174"/>
      <c r="APC15" s="174"/>
      <c r="APD15" s="174"/>
      <c r="APE15" s="174"/>
      <c r="APF15" s="174"/>
      <c r="APG15" s="174"/>
      <c r="APH15" s="174"/>
      <c r="API15" s="174"/>
      <c r="APJ15" s="174"/>
      <c r="APK15" s="174"/>
      <c r="APL15" s="174"/>
      <c r="APM15" s="174"/>
      <c r="APN15" s="174"/>
      <c r="APO15" s="174"/>
      <c r="APP15" s="174"/>
      <c r="APQ15" s="174"/>
      <c r="APR15" s="174"/>
      <c r="APS15" s="174"/>
      <c r="APT15" s="174"/>
      <c r="APU15" s="174"/>
      <c r="APV15" s="174"/>
      <c r="APW15" s="174"/>
      <c r="APX15" s="174"/>
      <c r="APY15" s="174"/>
      <c r="APZ15" s="174"/>
      <c r="AQA15" s="174"/>
      <c r="AQB15" s="174"/>
      <c r="AQC15" s="174"/>
      <c r="AQD15" s="174"/>
      <c r="AQE15" s="174"/>
      <c r="AQF15" s="174"/>
      <c r="AQG15" s="174"/>
      <c r="AQH15" s="174"/>
      <c r="AQI15" s="174"/>
      <c r="AQJ15" s="174"/>
      <c r="AQK15" s="174"/>
      <c r="AQL15" s="174"/>
      <c r="AQM15" s="174"/>
      <c r="AQN15" s="174"/>
      <c r="AQO15" s="174"/>
      <c r="AQP15" s="174"/>
      <c r="AQQ15" s="174"/>
      <c r="AQR15" s="174"/>
      <c r="AQS15" s="174"/>
      <c r="AQT15" s="174"/>
      <c r="AQU15" s="174"/>
      <c r="AQV15" s="174"/>
      <c r="AQW15" s="174"/>
      <c r="AQX15" s="174"/>
      <c r="AQY15" s="174"/>
      <c r="AQZ15" s="174"/>
      <c r="ARA15" s="174"/>
      <c r="ARB15" s="174"/>
      <c r="ARC15" s="174"/>
      <c r="ARD15" s="174"/>
      <c r="ARE15" s="174"/>
      <c r="ARF15" s="174"/>
      <c r="ARG15" s="174"/>
      <c r="ARH15" s="174"/>
      <c r="ARI15" s="174"/>
      <c r="ARJ15" s="174"/>
      <c r="ARK15" s="174"/>
      <c r="ARL15" s="174"/>
      <c r="ARM15" s="174"/>
      <c r="ARN15" s="174"/>
      <c r="ARO15" s="174"/>
      <c r="ARP15" s="174"/>
      <c r="ARQ15" s="174"/>
      <c r="ARR15" s="174"/>
      <c r="ARS15" s="174"/>
      <c r="ART15" s="174"/>
      <c r="ARU15" s="174"/>
      <c r="ARV15" s="174"/>
      <c r="ARW15" s="174"/>
      <c r="ARX15" s="174"/>
      <c r="ARY15" s="174"/>
      <c r="ARZ15" s="174"/>
      <c r="ASA15" s="174"/>
      <c r="ASB15" s="174"/>
      <c r="ASC15" s="174"/>
      <c r="ASD15" s="174"/>
      <c r="ASE15" s="174"/>
      <c r="ASF15" s="174"/>
      <c r="ASG15" s="174"/>
      <c r="ASH15" s="174"/>
      <c r="ASI15" s="174"/>
      <c r="ASJ15" s="174"/>
      <c r="ASK15" s="174"/>
      <c r="ASL15" s="174"/>
      <c r="ASM15" s="174"/>
      <c r="ASN15" s="174"/>
      <c r="ASO15" s="174"/>
      <c r="ASP15" s="174"/>
      <c r="ASQ15" s="174"/>
      <c r="ASR15" s="174"/>
      <c r="ASS15" s="174"/>
      <c r="AST15" s="174"/>
      <c r="ASU15" s="174"/>
      <c r="ASV15" s="174"/>
      <c r="ASW15" s="174"/>
      <c r="ASX15" s="174"/>
      <c r="ASY15" s="174"/>
      <c r="ASZ15" s="174"/>
      <c r="ATA15" s="174"/>
      <c r="ATB15" s="174"/>
      <c r="ATC15" s="174"/>
      <c r="ATD15" s="174"/>
      <c r="ATE15" s="174"/>
      <c r="ATF15" s="174"/>
      <c r="ATG15" s="174"/>
      <c r="ATH15" s="174"/>
      <c r="ATI15" s="174"/>
      <c r="ATJ15" s="174"/>
      <c r="ATK15" s="174"/>
      <c r="ATL15" s="174"/>
      <c r="ATM15" s="174"/>
      <c r="ATN15" s="174"/>
      <c r="ATO15" s="174"/>
      <c r="ATP15" s="174"/>
      <c r="ATQ15" s="174"/>
      <c r="ATR15" s="174"/>
      <c r="ATS15" s="174"/>
      <c r="ATT15" s="174"/>
      <c r="ATU15" s="174"/>
      <c r="ATV15" s="174"/>
      <c r="ATW15" s="174"/>
      <c r="ATX15" s="174"/>
      <c r="ATY15" s="174"/>
      <c r="ATZ15" s="174"/>
      <c r="AUA15" s="174"/>
      <c r="AUB15" s="174"/>
      <c r="AUC15" s="174"/>
      <c r="AUD15" s="174"/>
      <c r="AUE15" s="174"/>
      <c r="AUF15" s="174"/>
      <c r="AUG15" s="174"/>
      <c r="AUH15" s="174"/>
      <c r="AUI15" s="174"/>
      <c r="AUJ15" s="174"/>
      <c r="AUK15" s="174"/>
      <c r="AUL15" s="174"/>
      <c r="AUM15" s="174"/>
      <c r="AUN15" s="174"/>
      <c r="AUO15" s="174"/>
      <c r="AUP15" s="174"/>
      <c r="AUQ15" s="174"/>
      <c r="AUR15" s="174"/>
      <c r="AUS15" s="174"/>
      <c r="AUT15" s="174"/>
      <c r="AUU15" s="174"/>
      <c r="AUV15" s="174"/>
      <c r="AUW15" s="174"/>
      <c r="AUX15" s="174"/>
      <c r="AUY15" s="174"/>
      <c r="AUZ15" s="174"/>
      <c r="AVA15" s="174"/>
      <c r="AVB15" s="174"/>
      <c r="AVC15" s="174"/>
      <c r="AVD15" s="174"/>
      <c r="AVE15" s="174"/>
      <c r="AVF15" s="174"/>
      <c r="AVG15" s="174"/>
      <c r="AVH15" s="174"/>
      <c r="AVI15" s="174"/>
      <c r="AVJ15" s="174"/>
      <c r="AVK15" s="174"/>
      <c r="AVL15" s="174"/>
      <c r="AVM15" s="174"/>
      <c r="AVN15" s="174"/>
      <c r="AVO15" s="174"/>
      <c r="AVP15" s="174"/>
      <c r="AVQ15" s="174"/>
      <c r="AVR15" s="174"/>
      <c r="AVS15" s="174"/>
      <c r="AVT15" s="174"/>
      <c r="AVU15" s="174"/>
      <c r="AVV15" s="174"/>
      <c r="AVW15" s="174"/>
      <c r="AVX15" s="174"/>
      <c r="AVY15" s="174"/>
      <c r="AVZ15" s="174"/>
      <c r="AWA15" s="174"/>
      <c r="AWB15" s="174"/>
      <c r="AWC15" s="174"/>
      <c r="AWD15" s="174"/>
      <c r="AWE15" s="174"/>
      <c r="AWF15" s="174"/>
      <c r="AWG15" s="174"/>
      <c r="AWH15" s="174"/>
      <c r="AWI15" s="174"/>
      <c r="AWJ15" s="174"/>
      <c r="AWK15" s="174"/>
      <c r="AWL15" s="174"/>
      <c r="AWM15" s="174"/>
      <c r="AWN15" s="174"/>
      <c r="AWO15" s="174"/>
      <c r="AWP15" s="174"/>
      <c r="AWQ15" s="174"/>
      <c r="AWR15" s="174"/>
      <c r="AWS15" s="174"/>
      <c r="AWT15" s="174"/>
      <c r="AWU15" s="174"/>
      <c r="AWV15" s="174"/>
      <c r="AWW15" s="174"/>
      <c r="AWX15" s="174"/>
      <c r="AWY15" s="174"/>
      <c r="AWZ15" s="174"/>
      <c r="AXA15" s="174"/>
      <c r="AXB15" s="174"/>
      <c r="AXC15" s="174"/>
      <c r="AXD15" s="174"/>
      <c r="AXE15" s="174"/>
      <c r="AXF15" s="174"/>
      <c r="AXG15" s="174"/>
      <c r="AXH15" s="174"/>
      <c r="AXI15" s="174"/>
      <c r="AXJ15" s="174"/>
      <c r="AXK15" s="174"/>
      <c r="AXL15" s="174"/>
      <c r="AXM15" s="174"/>
      <c r="AXN15" s="174"/>
      <c r="AXO15" s="174"/>
      <c r="AXP15" s="174"/>
      <c r="AXQ15" s="174"/>
      <c r="AXR15" s="174"/>
      <c r="AXS15" s="174"/>
      <c r="AXT15" s="174"/>
      <c r="AXU15" s="174"/>
      <c r="AXV15" s="174"/>
      <c r="AXW15" s="174"/>
      <c r="AXX15" s="174"/>
      <c r="AXY15" s="174"/>
      <c r="AXZ15" s="174"/>
      <c r="AYA15" s="174"/>
      <c r="AYB15" s="174"/>
      <c r="AYC15" s="174"/>
      <c r="AYD15" s="174"/>
      <c r="AYE15" s="174"/>
      <c r="AYF15" s="174"/>
      <c r="AYG15" s="174"/>
      <c r="AYH15" s="174"/>
      <c r="AYI15" s="174"/>
      <c r="AYJ15" s="174"/>
      <c r="AYK15" s="174"/>
      <c r="AYL15" s="174"/>
      <c r="AYM15" s="174"/>
      <c r="AYN15" s="174"/>
      <c r="AYO15" s="174"/>
      <c r="AYP15" s="174"/>
      <c r="AYQ15" s="174"/>
      <c r="AYR15" s="174"/>
      <c r="AYS15" s="174"/>
      <c r="AYT15" s="174"/>
      <c r="AYU15" s="174"/>
      <c r="AYV15" s="174"/>
      <c r="AYW15" s="174"/>
      <c r="AYX15" s="174"/>
      <c r="AYY15" s="174"/>
      <c r="AYZ15" s="174"/>
      <c r="AZA15" s="174"/>
      <c r="AZB15" s="174"/>
      <c r="AZC15" s="174"/>
      <c r="AZD15" s="174"/>
      <c r="AZE15" s="174"/>
      <c r="AZF15" s="174"/>
      <c r="AZG15" s="174"/>
      <c r="AZH15" s="174"/>
      <c r="AZI15" s="174"/>
      <c r="AZJ15" s="174"/>
      <c r="AZK15" s="174"/>
      <c r="AZL15" s="174"/>
      <c r="AZM15" s="174"/>
      <c r="AZN15" s="174"/>
      <c r="AZO15" s="174"/>
      <c r="AZP15" s="174"/>
      <c r="AZQ15" s="174"/>
      <c r="AZR15" s="174"/>
      <c r="AZS15" s="174"/>
      <c r="AZT15" s="174"/>
      <c r="AZU15" s="174"/>
      <c r="AZV15" s="174"/>
      <c r="AZW15" s="174"/>
      <c r="AZX15" s="174"/>
      <c r="AZY15" s="174"/>
      <c r="AZZ15" s="174"/>
      <c r="BAA15" s="174"/>
      <c r="BAB15" s="174"/>
      <c r="BAC15" s="174"/>
      <c r="BAD15" s="174"/>
      <c r="BAE15" s="174"/>
      <c r="BAF15" s="174"/>
      <c r="BAG15" s="174"/>
      <c r="BAH15" s="174"/>
      <c r="BAI15" s="174"/>
      <c r="BAJ15" s="174"/>
      <c r="BAK15" s="174"/>
      <c r="BAL15" s="174"/>
      <c r="BAM15" s="174"/>
      <c r="BAN15" s="174"/>
      <c r="BAO15" s="174"/>
      <c r="BAP15" s="174"/>
      <c r="BAQ15" s="174"/>
      <c r="BAR15" s="174"/>
      <c r="BAS15" s="174"/>
      <c r="BAT15" s="174"/>
      <c r="BAU15" s="174"/>
      <c r="BAV15" s="174"/>
      <c r="BAW15" s="174"/>
      <c r="BAX15" s="174"/>
      <c r="BAY15" s="174"/>
      <c r="BAZ15" s="174"/>
      <c r="BBA15" s="174"/>
      <c r="BBB15" s="174"/>
      <c r="BBC15" s="174"/>
      <c r="BBD15" s="174"/>
      <c r="BBE15" s="174"/>
      <c r="BBF15" s="174"/>
      <c r="BBG15" s="174"/>
      <c r="BBH15" s="174"/>
      <c r="BBI15" s="174"/>
      <c r="BBJ15" s="174"/>
      <c r="BBK15" s="174"/>
      <c r="BBL15" s="174"/>
      <c r="BBM15" s="174"/>
      <c r="BBN15" s="174"/>
      <c r="BBO15" s="174"/>
      <c r="BBP15" s="174"/>
      <c r="BBQ15" s="174"/>
      <c r="BBR15" s="174"/>
      <c r="BBS15" s="174"/>
      <c r="BBT15" s="174"/>
      <c r="BBU15" s="174"/>
      <c r="BBV15" s="174"/>
      <c r="BBW15" s="174"/>
      <c r="BBX15" s="174"/>
      <c r="BBY15" s="174"/>
      <c r="BBZ15" s="174"/>
      <c r="BCA15" s="174"/>
      <c r="BCB15" s="174"/>
      <c r="BCC15" s="174"/>
      <c r="BCD15" s="174"/>
      <c r="BCE15" s="174"/>
      <c r="BCF15" s="174"/>
      <c r="BCG15" s="174"/>
      <c r="BCH15" s="174"/>
      <c r="BCI15" s="174"/>
      <c r="BCJ15" s="174"/>
      <c r="BCK15" s="174"/>
      <c r="BCL15" s="174"/>
      <c r="BCM15" s="174"/>
      <c r="BCN15" s="174"/>
      <c r="BCO15" s="174"/>
      <c r="BCP15" s="174"/>
      <c r="BCQ15" s="174"/>
      <c r="BCR15" s="174"/>
      <c r="BCS15" s="174"/>
      <c r="BCT15" s="174"/>
      <c r="BCU15" s="174"/>
      <c r="BCV15" s="174"/>
      <c r="BCW15" s="174"/>
      <c r="BCX15" s="174"/>
      <c r="BCY15" s="174"/>
      <c r="BCZ15" s="174"/>
      <c r="BDA15" s="174"/>
      <c r="BDB15" s="174"/>
      <c r="BDC15" s="174"/>
      <c r="BDD15" s="174"/>
    </row>
    <row r="16" spans="1:1460" ht="9.9499999999999993" customHeight="1">
      <c r="A16" s="174"/>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3"/>
      <c r="BH16" s="174"/>
      <c r="BI16" s="177"/>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c r="FX16" s="174"/>
      <c r="FY16" s="174"/>
      <c r="FZ16" s="174"/>
      <c r="GA16" s="174"/>
      <c r="GB16" s="174"/>
      <c r="GC16" s="174"/>
      <c r="GD16" s="174"/>
      <c r="GE16" s="174"/>
      <c r="GF16" s="174"/>
      <c r="GG16" s="174"/>
      <c r="GH16" s="174"/>
      <c r="GI16" s="174"/>
      <c r="GJ16" s="174"/>
      <c r="GK16" s="174"/>
      <c r="GL16" s="174"/>
      <c r="GM16" s="174"/>
      <c r="GN16" s="174"/>
      <c r="GO16" s="174"/>
      <c r="GP16" s="174"/>
      <c r="GQ16" s="174"/>
      <c r="GR16" s="174"/>
      <c r="GS16" s="174"/>
      <c r="GT16" s="174"/>
      <c r="GU16" s="174"/>
      <c r="GV16" s="174"/>
      <c r="GW16" s="174"/>
      <c r="GX16" s="174"/>
      <c r="GY16" s="174"/>
      <c r="GZ16" s="174"/>
      <c r="HA16" s="174"/>
      <c r="HB16" s="174"/>
      <c r="HC16" s="174"/>
      <c r="HD16" s="174"/>
      <c r="HE16" s="174"/>
      <c r="HF16" s="174"/>
      <c r="HG16" s="174"/>
      <c r="HH16" s="174"/>
      <c r="HI16" s="174"/>
      <c r="HJ16" s="174"/>
      <c r="HK16" s="174"/>
      <c r="HL16" s="174"/>
      <c r="HM16" s="174"/>
      <c r="HN16" s="174"/>
      <c r="HO16" s="174"/>
      <c r="HP16" s="174"/>
      <c r="HQ16" s="174"/>
      <c r="HR16" s="174"/>
      <c r="HS16" s="174"/>
      <c r="HT16" s="174"/>
      <c r="HU16" s="174"/>
      <c r="HV16" s="174"/>
      <c r="HW16" s="174"/>
      <c r="HX16" s="174"/>
      <c r="HY16" s="174"/>
      <c r="HZ16" s="174"/>
      <c r="IA16" s="174"/>
      <c r="IB16" s="174"/>
      <c r="IC16" s="174"/>
      <c r="ID16" s="174"/>
      <c r="IE16" s="174"/>
      <c r="IF16" s="174"/>
      <c r="IG16" s="174"/>
      <c r="IH16" s="174"/>
      <c r="II16" s="174"/>
      <c r="IJ16" s="174"/>
      <c r="IK16" s="174"/>
      <c r="IL16" s="174"/>
      <c r="IM16" s="174"/>
      <c r="IN16" s="174"/>
      <c r="IO16" s="174"/>
      <c r="IP16" s="174"/>
      <c r="IQ16" s="174"/>
      <c r="IR16" s="174"/>
      <c r="IS16" s="174"/>
      <c r="IT16" s="174"/>
      <c r="IU16" s="174"/>
      <c r="IV16" s="174"/>
      <c r="IW16" s="174"/>
      <c r="IX16" s="174"/>
      <c r="IY16" s="174"/>
      <c r="IZ16" s="174"/>
      <c r="JA16" s="174"/>
      <c r="JB16" s="174"/>
      <c r="JC16" s="174"/>
      <c r="JD16" s="174"/>
      <c r="JE16" s="174"/>
      <c r="JF16" s="174"/>
      <c r="JG16" s="174"/>
      <c r="JH16" s="174"/>
      <c r="JI16" s="174"/>
      <c r="JJ16" s="174"/>
      <c r="JK16" s="174"/>
      <c r="JL16" s="174"/>
      <c r="JM16" s="174"/>
      <c r="JN16" s="174"/>
      <c r="JO16" s="174"/>
      <c r="JP16" s="174"/>
      <c r="JQ16" s="174"/>
      <c r="JR16" s="174"/>
      <c r="JS16" s="174"/>
      <c r="JT16" s="174"/>
      <c r="JU16" s="174"/>
      <c r="JV16" s="174"/>
      <c r="JW16" s="174"/>
      <c r="JX16" s="174"/>
      <c r="JY16" s="174"/>
      <c r="JZ16" s="174"/>
      <c r="KA16" s="174"/>
      <c r="KB16" s="174"/>
      <c r="KC16" s="174"/>
      <c r="KD16" s="174"/>
      <c r="KE16" s="174"/>
      <c r="KF16" s="174"/>
      <c r="KG16" s="174"/>
      <c r="KH16" s="174"/>
      <c r="KI16" s="174"/>
      <c r="KJ16" s="174"/>
      <c r="KK16" s="174"/>
      <c r="KL16" s="174"/>
      <c r="KM16" s="174"/>
      <c r="KN16" s="174"/>
      <c r="KO16" s="174"/>
      <c r="KP16" s="174"/>
      <c r="KQ16" s="174"/>
      <c r="KR16" s="174"/>
      <c r="KS16" s="174"/>
      <c r="KT16" s="174"/>
      <c r="KU16" s="174"/>
      <c r="KV16" s="174"/>
      <c r="KW16" s="174"/>
      <c r="KX16" s="174"/>
      <c r="KY16" s="174"/>
      <c r="KZ16" s="174"/>
      <c r="LA16" s="174"/>
      <c r="LB16" s="174"/>
      <c r="LC16" s="174"/>
      <c r="LD16" s="174"/>
      <c r="LE16" s="174"/>
      <c r="LF16" s="174"/>
      <c r="LG16" s="174"/>
      <c r="LH16" s="174"/>
      <c r="LI16" s="174"/>
      <c r="LJ16" s="174"/>
      <c r="LK16" s="174"/>
      <c r="LL16" s="174"/>
      <c r="LM16" s="174"/>
      <c r="LN16" s="174"/>
      <c r="LO16" s="174"/>
      <c r="LP16" s="174"/>
      <c r="LQ16" s="174"/>
      <c r="LR16" s="174"/>
      <c r="LS16" s="174"/>
      <c r="LT16" s="174"/>
      <c r="LU16" s="174"/>
      <c r="LV16" s="174"/>
      <c r="LW16" s="174"/>
      <c r="LX16" s="174"/>
      <c r="LY16" s="174"/>
      <c r="LZ16" s="174"/>
      <c r="MA16" s="174"/>
      <c r="MB16" s="174"/>
      <c r="MC16" s="174"/>
      <c r="MD16" s="174"/>
      <c r="ME16" s="174"/>
      <c r="MF16" s="174"/>
      <c r="MG16" s="174"/>
      <c r="MH16" s="174"/>
      <c r="MI16" s="174"/>
      <c r="MJ16" s="174"/>
      <c r="MK16" s="174"/>
      <c r="ML16" s="174"/>
      <c r="MM16" s="174"/>
      <c r="MN16" s="174"/>
      <c r="MO16" s="174"/>
      <c r="MP16" s="174"/>
      <c r="MQ16" s="174"/>
      <c r="MR16" s="174"/>
      <c r="MS16" s="174"/>
      <c r="MT16" s="174"/>
      <c r="MU16" s="174"/>
      <c r="MV16" s="174"/>
      <c r="MW16" s="174"/>
      <c r="MX16" s="174"/>
      <c r="MY16" s="174"/>
      <c r="MZ16" s="174"/>
      <c r="NA16" s="174"/>
      <c r="NB16" s="174"/>
      <c r="NC16" s="174"/>
      <c r="ND16" s="174"/>
      <c r="NE16" s="174"/>
      <c r="NF16" s="174"/>
      <c r="NG16" s="174"/>
      <c r="NH16" s="174"/>
      <c r="NI16" s="174"/>
      <c r="NJ16" s="174"/>
      <c r="NK16" s="174"/>
      <c r="NL16" s="174"/>
      <c r="NM16" s="174"/>
      <c r="NN16" s="174"/>
      <c r="NO16" s="174"/>
      <c r="NP16" s="174"/>
      <c r="NQ16" s="174"/>
      <c r="NR16" s="174"/>
      <c r="NS16" s="174"/>
      <c r="NT16" s="174"/>
      <c r="NU16" s="174"/>
      <c r="NV16" s="174"/>
      <c r="NW16" s="174"/>
      <c r="NX16" s="174"/>
      <c r="NY16" s="174"/>
      <c r="NZ16" s="174"/>
      <c r="OA16" s="174"/>
      <c r="OB16" s="174"/>
      <c r="OC16" s="174"/>
      <c r="OD16" s="174"/>
      <c r="OE16" s="174"/>
      <c r="OF16" s="174"/>
      <c r="OG16" s="174"/>
      <c r="OH16" s="174"/>
      <c r="OI16" s="174"/>
      <c r="OJ16" s="174"/>
      <c r="OK16" s="174"/>
      <c r="OL16" s="174"/>
      <c r="OM16" s="174"/>
      <c r="ON16" s="174"/>
      <c r="OO16" s="174"/>
      <c r="OP16" s="174"/>
      <c r="OQ16" s="174"/>
      <c r="OR16" s="174"/>
      <c r="OS16" s="174"/>
      <c r="OT16" s="174"/>
      <c r="OU16" s="174"/>
      <c r="OV16" s="174"/>
      <c r="OW16" s="174"/>
      <c r="OX16" s="174"/>
      <c r="OY16" s="174"/>
      <c r="OZ16" s="174"/>
      <c r="PA16" s="174"/>
      <c r="PB16" s="174"/>
      <c r="PC16" s="174"/>
      <c r="PD16" s="174"/>
      <c r="PE16" s="174"/>
      <c r="PF16" s="174"/>
      <c r="PG16" s="174"/>
      <c r="PH16" s="174"/>
      <c r="PI16" s="174"/>
      <c r="PJ16" s="174"/>
      <c r="PK16" s="174"/>
      <c r="PL16" s="174"/>
      <c r="PM16" s="174"/>
      <c r="PN16" s="174"/>
      <c r="PO16" s="174"/>
      <c r="PP16" s="174"/>
      <c r="PQ16" s="174"/>
      <c r="PR16" s="174"/>
      <c r="PS16" s="174"/>
      <c r="PT16" s="174"/>
      <c r="PU16" s="174"/>
      <c r="PV16" s="174"/>
      <c r="PW16" s="174"/>
      <c r="PX16" s="174"/>
      <c r="PY16" s="174"/>
      <c r="PZ16" s="174"/>
      <c r="QA16" s="174"/>
      <c r="QB16" s="174"/>
      <c r="QC16" s="174"/>
      <c r="QD16" s="174"/>
      <c r="QE16" s="174"/>
      <c r="QF16" s="174"/>
      <c r="QG16" s="174"/>
      <c r="QH16" s="174"/>
      <c r="QI16" s="174"/>
      <c r="QJ16" s="174"/>
      <c r="QK16" s="174"/>
      <c r="QL16" s="174"/>
      <c r="QM16" s="174"/>
      <c r="QN16" s="174"/>
      <c r="QO16" s="174"/>
      <c r="QP16" s="174"/>
      <c r="QQ16" s="174"/>
      <c r="QR16" s="174"/>
      <c r="QS16" s="174"/>
      <c r="QT16" s="174"/>
      <c r="QU16" s="174"/>
      <c r="QV16" s="174"/>
      <c r="QW16" s="174"/>
      <c r="QX16" s="174"/>
      <c r="QY16" s="174"/>
      <c r="QZ16" s="174"/>
      <c r="RA16" s="174"/>
      <c r="RB16" s="174"/>
      <c r="RC16" s="174"/>
      <c r="RD16" s="174"/>
      <c r="RE16" s="174"/>
      <c r="RF16" s="174"/>
      <c r="RG16" s="174"/>
      <c r="RH16" s="174"/>
      <c r="RI16" s="174"/>
      <c r="RJ16" s="174"/>
      <c r="RK16" s="174"/>
      <c r="RL16" s="174"/>
      <c r="RM16" s="174"/>
      <c r="RN16" s="174"/>
      <c r="RO16" s="174"/>
      <c r="RP16" s="174"/>
      <c r="RQ16" s="174"/>
      <c r="RR16" s="174"/>
      <c r="RS16" s="174"/>
      <c r="RT16" s="174"/>
      <c r="RU16" s="174"/>
      <c r="RV16" s="174"/>
      <c r="RW16" s="174"/>
      <c r="RX16" s="174"/>
      <c r="RY16" s="174"/>
      <c r="RZ16" s="174"/>
      <c r="SA16" s="174"/>
      <c r="SB16" s="174"/>
      <c r="SC16" s="174"/>
      <c r="SD16" s="174"/>
      <c r="SE16" s="174"/>
      <c r="SF16" s="174"/>
      <c r="SG16" s="174"/>
      <c r="SH16" s="174"/>
      <c r="SI16" s="174"/>
      <c r="SJ16" s="174"/>
      <c r="SK16" s="174"/>
      <c r="SL16" s="174"/>
      <c r="SM16" s="174"/>
      <c r="SN16" s="174"/>
      <c r="SO16" s="174"/>
      <c r="SP16" s="174"/>
      <c r="SQ16" s="174"/>
      <c r="SR16" s="174"/>
      <c r="SS16" s="174"/>
      <c r="ST16" s="174"/>
      <c r="SU16" s="174"/>
      <c r="SV16" s="174"/>
      <c r="SW16" s="174"/>
      <c r="SX16" s="174"/>
      <c r="SY16" s="174"/>
      <c r="SZ16" s="174"/>
      <c r="TA16" s="174"/>
      <c r="TB16" s="174"/>
      <c r="TC16" s="174"/>
      <c r="TD16" s="174"/>
      <c r="TE16" s="174"/>
      <c r="TF16" s="174"/>
      <c r="TG16" s="174"/>
      <c r="TH16" s="174"/>
      <c r="TI16" s="174"/>
      <c r="TJ16" s="174"/>
      <c r="TK16" s="174"/>
      <c r="TL16" s="174"/>
      <c r="TM16" s="174"/>
      <c r="TN16" s="174"/>
      <c r="TO16" s="174"/>
      <c r="TP16" s="174"/>
      <c r="TQ16" s="174"/>
      <c r="TR16" s="174"/>
      <c r="TS16" s="174"/>
      <c r="TT16" s="174"/>
      <c r="TU16" s="174"/>
      <c r="TV16" s="174"/>
      <c r="TW16" s="174"/>
      <c r="TX16" s="174"/>
      <c r="TY16" s="174"/>
      <c r="TZ16" s="174"/>
      <c r="UA16" s="174"/>
      <c r="UB16" s="174"/>
      <c r="UC16" s="174"/>
      <c r="UD16" s="174"/>
      <c r="UE16" s="174"/>
      <c r="UF16" s="174"/>
      <c r="UG16" s="174"/>
      <c r="UH16" s="174"/>
      <c r="UI16" s="174"/>
      <c r="UJ16" s="174"/>
      <c r="UK16" s="174"/>
      <c r="UL16" s="174"/>
      <c r="UM16" s="174"/>
      <c r="UN16" s="174"/>
      <c r="UO16" s="174"/>
      <c r="UP16" s="174"/>
      <c r="UQ16" s="174"/>
      <c r="UR16" s="174"/>
      <c r="US16" s="174"/>
      <c r="UT16" s="174"/>
      <c r="UU16" s="174"/>
      <c r="UV16" s="174"/>
      <c r="UW16" s="174"/>
      <c r="UX16" s="174"/>
      <c r="UY16" s="174"/>
      <c r="UZ16" s="174"/>
      <c r="VA16" s="174"/>
      <c r="VB16" s="174"/>
      <c r="VC16" s="174"/>
      <c r="VD16" s="174"/>
      <c r="VE16" s="174"/>
      <c r="VF16" s="174"/>
      <c r="VG16" s="174"/>
      <c r="VH16" s="174"/>
      <c r="VI16" s="174"/>
      <c r="VJ16" s="174"/>
      <c r="VK16" s="174"/>
      <c r="VL16" s="174"/>
      <c r="VM16" s="174"/>
      <c r="VN16" s="174"/>
      <c r="VO16" s="174"/>
      <c r="VP16" s="174"/>
      <c r="VQ16" s="174"/>
      <c r="VR16" s="174"/>
      <c r="VS16" s="174"/>
      <c r="VT16" s="174"/>
      <c r="VU16" s="174"/>
      <c r="VV16" s="174"/>
      <c r="VW16" s="174"/>
      <c r="VX16" s="174"/>
      <c r="VY16" s="174"/>
      <c r="VZ16" s="174"/>
      <c r="WA16" s="174"/>
      <c r="WB16" s="174"/>
      <c r="WC16" s="174"/>
      <c r="WD16" s="174"/>
      <c r="WE16" s="174"/>
      <c r="WF16" s="174"/>
      <c r="WG16" s="174"/>
      <c r="WH16" s="174"/>
      <c r="WI16" s="174"/>
      <c r="WJ16" s="174"/>
      <c r="WK16" s="174"/>
      <c r="WL16" s="174"/>
      <c r="WM16" s="174"/>
      <c r="WN16" s="174"/>
      <c r="WO16" s="174"/>
      <c r="WP16" s="174"/>
      <c r="WQ16" s="174"/>
      <c r="WR16" s="174"/>
      <c r="WS16" s="174"/>
      <c r="WT16" s="174"/>
      <c r="WU16" s="174"/>
      <c r="WV16" s="174"/>
      <c r="WW16" s="174"/>
      <c r="WX16" s="174"/>
      <c r="WY16" s="174"/>
      <c r="WZ16" s="174"/>
      <c r="XA16" s="174"/>
      <c r="XB16" s="174"/>
      <c r="XC16" s="174"/>
      <c r="XD16" s="174"/>
      <c r="XE16" s="174"/>
      <c r="XF16" s="174"/>
      <c r="XG16" s="174"/>
      <c r="XH16" s="174"/>
      <c r="XI16" s="174"/>
      <c r="XJ16" s="174"/>
      <c r="XK16" s="174"/>
      <c r="XL16" s="174"/>
      <c r="XM16" s="174"/>
      <c r="XN16" s="174"/>
      <c r="XO16" s="174"/>
      <c r="XP16" s="174"/>
      <c r="XQ16" s="174"/>
      <c r="XR16" s="174"/>
      <c r="XS16" s="174"/>
      <c r="XT16" s="174"/>
      <c r="XU16" s="174"/>
      <c r="XV16" s="174"/>
      <c r="XW16" s="174"/>
      <c r="XX16" s="174"/>
      <c r="XY16" s="174"/>
      <c r="XZ16" s="174"/>
      <c r="YA16" s="174"/>
      <c r="YB16" s="174"/>
      <c r="YC16" s="174"/>
      <c r="YD16" s="174"/>
      <c r="YE16" s="174"/>
      <c r="YF16" s="174"/>
      <c r="YG16" s="174"/>
      <c r="YH16" s="174"/>
      <c r="YI16" s="174"/>
      <c r="YJ16" s="174"/>
      <c r="YK16" s="174"/>
      <c r="YL16" s="174"/>
      <c r="YM16" s="174"/>
      <c r="YN16" s="174"/>
      <c r="YO16" s="174"/>
      <c r="YP16" s="174"/>
      <c r="YQ16" s="174"/>
      <c r="YR16" s="174"/>
      <c r="YS16" s="174"/>
      <c r="YT16" s="174"/>
      <c r="YU16" s="174"/>
      <c r="YV16" s="174"/>
      <c r="YW16" s="174"/>
      <c r="YX16" s="174"/>
      <c r="YY16" s="174"/>
      <c r="YZ16" s="174"/>
      <c r="ZA16" s="174"/>
      <c r="ZB16" s="174"/>
      <c r="ZC16" s="174"/>
      <c r="ZD16" s="174"/>
      <c r="ZE16" s="174"/>
      <c r="ZF16" s="174"/>
      <c r="ZG16" s="174"/>
      <c r="ZH16" s="174"/>
      <c r="ZI16" s="174"/>
      <c r="ZJ16" s="174"/>
      <c r="ZK16" s="174"/>
      <c r="ZL16" s="174"/>
      <c r="ZM16" s="174"/>
      <c r="ZN16" s="174"/>
      <c r="ZO16" s="174"/>
      <c r="ZP16" s="174"/>
      <c r="ZQ16" s="174"/>
      <c r="ZR16" s="174"/>
      <c r="ZS16" s="174"/>
      <c r="ZT16" s="174"/>
      <c r="ZU16" s="174"/>
      <c r="ZV16" s="174"/>
      <c r="ZW16" s="174"/>
      <c r="ZX16" s="174"/>
      <c r="ZY16" s="174"/>
      <c r="ZZ16" s="174"/>
      <c r="AAA16" s="174"/>
      <c r="AAB16" s="174"/>
      <c r="AAC16" s="174"/>
      <c r="AAD16" s="174"/>
      <c r="AAE16" s="174"/>
      <c r="AAF16" s="174"/>
      <c r="AAG16" s="174"/>
      <c r="AAH16" s="174"/>
      <c r="AAI16" s="174"/>
      <c r="AAJ16" s="174"/>
      <c r="AAK16" s="174"/>
      <c r="AAL16" s="174"/>
      <c r="AAM16" s="174"/>
      <c r="AAN16" s="174"/>
      <c r="AAO16" s="174"/>
      <c r="AAP16" s="174"/>
      <c r="AAQ16" s="174"/>
      <c r="AAR16" s="174"/>
      <c r="AAS16" s="174"/>
      <c r="AAT16" s="174"/>
      <c r="AAU16" s="174"/>
      <c r="AAV16" s="174"/>
      <c r="AAW16" s="174"/>
      <c r="AAX16" s="174"/>
      <c r="AAY16" s="174"/>
      <c r="AAZ16" s="174"/>
      <c r="ABA16" s="174"/>
      <c r="ABB16" s="174"/>
      <c r="ABC16" s="174"/>
      <c r="ABD16" s="174"/>
      <c r="ABE16" s="174"/>
      <c r="ABF16" s="174"/>
      <c r="ABG16" s="174"/>
      <c r="ABH16" s="174"/>
      <c r="ABI16" s="174"/>
      <c r="ABJ16" s="174"/>
      <c r="ABK16" s="174"/>
      <c r="ABL16" s="174"/>
      <c r="ABM16" s="174"/>
      <c r="ABN16" s="174"/>
      <c r="ABO16" s="174"/>
      <c r="ABP16" s="174"/>
      <c r="ABQ16" s="174"/>
      <c r="ABR16" s="174"/>
      <c r="ABS16" s="174"/>
      <c r="ABT16" s="174"/>
      <c r="ABU16" s="174"/>
      <c r="ABV16" s="174"/>
      <c r="ABW16" s="174"/>
      <c r="ABX16" s="174"/>
      <c r="ABY16" s="174"/>
      <c r="ABZ16" s="174"/>
      <c r="ACA16" s="174"/>
      <c r="ACB16" s="174"/>
      <c r="ACC16" s="174"/>
      <c r="ACD16" s="174"/>
      <c r="ACE16" s="174"/>
      <c r="ACF16" s="174"/>
      <c r="ACG16" s="174"/>
      <c r="ACH16" s="174"/>
      <c r="ACI16" s="174"/>
      <c r="ACJ16" s="174"/>
      <c r="ACK16" s="174"/>
      <c r="ACL16" s="174"/>
      <c r="ACM16" s="174"/>
      <c r="ACN16" s="174"/>
      <c r="ACO16" s="174"/>
      <c r="ACP16" s="174"/>
      <c r="ACQ16" s="174"/>
      <c r="ACR16" s="174"/>
      <c r="ACS16" s="174"/>
      <c r="ACT16" s="174"/>
      <c r="ACU16" s="174"/>
      <c r="ACV16" s="174"/>
      <c r="ACW16" s="174"/>
      <c r="ACX16" s="174"/>
      <c r="ACY16" s="174"/>
      <c r="ACZ16" s="174"/>
      <c r="ADA16" s="174"/>
      <c r="ADB16" s="174"/>
      <c r="ADC16" s="174"/>
      <c r="ADD16" s="174"/>
      <c r="ADE16" s="174"/>
      <c r="ADF16" s="174"/>
      <c r="ADG16" s="174"/>
      <c r="ADH16" s="174"/>
      <c r="ADI16" s="174"/>
      <c r="ADJ16" s="174"/>
      <c r="ADK16" s="174"/>
      <c r="ADL16" s="174"/>
      <c r="ADM16" s="174"/>
      <c r="ADN16" s="174"/>
      <c r="ADO16" s="174"/>
      <c r="ADP16" s="174"/>
      <c r="ADQ16" s="174"/>
      <c r="ADR16" s="174"/>
      <c r="ADS16" s="174"/>
      <c r="ADT16" s="174"/>
      <c r="ADU16" s="174"/>
      <c r="ADV16" s="174"/>
      <c r="ADW16" s="174"/>
      <c r="ADX16" s="174"/>
      <c r="ADY16" s="174"/>
      <c r="ADZ16" s="174"/>
      <c r="AEA16" s="174"/>
      <c r="AEB16" s="174"/>
      <c r="AEC16" s="174"/>
      <c r="AED16" s="174"/>
      <c r="AEE16" s="174"/>
      <c r="AEF16" s="174"/>
      <c r="AEG16" s="174"/>
      <c r="AEH16" s="174"/>
      <c r="AEI16" s="174"/>
      <c r="AEJ16" s="174"/>
      <c r="AEK16" s="174"/>
      <c r="AEL16" s="174"/>
      <c r="AEM16" s="174"/>
      <c r="AEN16" s="174"/>
      <c r="AEO16" s="174"/>
      <c r="AEP16" s="174"/>
      <c r="AEQ16" s="174"/>
      <c r="AER16" s="174"/>
      <c r="AES16" s="174"/>
      <c r="AET16" s="174"/>
      <c r="AEU16" s="174"/>
      <c r="AEV16" s="174"/>
      <c r="AEW16" s="174"/>
      <c r="AEX16" s="174"/>
      <c r="AEY16" s="174"/>
      <c r="AEZ16" s="174"/>
      <c r="AFA16" s="174"/>
      <c r="AFB16" s="174"/>
      <c r="AFC16" s="174"/>
      <c r="AFD16" s="174"/>
      <c r="AFE16" s="174"/>
      <c r="AFF16" s="174"/>
      <c r="AFG16" s="174"/>
      <c r="AFH16" s="174"/>
      <c r="AFI16" s="174"/>
      <c r="AFJ16" s="174"/>
      <c r="AFK16" s="174"/>
      <c r="AFL16" s="174"/>
      <c r="AFM16" s="174"/>
      <c r="AFN16" s="174"/>
      <c r="AFO16" s="174"/>
      <c r="AFP16" s="174"/>
      <c r="AFQ16" s="174"/>
      <c r="AFR16" s="174"/>
      <c r="AFS16" s="174"/>
      <c r="AFT16" s="174"/>
      <c r="AFU16" s="174"/>
      <c r="AFV16" s="174"/>
      <c r="AFW16" s="174"/>
      <c r="AFX16" s="174"/>
      <c r="AFY16" s="174"/>
      <c r="AFZ16" s="174"/>
      <c r="AGA16" s="174"/>
      <c r="AGB16" s="174"/>
      <c r="AGC16" s="174"/>
      <c r="AGD16" s="174"/>
      <c r="AGE16" s="174"/>
      <c r="AGF16" s="174"/>
      <c r="AGG16" s="174"/>
      <c r="AGH16" s="174"/>
      <c r="AGI16" s="174"/>
      <c r="AGJ16" s="174"/>
      <c r="AGK16" s="174"/>
      <c r="AGL16" s="174"/>
      <c r="AGM16" s="174"/>
      <c r="AGN16" s="174"/>
      <c r="AGO16" s="174"/>
      <c r="AGP16" s="174"/>
      <c r="AGQ16" s="174"/>
      <c r="AGR16" s="174"/>
      <c r="AGS16" s="174"/>
      <c r="AGT16" s="174"/>
      <c r="AGU16" s="174"/>
      <c r="AGV16" s="174"/>
      <c r="AGW16" s="174"/>
      <c r="AGX16" s="174"/>
      <c r="AGY16" s="174"/>
      <c r="AGZ16" s="174"/>
      <c r="AHA16" s="174"/>
      <c r="AHB16" s="174"/>
      <c r="AHC16" s="174"/>
      <c r="AHD16" s="174"/>
      <c r="AHE16" s="174"/>
      <c r="AHF16" s="174"/>
      <c r="AHG16" s="174"/>
      <c r="AHH16" s="174"/>
      <c r="AHI16" s="174"/>
      <c r="AHJ16" s="174"/>
      <c r="AHK16" s="174"/>
      <c r="AHL16" s="174"/>
      <c r="AHM16" s="174"/>
      <c r="AHN16" s="174"/>
      <c r="AHO16" s="174"/>
      <c r="AHP16" s="174"/>
      <c r="AHQ16" s="174"/>
      <c r="AHR16" s="174"/>
      <c r="AHS16" s="174"/>
      <c r="AHT16" s="174"/>
      <c r="AHU16" s="174"/>
      <c r="AHV16" s="174"/>
      <c r="AHW16" s="174"/>
      <c r="AHX16" s="174"/>
      <c r="AHY16" s="174"/>
      <c r="AHZ16" s="174"/>
      <c r="AIA16" s="174"/>
      <c r="AIB16" s="174"/>
      <c r="AIC16" s="174"/>
      <c r="AID16" s="174"/>
      <c r="AIE16" s="174"/>
      <c r="AIF16" s="174"/>
      <c r="AIG16" s="174"/>
      <c r="AIH16" s="174"/>
      <c r="AII16" s="174"/>
      <c r="AIJ16" s="174"/>
      <c r="AIK16" s="174"/>
      <c r="AIL16" s="174"/>
      <c r="AIM16" s="174"/>
      <c r="AIN16" s="174"/>
      <c r="AIO16" s="174"/>
      <c r="AIP16" s="174"/>
      <c r="AIQ16" s="174"/>
      <c r="AIR16" s="174"/>
      <c r="AIS16" s="174"/>
      <c r="AIT16" s="174"/>
      <c r="AIU16" s="174"/>
      <c r="AIV16" s="174"/>
      <c r="AIW16" s="174"/>
      <c r="AIX16" s="174"/>
      <c r="AIY16" s="174"/>
      <c r="AIZ16" s="174"/>
      <c r="AJA16" s="174"/>
      <c r="AJB16" s="174"/>
      <c r="AJC16" s="174"/>
      <c r="AJD16" s="174"/>
      <c r="AJE16" s="174"/>
      <c r="AJF16" s="174"/>
      <c r="AJG16" s="174"/>
      <c r="AJH16" s="174"/>
      <c r="AJI16" s="174"/>
      <c r="AJJ16" s="174"/>
      <c r="AJK16" s="174"/>
      <c r="AJL16" s="174"/>
      <c r="AJM16" s="174"/>
      <c r="AJN16" s="174"/>
      <c r="AJO16" s="174"/>
      <c r="AJP16" s="174"/>
      <c r="AJQ16" s="174"/>
      <c r="AJR16" s="174"/>
      <c r="AJS16" s="174"/>
      <c r="AJT16" s="174"/>
      <c r="AJU16" s="174"/>
      <c r="AJV16" s="174"/>
      <c r="AJW16" s="174"/>
      <c r="AJX16" s="174"/>
      <c r="AJY16" s="174"/>
      <c r="AJZ16" s="174"/>
      <c r="AKA16" s="174"/>
      <c r="AKB16" s="174"/>
      <c r="AKC16" s="174"/>
      <c r="AKD16" s="174"/>
      <c r="AKE16" s="174"/>
      <c r="AKF16" s="174"/>
      <c r="AKG16" s="174"/>
      <c r="AKH16" s="174"/>
      <c r="AKI16" s="174"/>
      <c r="AKJ16" s="174"/>
      <c r="AKK16" s="174"/>
      <c r="AKL16" s="174"/>
      <c r="AKM16" s="174"/>
      <c r="AKN16" s="174"/>
      <c r="AKO16" s="174"/>
      <c r="AKP16" s="174"/>
      <c r="AKQ16" s="174"/>
      <c r="AKR16" s="174"/>
      <c r="AKS16" s="174"/>
      <c r="AKT16" s="174"/>
      <c r="AKU16" s="174"/>
      <c r="AKV16" s="174"/>
      <c r="AKW16" s="174"/>
      <c r="AKX16" s="174"/>
      <c r="AKY16" s="174"/>
      <c r="AKZ16" s="174"/>
      <c r="ALA16" s="174"/>
      <c r="ALB16" s="174"/>
      <c r="ALC16" s="174"/>
      <c r="ALD16" s="174"/>
      <c r="ALE16" s="174"/>
      <c r="ALF16" s="174"/>
      <c r="ALG16" s="174"/>
      <c r="ALH16" s="174"/>
      <c r="ALI16" s="174"/>
      <c r="ALJ16" s="174"/>
      <c r="ALK16" s="174"/>
      <c r="ALL16" s="174"/>
      <c r="ALM16" s="174"/>
      <c r="ALN16" s="174"/>
      <c r="ALO16" s="174"/>
      <c r="ALP16" s="174"/>
      <c r="ALQ16" s="174"/>
      <c r="ALR16" s="174"/>
      <c r="ALS16" s="174"/>
      <c r="ALT16" s="174"/>
      <c r="ALU16" s="174"/>
      <c r="ALV16" s="174"/>
      <c r="ALW16" s="174"/>
      <c r="ALX16" s="174"/>
      <c r="ALY16" s="174"/>
      <c r="ALZ16" s="174"/>
      <c r="AMA16" s="174"/>
      <c r="AMB16" s="174"/>
      <c r="AMC16" s="174"/>
      <c r="AMD16" s="174"/>
      <c r="AME16" s="174"/>
      <c r="AMF16" s="174"/>
      <c r="AMG16" s="174"/>
      <c r="AMH16" s="174"/>
      <c r="AMI16" s="174"/>
      <c r="AMJ16" s="174"/>
      <c r="AMK16" s="174"/>
      <c r="AML16" s="174"/>
      <c r="AMM16" s="174"/>
      <c r="AMN16" s="174"/>
      <c r="AMO16" s="174"/>
      <c r="AMP16" s="174"/>
      <c r="AMQ16" s="174"/>
      <c r="AMR16" s="174"/>
      <c r="AMS16" s="174"/>
      <c r="AMT16" s="174"/>
      <c r="AMU16" s="174"/>
      <c r="AMV16" s="174"/>
      <c r="AMW16" s="174"/>
      <c r="AMX16" s="174"/>
      <c r="AMY16" s="174"/>
      <c r="AMZ16" s="174"/>
      <c r="ANA16" s="174"/>
      <c r="ANB16" s="174"/>
      <c r="ANC16" s="174"/>
      <c r="AND16" s="174"/>
      <c r="ANE16" s="174"/>
      <c r="ANF16" s="174"/>
      <c r="ANG16" s="174"/>
      <c r="ANH16" s="174"/>
      <c r="ANI16" s="174"/>
      <c r="ANJ16" s="174"/>
      <c r="ANK16" s="174"/>
      <c r="ANL16" s="174"/>
      <c r="ANM16" s="174"/>
      <c r="ANN16" s="174"/>
      <c r="ANO16" s="174"/>
      <c r="ANP16" s="174"/>
      <c r="ANQ16" s="174"/>
      <c r="ANR16" s="174"/>
      <c r="ANS16" s="174"/>
      <c r="ANT16" s="174"/>
      <c r="ANU16" s="174"/>
      <c r="ANV16" s="174"/>
      <c r="ANW16" s="174"/>
      <c r="ANX16" s="174"/>
      <c r="ANY16" s="174"/>
      <c r="ANZ16" s="174"/>
      <c r="AOA16" s="174"/>
      <c r="AOB16" s="174"/>
      <c r="AOC16" s="174"/>
      <c r="AOD16" s="174"/>
      <c r="AOE16" s="174"/>
      <c r="AOF16" s="174"/>
      <c r="AOG16" s="174"/>
      <c r="AOH16" s="174"/>
      <c r="AOI16" s="174"/>
      <c r="AOJ16" s="174"/>
      <c r="AOK16" s="174"/>
      <c r="AOL16" s="174"/>
      <c r="AOM16" s="174"/>
      <c r="AON16" s="174"/>
      <c r="AOO16" s="174"/>
      <c r="AOP16" s="174"/>
      <c r="AOQ16" s="174"/>
      <c r="AOR16" s="174"/>
      <c r="AOS16" s="174"/>
      <c r="AOT16" s="174"/>
      <c r="AOU16" s="174"/>
      <c r="AOV16" s="174"/>
      <c r="AOW16" s="174"/>
      <c r="AOX16" s="174"/>
      <c r="AOY16" s="174"/>
      <c r="AOZ16" s="174"/>
      <c r="APA16" s="174"/>
      <c r="APB16" s="174"/>
      <c r="APC16" s="174"/>
      <c r="APD16" s="174"/>
      <c r="APE16" s="174"/>
      <c r="APF16" s="174"/>
      <c r="APG16" s="174"/>
      <c r="APH16" s="174"/>
      <c r="API16" s="174"/>
      <c r="APJ16" s="174"/>
      <c r="APK16" s="174"/>
      <c r="APL16" s="174"/>
      <c r="APM16" s="174"/>
      <c r="APN16" s="174"/>
      <c r="APO16" s="174"/>
      <c r="APP16" s="174"/>
      <c r="APQ16" s="174"/>
      <c r="APR16" s="174"/>
      <c r="APS16" s="174"/>
      <c r="APT16" s="174"/>
      <c r="APU16" s="174"/>
      <c r="APV16" s="174"/>
      <c r="APW16" s="174"/>
      <c r="APX16" s="174"/>
      <c r="APY16" s="174"/>
      <c r="APZ16" s="174"/>
      <c r="AQA16" s="174"/>
      <c r="AQB16" s="174"/>
      <c r="AQC16" s="174"/>
      <c r="AQD16" s="174"/>
      <c r="AQE16" s="174"/>
      <c r="AQF16" s="174"/>
      <c r="AQG16" s="174"/>
      <c r="AQH16" s="174"/>
      <c r="AQI16" s="174"/>
      <c r="AQJ16" s="174"/>
      <c r="AQK16" s="174"/>
      <c r="AQL16" s="174"/>
      <c r="AQM16" s="174"/>
      <c r="AQN16" s="174"/>
      <c r="AQO16" s="174"/>
      <c r="AQP16" s="174"/>
      <c r="AQQ16" s="174"/>
      <c r="AQR16" s="174"/>
      <c r="AQS16" s="174"/>
      <c r="AQT16" s="174"/>
      <c r="AQU16" s="174"/>
      <c r="AQV16" s="174"/>
      <c r="AQW16" s="174"/>
      <c r="AQX16" s="174"/>
      <c r="AQY16" s="174"/>
      <c r="AQZ16" s="174"/>
      <c r="ARA16" s="174"/>
      <c r="ARB16" s="174"/>
      <c r="ARC16" s="174"/>
      <c r="ARD16" s="174"/>
      <c r="ARE16" s="174"/>
      <c r="ARF16" s="174"/>
      <c r="ARG16" s="174"/>
      <c r="ARH16" s="174"/>
      <c r="ARI16" s="174"/>
      <c r="ARJ16" s="174"/>
      <c r="ARK16" s="174"/>
      <c r="ARL16" s="174"/>
      <c r="ARM16" s="174"/>
      <c r="ARN16" s="174"/>
      <c r="ARO16" s="174"/>
      <c r="ARP16" s="174"/>
      <c r="ARQ16" s="174"/>
      <c r="ARR16" s="174"/>
      <c r="ARS16" s="174"/>
      <c r="ART16" s="174"/>
      <c r="ARU16" s="174"/>
      <c r="ARV16" s="174"/>
      <c r="ARW16" s="174"/>
      <c r="ARX16" s="174"/>
      <c r="ARY16" s="174"/>
      <c r="ARZ16" s="174"/>
      <c r="ASA16" s="174"/>
      <c r="ASB16" s="174"/>
      <c r="ASC16" s="174"/>
      <c r="ASD16" s="174"/>
      <c r="ASE16" s="174"/>
      <c r="ASF16" s="174"/>
      <c r="ASG16" s="174"/>
      <c r="ASH16" s="174"/>
      <c r="ASI16" s="174"/>
      <c r="ASJ16" s="174"/>
      <c r="ASK16" s="174"/>
      <c r="ASL16" s="174"/>
      <c r="ASM16" s="174"/>
      <c r="ASN16" s="174"/>
      <c r="ASO16" s="174"/>
      <c r="ASP16" s="174"/>
      <c r="ASQ16" s="174"/>
      <c r="ASR16" s="174"/>
      <c r="ASS16" s="174"/>
      <c r="AST16" s="174"/>
      <c r="ASU16" s="174"/>
      <c r="ASV16" s="174"/>
      <c r="ASW16" s="174"/>
      <c r="ASX16" s="174"/>
      <c r="ASY16" s="174"/>
      <c r="ASZ16" s="174"/>
      <c r="ATA16" s="174"/>
      <c r="ATB16" s="174"/>
      <c r="ATC16" s="174"/>
      <c r="ATD16" s="174"/>
      <c r="ATE16" s="174"/>
      <c r="ATF16" s="174"/>
      <c r="ATG16" s="174"/>
      <c r="ATH16" s="174"/>
      <c r="ATI16" s="174"/>
      <c r="ATJ16" s="174"/>
      <c r="ATK16" s="174"/>
      <c r="ATL16" s="174"/>
      <c r="ATM16" s="174"/>
      <c r="ATN16" s="174"/>
      <c r="ATO16" s="174"/>
      <c r="ATP16" s="174"/>
      <c r="ATQ16" s="174"/>
      <c r="ATR16" s="174"/>
      <c r="ATS16" s="174"/>
      <c r="ATT16" s="174"/>
      <c r="ATU16" s="174"/>
      <c r="ATV16" s="174"/>
      <c r="ATW16" s="174"/>
      <c r="ATX16" s="174"/>
      <c r="ATY16" s="174"/>
      <c r="ATZ16" s="174"/>
      <c r="AUA16" s="174"/>
      <c r="AUB16" s="174"/>
      <c r="AUC16" s="174"/>
      <c r="AUD16" s="174"/>
      <c r="AUE16" s="174"/>
      <c r="AUF16" s="174"/>
      <c r="AUG16" s="174"/>
      <c r="AUH16" s="174"/>
      <c r="AUI16" s="174"/>
      <c r="AUJ16" s="174"/>
      <c r="AUK16" s="174"/>
      <c r="AUL16" s="174"/>
      <c r="AUM16" s="174"/>
      <c r="AUN16" s="174"/>
      <c r="AUO16" s="174"/>
      <c r="AUP16" s="174"/>
      <c r="AUQ16" s="174"/>
      <c r="AUR16" s="174"/>
      <c r="AUS16" s="174"/>
      <c r="AUT16" s="174"/>
      <c r="AUU16" s="174"/>
      <c r="AUV16" s="174"/>
      <c r="AUW16" s="174"/>
      <c r="AUX16" s="174"/>
      <c r="AUY16" s="174"/>
      <c r="AUZ16" s="174"/>
      <c r="AVA16" s="174"/>
      <c r="AVB16" s="174"/>
      <c r="AVC16" s="174"/>
      <c r="AVD16" s="174"/>
      <c r="AVE16" s="174"/>
      <c r="AVF16" s="174"/>
      <c r="AVG16" s="174"/>
      <c r="AVH16" s="174"/>
      <c r="AVI16" s="174"/>
      <c r="AVJ16" s="174"/>
      <c r="AVK16" s="174"/>
      <c r="AVL16" s="174"/>
      <c r="AVM16" s="174"/>
      <c r="AVN16" s="174"/>
      <c r="AVO16" s="174"/>
      <c r="AVP16" s="174"/>
      <c r="AVQ16" s="174"/>
      <c r="AVR16" s="174"/>
      <c r="AVS16" s="174"/>
      <c r="AVT16" s="174"/>
      <c r="AVU16" s="174"/>
      <c r="AVV16" s="174"/>
      <c r="AVW16" s="174"/>
      <c r="AVX16" s="174"/>
      <c r="AVY16" s="174"/>
      <c r="AVZ16" s="174"/>
      <c r="AWA16" s="174"/>
      <c r="AWB16" s="174"/>
      <c r="AWC16" s="174"/>
      <c r="AWD16" s="174"/>
      <c r="AWE16" s="174"/>
      <c r="AWF16" s="174"/>
      <c r="AWG16" s="174"/>
      <c r="AWH16" s="174"/>
      <c r="AWI16" s="174"/>
      <c r="AWJ16" s="174"/>
      <c r="AWK16" s="174"/>
      <c r="AWL16" s="174"/>
      <c r="AWM16" s="174"/>
      <c r="AWN16" s="174"/>
      <c r="AWO16" s="174"/>
      <c r="AWP16" s="174"/>
      <c r="AWQ16" s="174"/>
      <c r="AWR16" s="174"/>
      <c r="AWS16" s="174"/>
      <c r="AWT16" s="174"/>
      <c r="AWU16" s="174"/>
      <c r="AWV16" s="174"/>
      <c r="AWW16" s="174"/>
      <c r="AWX16" s="174"/>
      <c r="AWY16" s="174"/>
      <c r="AWZ16" s="174"/>
      <c r="AXA16" s="174"/>
      <c r="AXB16" s="174"/>
      <c r="AXC16" s="174"/>
      <c r="AXD16" s="174"/>
      <c r="AXE16" s="174"/>
      <c r="AXF16" s="174"/>
      <c r="AXG16" s="174"/>
      <c r="AXH16" s="174"/>
      <c r="AXI16" s="174"/>
      <c r="AXJ16" s="174"/>
      <c r="AXK16" s="174"/>
      <c r="AXL16" s="174"/>
      <c r="AXM16" s="174"/>
      <c r="AXN16" s="174"/>
      <c r="AXO16" s="174"/>
      <c r="AXP16" s="174"/>
      <c r="AXQ16" s="174"/>
      <c r="AXR16" s="174"/>
      <c r="AXS16" s="174"/>
      <c r="AXT16" s="174"/>
      <c r="AXU16" s="174"/>
      <c r="AXV16" s="174"/>
      <c r="AXW16" s="174"/>
      <c r="AXX16" s="174"/>
      <c r="AXY16" s="174"/>
      <c r="AXZ16" s="174"/>
      <c r="AYA16" s="174"/>
      <c r="AYB16" s="174"/>
      <c r="AYC16" s="174"/>
      <c r="AYD16" s="174"/>
      <c r="AYE16" s="174"/>
      <c r="AYF16" s="174"/>
      <c r="AYG16" s="174"/>
      <c r="AYH16" s="174"/>
      <c r="AYI16" s="174"/>
      <c r="AYJ16" s="174"/>
      <c r="AYK16" s="174"/>
      <c r="AYL16" s="174"/>
      <c r="AYM16" s="174"/>
      <c r="AYN16" s="174"/>
      <c r="AYO16" s="174"/>
      <c r="AYP16" s="174"/>
      <c r="AYQ16" s="174"/>
      <c r="AYR16" s="174"/>
      <c r="AYS16" s="174"/>
      <c r="AYT16" s="174"/>
      <c r="AYU16" s="174"/>
      <c r="AYV16" s="174"/>
      <c r="AYW16" s="174"/>
      <c r="AYX16" s="174"/>
      <c r="AYY16" s="174"/>
      <c r="AYZ16" s="174"/>
      <c r="AZA16" s="174"/>
      <c r="AZB16" s="174"/>
      <c r="AZC16" s="174"/>
      <c r="AZD16" s="174"/>
      <c r="AZE16" s="174"/>
      <c r="AZF16" s="174"/>
      <c r="AZG16" s="174"/>
      <c r="AZH16" s="174"/>
      <c r="AZI16" s="174"/>
      <c r="AZJ16" s="174"/>
      <c r="AZK16" s="174"/>
      <c r="AZL16" s="174"/>
      <c r="AZM16" s="174"/>
      <c r="AZN16" s="174"/>
      <c r="AZO16" s="174"/>
      <c r="AZP16" s="174"/>
      <c r="AZQ16" s="174"/>
      <c r="AZR16" s="174"/>
      <c r="AZS16" s="174"/>
      <c r="AZT16" s="174"/>
      <c r="AZU16" s="174"/>
      <c r="AZV16" s="174"/>
      <c r="AZW16" s="174"/>
      <c r="AZX16" s="174"/>
      <c r="AZY16" s="174"/>
      <c r="AZZ16" s="174"/>
      <c r="BAA16" s="174"/>
      <c r="BAB16" s="174"/>
      <c r="BAC16" s="174"/>
      <c r="BAD16" s="174"/>
      <c r="BAE16" s="174"/>
      <c r="BAF16" s="174"/>
      <c r="BAG16" s="174"/>
      <c r="BAH16" s="174"/>
      <c r="BAI16" s="174"/>
      <c r="BAJ16" s="174"/>
      <c r="BAK16" s="174"/>
      <c r="BAL16" s="174"/>
      <c r="BAM16" s="174"/>
      <c r="BAN16" s="174"/>
      <c r="BAO16" s="174"/>
      <c r="BAP16" s="174"/>
      <c r="BAQ16" s="174"/>
      <c r="BAR16" s="174"/>
      <c r="BAS16" s="174"/>
      <c r="BAT16" s="174"/>
      <c r="BAU16" s="174"/>
      <c r="BAV16" s="174"/>
      <c r="BAW16" s="174"/>
      <c r="BAX16" s="174"/>
      <c r="BAY16" s="174"/>
      <c r="BAZ16" s="174"/>
      <c r="BBA16" s="174"/>
      <c r="BBB16" s="174"/>
      <c r="BBC16" s="174"/>
      <c r="BBD16" s="174"/>
      <c r="BBE16" s="174"/>
      <c r="BBF16" s="174"/>
      <c r="BBG16" s="174"/>
      <c r="BBH16" s="174"/>
      <c r="BBI16" s="174"/>
      <c r="BBJ16" s="174"/>
      <c r="BBK16" s="174"/>
      <c r="BBL16" s="174"/>
      <c r="BBM16" s="174"/>
      <c r="BBN16" s="174"/>
      <c r="BBO16" s="174"/>
      <c r="BBP16" s="174"/>
      <c r="BBQ16" s="174"/>
      <c r="BBR16" s="174"/>
      <c r="BBS16" s="174"/>
      <c r="BBT16" s="174"/>
      <c r="BBU16" s="174"/>
      <c r="BBV16" s="174"/>
      <c r="BBW16" s="174"/>
      <c r="BBX16" s="174"/>
      <c r="BBY16" s="174"/>
      <c r="BBZ16" s="174"/>
      <c r="BCA16" s="174"/>
      <c r="BCB16" s="174"/>
      <c r="BCC16" s="174"/>
      <c r="BCD16" s="174"/>
      <c r="BCE16" s="174"/>
      <c r="BCF16" s="174"/>
      <c r="BCG16" s="174"/>
      <c r="BCH16" s="174"/>
      <c r="BCI16" s="174"/>
      <c r="BCJ16" s="174"/>
      <c r="BCK16" s="174"/>
      <c r="BCL16" s="174"/>
      <c r="BCM16" s="174"/>
      <c r="BCN16" s="174"/>
      <c r="BCO16" s="174"/>
      <c r="BCP16" s="174"/>
      <c r="BCQ16" s="174"/>
      <c r="BCR16" s="174"/>
      <c r="BCS16" s="174"/>
      <c r="BCT16" s="174"/>
      <c r="BCU16" s="174"/>
      <c r="BCV16" s="174"/>
      <c r="BCW16" s="174"/>
      <c r="BCX16" s="174"/>
      <c r="BCY16" s="174"/>
      <c r="BCZ16" s="174"/>
      <c r="BDA16" s="174"/>
      <c r="BDB16" s="174"/>
      <c r="BDC16" s="174"/>
      <c r="BDD16" s="174"/>
    </row>
    <row r="17" spans="2:59" ht="9.9499999999999993" customHeight="1" thickBo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3"/>
    </row>
    <row r="18" spans="2:59" ht="9.9499999999999993" customHeight="1">
      <c r="B18" s="1"/>
      <c r="C18" s="174"/>
      <c r="D18" s="174"/>
      <c r="E18" s="245" t="s">
        <v>11</v>
      </c>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7"/>
      <c r="BG18" s="173"/>
    </row>
    <row r="19" spans="2:59" ht="9.9499999999999993" customHeight="1" thickBot="1">
      <c r="B19" s="1"/>
      <c r="C19" s="174"/>
      <c r="D19" s="174"/>
      <c r="E19" s="248"/>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50"/>
      <c r="BG19" s="173"/>
    </row>
    <row r="20" spans="2:59" ht="9.9499999999999993" customHeight="1">
      <c r="B20" s="1"/>
      <c r="C20" s="174"/>
      <c r="D20" s="174"/>
      <c r="E20" s="251"/>
      <c r="F20" s="252"/>
      <c r="G20" s="252"/>
      <c r="H20" s="252"/>
      <c r="I20" s="252"/>
      <c r="J20" s="253"/>
      <c r="K20" s="266" t="s">
        <v>12</v>
      </c>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8"/>
      <c r="AQ20" s="267" t="s">
        <v>13</v>
      </c>
      <c r="AR20" s="267"/>
      <c r="AS20" s="267"/>
      <c r="AT20" s="267"/>
      <c r="AU20" s="267"/>
      <c r="AV20" s="267"/>
      <c r="AW20" s="267"/>
      <c r="AX20" s="267"/>
      <c r="AY20" s="267"/>
      <c r="AZ20" s="267"/>
      <c r="BA20" s="267"/>
      <c r="BB20" s="267"/>
      <c r="BC20" s="267"/>
      <c r="BD20" s="267"/>
      <c r="BE20" s="267"/>
      <c r="BF20" s="272"/>
      <c r="BG20" s="3"/>
    </row>
    <row r="21" spans="2:59" ht="9.9499999999999993" customHeight="1">
      <c r="B21" s="1"/>
      <c r="C21" s="174"/>
      <c r="D21" s="174"/>
      <c r="E21" s="254"/>
      <c r="F21" s="255"/>
      <c r="G21" s="255"/>
      <c r="H21" s="255"/>
      <c r="I21" s="255"/>
      <c r="J21" s="256"/>
      <c r="K21" s="269"/>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1"/>
      <c r="AQ21" s="270"/>
      <c r="AR21" s="270"/>
      <c r="AS21" s="270"/>
      <c r="AT21" s="270"/>
      <c r="AU21" s="270"/>
      <c r="AV21" s="270"/>
      <c r="AW21" s="270"/>
      <c r="AX21" s="270"/>
      <c r="AY21" s="270"/>
      <c r="AZ21" s="270"/>
      <c r="BA21" s="270"/>
      <c r="BB21" s="270"/>
      <c r="BC21" s="270"/>
      <c r="BD21" s="270"/>
      <c r="BE21" s="270"/>
      <c r="BF21" s="273"/>
      <c r="BG21" s="174"/>
    </row>
    <row r="22" spans="2:59" ht="9.9499999999999993" customHeight="1">
      <c r="B22" s="1"/>
      <c r="C22" s="4"/>
      <c r="D22" s="4"/>
      <c r="E22" s="254"/>
      <c r="F22" s="255"/>
      <c r="G22" s="255"/>
      <c r="H22" s="255"/>
      <c r="I22" s="255"/>
      <c r="J22" s="256"/>
      <c r="K22" s="215" t="s">
        <v>14</v>
      </c>
      <c r="L22" s="216"/>
      <c r="M22" s="216"/>
      <c r="N22" s="216"/>
      <c r="O22" s="216"/>
      <c r="P22" s="216"/>
      <c r="Q22" s="216"/>
      <c r="R22" s="216"/>
      <c r="S22" s="216" t="s">
        <v>15</v>
      </c>
      <c r="T22" s="216"/>
      <c r="U22" s="216"/>
      <c r="V22" s="216"/>
      <c r="W22" s="216"/>
      <c r="X22" s="216"/>
      <c r="Y22" s="216"/>
      <c r="Z22" s="216"/>
      <c r="AA22" s="216" t="s">
        <v>16</v>
      </c>
      <c r="AB22" s="216"/>
      <c r="AC22" s="216"/>
      <c r="AD22" s="216"/>
      <c r="AE22" s="216"/>
      <c r="AF22" s="216"/>
      <c r="AG22" s="216"/>
      <c r="AH22" s="216"/>
      <c r="AI22" s="216" t="s">
        <v>17</v>
      </c>
      <c r="AJ22" s="216"/>
      <c r="AK22" s="216"/>
      <c r="AL22" s="216"/>
      <c r="AM22" s="216"/>
      <c r="AN22" s="216"/>
      <c r="AO22" s="216"/>
      <c r="AP22" s="216"/>
      <c r="AQ22" s="227" t="s">
        <v>18</v>
      </c>
      <c r="AR22" s="227"/>
      <c r="AS22" s="227"/>
      <c r="AT22" s="227"/>
      <c r="AU22" s="227"/>
      <c r="AV22" s="227"/>
      <c r="AW22" s="227"/>
      <c r="AX22" s="227"/>
      <c r="AY22" s="227" t="s">
        <v>19</v>
      </c>
      <c r="AZ22" s="227"/>
      <c r="BA22" s="227"/>
      <c r="BB22" s="227"/>
      <c r="BC22" s="227"/>
      <c r="BD22" s="227"/>
      <c r="BE22" s="227"/>
      <c r="BF22" s="229"/>
      <c r="BG22" s="174"/>
    </row>
    <row r="23" spans="2:59" ht="9.9499999999999993" customHeight="1">
      <c r="B23" s="1"/>
      <c r="C23" s="4"/>
      <c r="D23" s="4"/>
      <c r="E23" s="254"/>
      <c r="F23" s="255"/>
      <c r="G23" s="255"/>
      <c r="H23" s="255"/>
      <c r="I23" s="255"/>
      <c r="J23" s="256"/>
      <c r="K23" s="217"/>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28"/>
      <c r="AR23" s="228"/>
      <c r="AS23" s="228"/>
      <c r="AT23" s="228"/>
      <c r="AU23" s="228"/>
      <c r="AV23" s="228"/>
      <c r="AW23" s="228"/>
      <c r="AX23" s="228"/>
      <c r="AY23" s="228"/>
      <c r="AZ23" s="228"/>
      <c r="BA23" s="228"/>
      <c r="BB23" s="228"/>
      <c r="BC23" s="228"/>
      <c r="BD23" s="228"/>
      <c r="BE23" s="228"/>
      <c r="BF23" s="230"/>
      <c r="BG23" s="174"/>
    </row>
    <row r="24" spans="2:59" ht="9.9499999999999993" customHeight="1">
      <c r="B24" s="1"/>
      <c r="C24" s="4"/>
      <c r="D24" s="4"/>
      <c r="E24" s="254"/>
      <c r="F24" s="255"/>
      <c r="G24" s="255"/>
      <c r="H24" s="255"/>
      <c r="I24" s="255"/>
      <c r="J24" s="256"/>
      <c r="K24" s="219"/>
      <c r="L24" s="220"/>
      <c r="M24" s="220"/>
      <c r="N24" s="220"/>
      <c r="O24" s="220"/>
      <c r="P24" s="220"/>
      <c r="Q24" s="220"/>
      <c r="R24" s="220"/>
      <c r="S24" s="220"/>
      <c r="T24" s="220"/>
      <c r="U24" s="220"/>
      <c r="V24" s="220"/>
      <c r="W24" s="220"/>
      <c r="X24" s="220"/>
      <c r="Y24" s="220"/>
      <c r="Z24" s="220"/>
      <c r="AA24" s="237"/>
      <c r="AB24" s="237"/>
      <c r="AC24" s="237"/>
      <c r="AD24" s="237"/>
      <c r="AE24" s="237"/>
      <c r="AF24" s="237"/>
      <c r="AG24" s="237"/>
      <c r="AH24" s="237"/>
      <c r="AI24" s="237"/>
      <c r="AJ24" s="237"/>
      <c r="AK24" s="237"/>
      <c r="AL24" s="237"/>
      <c r="AM24" s="237"/>
      <c r="AN24" s="237"/>
      <c r="AO24" s="237"/>
      <c r="AP24" s="237"/>
      <c r="AQ24" s="231"/>
      <c r="AR24" s="231"/>
      <c r="AS24" s="231"/>
      <c r="AT24" s="231"/>
      <c r="AU24" s="231"/>
      <c r="AV24" s="231"/>
      <c r="AW24" s="231"/>
      <c r="AX24" s="231"/>
      <c r="AY24" s="231"/>
      <c r="AZ24" s="231"/>
      <c r="BA24" s="231"/>
      <c r="BB24" s="231"/>
      <c r="BC24" s="231"/>
      <c r="BD24" s="231"/>
      <c r="BE24" s="231"/>
      <c r="BF24" s="232"/>
      <c r="BG24" s="174"/>
    </row>
    <row r="25" spans="2:59" ht="9.9499999999999993" customHeight="1">
      <c r="B25" s="1"/>
      <c r="C25" s="4"/>
      <c r="D25" s="4"/>
      <c r="E25" s="254"/>
      <c r="F25" s="255"/>
      <c r="G25" s="255"/>
      <c r="H25" s="255"/>
      <c r="I25" s="255"/>
      <c r="J25" s="256"/>
      <c r="K25" s="221"/>
      <c r="L25" s="222"/>
      <c r="M25" s="222"/>
      <c r="N25" s="222"/>
      <c r="O25" s="222"/>
      <c r="P25" s="222"/>
      <c r="Q25" s="222"/>
      <c r="R25" s="222"/>
      <c r="S25" s="222"/>
      <c r="T25" s="222"/>
      <c r="U25" s="222"/>
      <c r="V25" s="222"/>
      <c r="W25" s="222"/>
      <c r="X25" s="222"/>
      <c r="Y25" s="222"/>
      <c r="Z25" s="222"/>
      <c r="AA25" s="238"/>
      <c r="AB25" s="238"/>
      <c r="AC25" s="238"/>
      <c r="AD25" s="238"/>
      <c r="AE25" s="238"/>
      <c r="AF25" s="238"/>
      <c r="AG25" s="238"/>
      <c r="AH25" s="238"/>
      <c r="AI25" s="238"/>
      <c r="AJ25" s="238"/>
      <c r="AK25" s="238"/>
      <c r="AL25" s="238"/>
      <c r="AM25" s="238"/>
      <c r="AN25" s="238"/>
      <c r="AO25" s="238"/>
      <c r="AP25" s="238"/>
      <c r="AQ25" s="231"/>
      <c r="AR25" s="231"/>
      <c r="AS25" s="231"/>
      <c r="AT25" s="231"/>
      <c r="AU25" s="231"/>
      <c r="AV25" s="231"/>
      <c r="AW25" s="231"/>
      <c r="AX25" s="231"/>
      <c r="AY25" s="231"/>
      <c r="AZ25" s="231"/>
      <c r="BA25" s="231"/>
      <c r="BB25" s="231"/>
      <c r="BC25" s="231"/>
      <c r="BD25" s="231"/>
      <c r="BE25" s="231"/>
      <c r="BF25" s="232"/>
      <c r="BG25" s="174"/>
    </row>
    <row r="26" spans="2:59" ht="9.9499999999999993" customHeight="1">
      <c r="B26" s="1"/>
      <c r="C26" s="174"/>
      <c r="D26" s="174"/>
      <c r="E26" s="254"/>
      <c r="F26" s="255"/>
      <c r="G26" s="255"/>
      <c r="H26" s="255"/>
      <c r="I26" s="255"/>
      <c r="J26" s="256"/>
      <c r="K26" s="221"/>
      <c r="L26" s="222"/>
      <c r="M26" s="222"/>
      <c r="N26" s="222"/>
      <c r="O26" s="222"/>
      <c r="P26" s="222"/>
      <c r="Q26" s="222"/>
      <c r="R26" s="222"/>
      <c r="S26" s="222"/>
      <c r="T26" s="222"/>
      <c r="U26" s="222"/>
      <c r="V26" s="222"/>
      <c r="W26" s="222"/>
      <c r="X26" s="222"/>
      <c r="Y26" s="222"/>
      <c r="Z26" s="222"/>
      <c r="AA26" s="238"/>
      <c r="AB26" s="238"/>
      <c r="AC26" s="238"/>
      <c r="AD26" s="238"/>
      <c r="AE26" s="238"/>
      <c r="AF26" s="238"/>
      <c r="AG26" s="238"/>
      <c r="AH26" s="238"/>
      <c r="AI26" s="238"/>
      <c r="AJ26" s="238"/>
      <c r="AK26" s="238"/>
      <c r="AL26" s="238"/>
      <c r="AM26" s="238"/>
      <c r="AN26" s="238"/>
      <c r="AO26" s="238"/>
      <c r="AP26" s="238"/>
      <c r="AQ26" s="231"/>
      <c r="AR26" s="231"/>
      <c r="AS26" s="231"/>
      <c r="AT26" s="231"/>
      <c r="AU26" s="231"/>
      <c r="AV26" s="231"/>
      <c r="AW26" s="231"/>
      <c r="AX26" s="231"/>
      <c r="AY26" s="231"/>
      <c r="AZ26" s="231"/>
      <c r="BA26" s="231"/>
      <c r="BB26" s="231"/>
      <c r="BC26" s="231"/>
      <c r="BD26" s="231"/>
      <c r="BE26" s="231"/>
      <c r="BF26" s="232"/>
      <c r="BG26" s="174"/>
    </row>
    <row r="27" spans="2:59" ht="9.9499999999999993" customHeight="1" thickBot="1">
      <c r="B27" s="1"/>
      <c r="C27" s="174"/>
      <c r="D27" s="174"/>
      <c r="E27" s="257"/>
      <c r="F27" s="258"/>
      <c r="G27" s="258"/>
      <c r="H27" s="258"/>
      <c r="I27" s="258"/>
      <c r="J27" s="259"/>
      <c r="K27" s="221"/>
      <c r="L27" s="222"/>
      <c r="M27" s="222"/>
      <c r="N27" s="222"/>
      <c r="O27" s="222"/>
      <c r="P27" s="222"/>
      <c r="Q27" s="222"/>
      <c r="R27" s="222"/>
      <c r="S27" s="222"/>
      <c r="T27" s="222"/>
      <c r="U27" s="222"/>
      <c r="V27" s="222"/>
      <c r="W27" s="222"/>
      <c r="X27" s="222"/>
      <c r="Y27" s="222"/>
      <c r="Z27" s="222"/>
      <c r="AA27" s="238"/>
      <c r="AB27" s="238"/>
      <c r="AC27" s="238"/>
      <c r="AD27" s="238"/>
      <c r="AE27" s="238"/>
      <c r="AF27" s="238"/>
      <c r="AG27" s="238"/>
      <c r="AH27" s="238"/>
      <c r="AI27" s="238"/>
      <c r="AJ27" s="238"/>
      <c r="AK27" s="238"/>
      <c r="AL27" s="238"/>
      <c r="AM27" s="238"/>
      <c r="AN27" s="238"/>
      <c r="AO27" s="238"/>
      <c r="AP27" s="238"/>
      <c r="AQ27" s="233"/>
      <c r="AR27" s="233"/>
      <c r="AS27" s="233"/>
      <c r="AT27" s="233"/>
      <c r="AU27" s="233"/>
      <c r="AV27" s="233"/>
      <c r="AW27" s="233"/>
      <c r="AX27" s="233"/>
      <c r="AY27" s="233"/>
      <c r="AZ27" s="233"/>
      <c r="BA27" s="233"/>
      <c r="BB27" s="233"/>
      <c r="BC27" s="233"/>
      <c r="BD27" s="233"/>
      <c r="BE27" s="233"/>
      <c r="BF27" s="234"/>
      <c r="BG27" s="174"/>
    </row>
    <row r="28" spans="2:59" ht="9.9499999999999993" customHeight="1">
      <c r="B28" s="1"/>
      <c r="C28" s="174"/>
      <c r="D28" s="174"/>
      <c r="E28" s="260" t="s">
        <v>20</v>
      </c>
      <c r="F28" s="261"/>
      <c r="G28" s="261"/>
      <c r="H28" s="261"/>
      <c r="I28" s="261"/>
      <c r="J28" s="262"/>
      <c r="K28" s="223">
        <v>0</v>
      </c>
      <c r="L28" s="224"/>
      <c r="M28" s="224"/>
      <c r="N28" s="224"/>
      <c r="O28" s="224"/>
      <c r="P28" s="224"/>
      <c r="Q28" s="224"/>
      <c r="R28" s="224"/>
      <c r="S28" s="224">
        <v>899</v>
      </c>
      <c r="T28" s="224"/>
      <c r="U28" s="224"/>
      <c r="V28" s="224"/>
      <c r="W28" s="224"/>
      <c r="X28" s="224"/>
      <c r="Y28" s="224"/>
      <c r="Z28" s="224"/>
      <c r="AA28" s="224">
        <v>0</v>
      </c>
      <c r="AB28" s="224"/>
      <c r="AC28" s="224"/>
      <c r="AD28" s="224"/>
      <c r="AE28" s="224"/>
      <c r="AF28" s="224"/>
      <c r="AG28" s="224"/>
      <c r="AH28" s="224"/>
      <c r="AI28" s="224">
        <v>208</v>
      </c>
      <c r="AJ28" s="224"/>
      <c r="AK28" s="224"/>
      <c r="AL28" s="224"/>
      <c r="AM28" s="224"/>
      <c r="AN28" s="224"/>
      <c r="AO28" s="224"/>
      <c r="AP28" s="224"/>
      <c r="AQ28" s="235">
        <v>0</v>
      </c>
      <c r="AR28" s="235"/>
      <c r="AS28" s="235"/>
      <c r="AT28" s="235"/>
      <c r="AU28" s="235"/>
      <c r="AV28" s="235"/>
      <c r="AW28" s="235"/>
      <c r="AX28" s="235"/>
      <c r="AY28" s="235">
        <v>0</v>
      </c>
      <c r="AZ28" s="235"/>
      <c r="BA28" s="235"/>
      <c r="BB28" s="235"/>
      <c r="BC28" s="235"/>
      <c r="BD28" s="235"/>
      <c r="BE28" s="235"/>
      <c r="BF28" s="236"/>
      <c r="BG28" s="174"/>
    </row>
    <row r="29" spans="2:59" ht="9.9499999999999993" customHeight="1">
      <c r="B29" s="1"/>
      <c r="C29" s="174"/>
      <c r="D29" s="174"/>
      <c r="E29" s="263"/>
      <c r="F29" s="264"/>
      <c r="G29" s="264"/>
      <c r="H29" s="264"/>
      <c r="I29" s="264"/>
      <c r="J29" s="265"/>
      <c r="K29" s="225"/>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187"/>
      <c r="AR29" s="187"/>
      <c r="AS29" s="187"/>
      <c r="AT29" s="187"/>
      <c r="AU29" s="187"/>
      <c r="AV29" s="187"/>
      <c r="AW29" s="187"/>
      <c r="AX29" s="187"/>
      <c r="AY29" s="187"/>
      <c r="AZ29" s="187"/>
      <c r="BA29" s="187"/>
      <c r="BB29" s="187"/>
      <c r="BC29" s="187"/>
      <c r="BD29" s="187"/>
      <c r="BE29" s="187"/>
      <c r="BF29" s="189"/>
      <c r="BG29" s="174"/>
    </row>
    <row r="30" spans="2:59" ht="9.9499999999999993" customHeight="1">
      <c r="B30" s="1"/>
      <c r="C30" s="174"/>
      <c r="D30" s="174"/>
      <c r="E30" s="263" t="s">
        <v>21</v>
      </c>
      <c r="F30" s="264"/>
      <c r="G30" s="264"/>
      <c r="H30" s="264"/>
      <c r="I30" s="264"/>
      <c r="J30" s="265"/>
      <c r="K30" s="225">
        <v>0</v>
      </c>
      <c r="L30" s="226"/>
      <c r="M30" s="226"/>
      <c r="N30" s="226"/>
      <c r="O30" s="226"/>
      <c r="P30" s="226"/>
      <c r="Q30" s="226"/>
      <c r="R30" s="226"/>
      <c r="S30" s="226">
        <v>588</v>
      </c>
      <c r="T30" s="226"/>
      <c r="U30" s="226"/>
      <c r="V30" s="226"/>
      <c r="W30" s="226"/>
      <c r="X30" s="226"/>
      <c r="Y30" s="226"/>
      <c r="Z30" s="226"/>
      <c r="AA30" s="226">
        <v>0</v>
      </c>
      <c r="AB30" s="226"/>
      <c r="AC30" s="226"/>
      <c r="AD30" s="226"/>
      <c r="AE30" s="226"/>
      <c r="AF30" s="226"/>
      <c r="AG30" s="226"/>
      <c r="AH30" s="226"/>
      <c r="AI30" s="226">
        <v>625</v>
      </c>
      <c r="AJ30" s="226"/>
      <c r="AK30" s="226"/>
      <c r="AL30" s="226"/>
      <c r="AM30" s="226"/>
      <c r="AN30" s="226"/>
      <c r="AO30" s="226"/>
      <c r="AP30" s="226"/>
      <c r="AQ30" s="187">
        <v>0</v>
      </c>
      <c r="AR30" s="187"/>
      <c r="AS30" s="187"/>
      <c r="AT30" s="187"/>
      <c r="AU30" s="187"/>
      <c r="AV30" s="187"/>
      <c r="AW30" s="187"/>
      <c r="AX30" s="187"/>
      <c r="AY30" s="187">
        <v>0</v>
      </c>
      <c r="AZ30" s="187"/>
      <c r="BA30" s="187"/>
      <c r="BB30" s="187"/>
      <c r="BC30" s="187"/>
      <c r="BD30" s="187"/>
      <c r="BE30" s="187"/>
      <c r="BF30" s="189"/>
      <c r="BG30" s="174"/>
    </row>
    <row r="31" spans="2:59" ht="9.9499999999999993" customHeight="1">
      <c r="B31" s="1"/>
      <c r="C31" s="174"/>
      <c r="D31" s="174"/>
      <c r="E31" s="263"/>
      <c r="F31" s="264"/>
      <c r="G31" s="264"/>
      <c r="H31" s="264"/>
      <c r="I31" s="264"/>
      <c r="J31" s="26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187"/>
      <c r="AR31" s="187"/>
      <c r="AS31" s="187"/>
      <c r="AT31" s="187"/>
      <c r="AU31" s="187"/>
      <c r="AV31" s="187"/>
      <c r="AW31" s="187"/>
      <c r="AX31" s="187"/>
      <c r="AY31" s="187"/>
      <c r="AZ31" s="187"/>
      <c r="BA31" s="187"/>
      <c r="BB31" s="187"/>
      <c r="BC31" s="187"/>
      <c r="BD31" s="187"/>
      <c r="BE31" s="187"/>
      <c r="BF31" s="189"/>
      <c r="BG31" s="174"/>
    </row>
    <row r="32" spans="2:59" ht="9.9499999999999993" customHeight="1">
      <c r="B32" s="1"/>
      <c r="C32" s="174"/>
      <c r="D32" s="174"/>
      <c r="E32" s="263" t="s">
        <v>22</v>
      </c>
      <c r="F32" s="264"/>
      <c r="G32" s="264"/>
      <c r="H32" s="264"/>
      <c r="I32" s="264"/>
      <c r="J32" s="265"/>
      <c r="K32" s="225">
        <v>0</v>
      </c>
      <c r="L32" s="226"/>
      <c r="M32" s="226"/>
      <c r="N32" s="226"/>
      <c r="O32" s="226"/>
      <c r="P32" s="226"/>
      <c r="Q32" s="226"/>
      <c r="R32" s="226"/>
      <c r="S32" s="226">
        <v>607</v>
      </c>
      <c r="T32" s="226"/>
      <c r="U32" s="226"/>
      <c r="V32" s="226"/>
      <c r="W32" s="226"/>
      <c r="X32" s="226"/>
      <c r="Y32" s="226"/>
      <c r="Z32" s="226"/>
      <c r="AA32" s="226">
        <v>1447</v>
      </c>
      <c r="AB32" s="226"/>
      <c r="AC32" s="226"/>
      <c r="AD32" s="226"/>
      <c r="AE32" s="226"/>
      <c r="AF32" s="226"/>
      <c r="AG32" s="226"/>
      <c r="AH32" s="226"/>
      <c r="AI32" s="226">
        <v>0</v>
      </c>
      <c r="AJ32" s="226"/>
      <c r="AK32" s="226"/>
      <c r="AL32" s="226"/>
      <c r="AM32" s="226"/>
      <c r="AN32" s="226"/>
      <c r="AO32" s="226"/>
      <c r="AP32" s="226"/>
      <c r="AQ32" s="187">
        <v>0</v>
      </c>
      <c r="AR32" s="187"/>
      <c r="AS32" s="187"/>
      <c r="AT32" s="187"/>
      <c r="AU32" s="187"/>
      <c r="AV32" s="187"/>
      <c r="AW32" s="187"/>
      <c r="AX32" s="187"/>
      <c r="AY32" s="187">
        <v>0</v>
      </c>
      <c r="AZ32" s="187"/>
      <c r="BA32" s="187"/>
      <c r="BB32" s="187"/>
      <c r="BC32" s="187"/>
      <c r="BD32" s="187"/>
      <c r="BE32" s="187"/>
      <c r="BF32" s="189"/>
      <c r="BG32" s="174"/>
    </row>
    <row r="33" spans="2:58" ht="9.9499999999999993" customHeight="1">
      <c r="B33" s="1"/>
      <c r="C33" s="174"/>
      <c r="D33" s="174"/>
      <c r="E33" s="263"/>
      <c r="F33" s="264"/>
      <c r="G33" s="264"/>
      <c r="H33" s="264"/>
      <c r="I33" s="264"/>
      <c r="J33" s="26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187"/>
      <c r="AR33" s="187"/>
      <c r="AS33" s="187"/>
      <c r="AT33" s="187"/>
      <c r="AU33" s="187"/>
      <c r="AV33" s="187"/>
      <c r="AW33" s="187"/>
      <c r="AX33" s="187"/>
      <c r="AY33" s="187"/>
      <c r="AZ33" s="187"/>
      <c r="BA33" s="187"/>
      <c r="BB33" s="187"/>
      <c r="BC33" s="187"/>
      <c r="BD33" s="187"/>
      <c r="BE33" s="187"/>
      <c r="BF33" s="189"/>
    </row>
    <row r="34" spans="2:58" ht="9.9499999999999993" customHeight="1">
      <c r="B34" s="1"/>
      <c r="C34" s="174"/>
      <c r="D34" s="174"/>
      <c r="E34" s="263" t="s">
        <v>23</v>
      </c>
      <c r="F34" s="264"/>
      <c r="G34" s="264"/>
      <c r="H34" s="264"/>
      <c r="I34" s="264"/>
      <c r="J34" s="265"/>
      <c r="K34" s="225">
        <v>0</v>
      </c>
      <c r="L34" s="226"/>
      <c r="M34" s="226"/>
      <c r="N34" s="226"/>
      <c r="O34" s="226"/>
      <c r="P34" s="226"/>
      <c r="Q34" s="226"/>
      <c r="R34" s="226"/>
      <c r="S34" s="226">
        <v>0</v>
      </c>
      <c r="T34" s="226"/>
      <c r="U34" s="226"/>
      <c r="V34" s="226"/>
      <c r="W34" s="226"/>
      <c r="X34" s="226"/>
      <c r="Y34" s="226"/>
      <c r="Z34" s="226"/>
      <c r="AA34" s="226">
        <v>1260</v>
      </c>
      <c r="AB34" s="226"/>
      <c r="AC34" s="226"/>
      <c r="AD34" s="226"/>
      <c r="AE34" s="226"/>
      <c r="AF34" s="226"/>
      <c r="AG34" s="226"/>
      <c r="AH34" s="226"/>
      <c r="AI34" s="226">
        <v>1060</v>
      </c>
      <c r="AJ34" s="226"/>
      <c r="AK34" s="226"/>
      <c r="AL34" s="226"/>
      <c r="AM34" s="226"/>
      <c r="AN34" s="226"/>
      <c r="AO34" s="226"/>
      <c r="AP34" s="226"/>
      <c r="AQ34" s="187">
        <v>0</v>
      </c>
      <c r="AR34" s="187"/>
      <c r="AS34" s="187"/>
      <c r="AT34" s="187"/>
      <c r="AU34" s="187"/>
      <c r="AV34" s="187"/>
      <c r="AW34" s="187"/>
      <c r="AX34" s="187"/>
      <c r="AY34" s="187">
        <v>0</v>
      </c>
      <c r="AZ34" s="187"/>
      <c r="BA34" s="187"/>
      <c r="BB34" s="187"/>
      <c r="BC34" s="187"/>
      <c r="BD34" s="187"/>
      <c r="BE34" s="187"/>
      <c r="BF34" s="189"/>
    </row>
    <row r="35" spans="2:58" ht="9.9499999999999993" customHeight="1" thickBot="1">
      <c r="B35" s="1"/>
      <c r="C35" s="174"/>
      <c r="D35" s="174"/>
      <c r="E35" s="274"/>
      <c r="F35" s="275"/>
      <c r="G35" s="275"/>
      <c r="H35" s="275"/>
      <c r="I35" s="275"/>
      <c r="J35" s="276"/>
      <c r="K35" s="277"/>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188"/>
      <c r="AR35" s="188"/>
      <c r="AS35" s="188"/>
      <c r="AT35" s="188"/>
      <c r="AU35" s="188"/>
      <c r="AV35" s="188"/>
      <c r="AW35" s="188"/>
      <c r="AX35" s="188"/>
      <c r="AY35" s="188"/>
      <c r="AZ35" s="188"/>
      <c r="BA35" s="188"/>
      <c r="BB35" s="188"/>
      <c r="BC35" s="188"/>
      <c r="BD35" s="188"/>
      <c r="BE35" s="188"/>
      <c r="BF35" s="190"/>
    </row>
    <row r="36" spans="2:58" ht="9.9499999999999993" customHeight="1">
      <c r="B36" s="1"/>
      <c r="C36" s="174"/>
      <c r="D36" s="174"/>
      <c r="E36" s="279" t="s">
        <v>24</v>
      </c>
      <c r="F36" s="280"/>
      <c r="G36" s="280"/>
      <c r="H36" s="280"/>
      <c r="I36" s="280"/>
      <c r="J36" s="281"/>
      <c r="K36" s="285">
        <v>0.8</v>
      </c>
      <c r="L36" s="191"/>
      <c r="M36" s="191"/>
      <c r="N36" s="191"/>
      <c r="O36" s="191"/>
      <c r="P36" s="191"/>
      <c r="Q36" s="191"/>
      <c r="R36" s="191"/>
      <c r="S36" s="191">
        <v>0.95</v>
      </c>
      <c r="T36" s="191"/>
      <c r="U36" s="191"/>
      <c r="V36" s="191"/>
      <c r="W36" s="191"/>
      <c r="X36" s="191"/>
      <c r="Y36" s="191"/>
      <c r="Z36" s="191"/>
      <c r="AA36" s="195"/>
      <c r="AB36" s="195"/>
      <c r="AC36" s="195"/>
      <c r="AD36" s="195"/>
      <c r="AE36" s="195"/>
      <c r="AF36" s="195"/>
      <c r="AG36" s="195"/>
      <c r="AH36" s="195"/>
      <c r="AI36" s="191">
        <v>0.85</v>
      </c>
      <c r="AJ36" s="191"/>
      <c r="AK36" s="191"/>
      <c r="AL36" s="191"/>
      <c r="AM36" s="191"/>
      <c r="AN36" s="191"/>
      <c r="AO36" s="191"/>
      <c r="AP36" s="191"/>
      <c r="AQ36" s="195"/>
      <c r="AR36" s="195"/>
      <c r="AS36" s="195"/>
      <c r="AT36" s="195"/>
      <c r="AU36" s="195"/>
      <c r="AV36" s="195"/>
      <c r="AW36" s="195"/>
      <c r="AX36" s="195"/>
      <c r="AY36" s="195"/>
      <c r="AZ36" s="195"/>
      <c r="BA36" s="195"/>
      <c r="BB36" s="195"/>
      <c r="BC36" s="195"/>
      <c r="BD36" s="195"/>
      <c r="BE36" s="195"/>
      <c r="BF36" s="202"/>
    </row>
    <row r="37" spans="2:58" ht="9.9499999999999993" customHeight="1">
      <c r="B37" s="1"/>
      <c r="C37" s="174"/>
      <c r="D37" s="174"/>
      <c r="E37" s="282"/>
      <c r="F37" s="283"/>
      <c r="G37" s="283"/>
      <c r="H37" s="283"/>
      <c r="I37" s="283"/>
      <c r="J37" s="284"/>
      <c r="K37" s="286"/>
      <c r="L37" s="192"/>
      <c r="M37" s="192"/>
      <c r="N37" s="192"/>
      <c r="O37" s="192"/>
      <c r="P37" s="192"/>
      <c r="Q37" s="192"/>
      <c r="R37" s="192"/>
      <c r="S37" s="192"/>
      <c r="T37" s="192"/>
      <c r="U37" s="192"/>
      <c r="V37" s="192"/>
      <c r="W37" s="192"/>
      <c r="X37" s="192"/>
      <c r="Y37" s="192"/>
      <c r="Z37" s="192"/>
      <c r="AA37" s="196"/>
      <c r="AB37" s="196"/>
      <c r="AC37" s="196"/>
      <c r="AD37" s="196"/>
      <c r="AE37" s="196"/>
      <c r="AF37" s="196"/>
      <c r="AG37" s="196"/>
      <c r="AH37" s="196"/>
      <c r="AI37" s="192"/>
      <c r="AJ37" s="192"/>
      <c r="AK37" s="192"/>
      <c r="AL37" s="192"/>
      <c r="AM37" s="192"/>
      <c r="AN37" s="192"/>
      <c r="AO37" s="192"/>
      <c r="AP37" s="192"/>
      <c r="AQ37" s="196"/>
      <c r="AR37" s="196"/>
      <c r="AS37" s="196"/>
      <c r="AT37" s="196"/>
      <c r="AU37" s="196"/>
      <c r="AV37" s="196"/>
      <c r="AW37" s="196"/>
      <c r="AX37" s="196"/>
      <c r="AY37" s="196"/>
      <c r="AZ37" s="196"/>
      <c r="BA37" s="196"/>
      <c r="BB37" s="196"/>
      <c r="BC37" s="196"/>
      <c r="BD37" s="196"/>
      <c r="BE37" s="196"/>
      <c r="BF37" s="203"/>
    </row>
    <row r="38" spans="2:58" ht="9.9499999999999993" customHeight="1">
      <c r="B38" s="1"/>
      <c r="C38" s="174"/>
      <c r="D38" s="174"/>
      <c r="E38" s="282" t="s">
        <v>25</v>
      </c>
      <c r="F38" s="283"/>
      <c r="G38" s="283"/>
      <c r="H38" s="283"/>
      <c r="I38" s="283"/>
      <c r="J38" s="284"/>
      <c r="K38" s="287">
        <v>0.8</v>
      </c>
      <c r="L38" s="193"/>
      <c r="M38" s="193"/>
      <c r="N38" s="193"/>
      <c r="O38" s="193"/>
      <c r="P38" s="193"/>
      <c r="Q38" s="193"/>
      <c r="R38" s="193"/>
      <c r="S38" s="193">
        <v>0.95</v>
      </c>
      <c r="T38" s="193"/>
      <c r="U38" s="193"/>
      <c r="V38" s="193"/>
      <c r="W38" s="193"/>
      <c r="X38" s="193"/>
      <c r="Y38" s="193"/>
      <c r="Z38" s="193"/>
      <c r="AA38" s="197"/>
      <c r="AB38" s="196"/>
      <c r="AC38" s="196"/>
      <c r="AD38" s="196"/>
      <c r="AE38" s="196"/>
      <c r="AF38" s="196"/>
      <c r="AG38" s="196"/>
      <c r="AH38" s="198"/>
      <c r="AI38" s="193">
        <v>0.85</v>
      </c>
      <c r="AJ38" s="193"/>
      <c r="AK38" s="193"/>
      <c r="AL38" s="193"/>
      <c r="AM38" s="193"/>
      <c r="AN38" s="193"/>
      <c r="AO38" s="193"/>
      <c r="AP38" s="193"/>
      <c r="AQ38" s="197"/>
      <c r="AR38" s="196"/>
      <c r="AS38" s="196"/>
      <c r="AT38" s="196"/>
      <c r="AU38" s="196"/>
      <c r="AV38" s="196"/>
      <c r="AW38" s="196"/>
      <c r="AX38" s="196"/>
      <c r="AY38" s="196"/>
      <c r="AZ38" s="196"/>
      <c r="BA38" s="196"/>
      <c r="BB38" s="196"/>
      <c r="BC38" s="196"/>
      <c r="BD38" s="196"/>
      <c r="BE38" s="196"/>
      <c r="BF38" s="203"/>
    </row>
    <row r="39" spans="2:58" ht="9.9499999999999993" customHeight="1" thickBot="1">
      <c r="B39" s="1"/>
      <c r="C39" s="174"/>
      <c r="D39" s="174"/>
      <c r="E39" s="289"/>
      <c r="F39" s="290"/>
      <c r="G39" s="290"/>
      <c r="H39" s="290"/>
      <c r="I39" s="290"/>
      <c r="J39" s="291"/>
      <c r="K39" s="288"/>
      <c r="L39" s="194"/>
      <c r="M39" s="194"/>
      <c r="N39" s="194"/>
      <c r="O39" s="194"/>
      <c r="P39" s="194"/>
      <c r="Q39" s="194"/>
      <c r="R39" s="194"/>
      <c r="S39" s="194"/>
      <c r="T39" s="194"/>
      <c r="U39" s="194"/>
      <c r="V39" s="194"/>
      <c r="W39" s="194"/>
      <c r="X39" s="194"/>
      <c r="Y39" s="194"/>
      <c r="Z39" s="194"/>
      <c r="AA39" s="199"/>
      <c r="AB39" s="200"/>
      <c r="AC39" s="200"/>
      <c r="AD39" s="200"/>
      <c r="AE39" s="200"/>
      <c r="AF39" s="200"/>
      <c r="AG39" s="200"/>
      <c r="AH39" s="201"/>
      <c r="AI39" s="194"/>
      <c r="AJ39" s="194"/>
      <c r="AK39" s="194"/>
      <c r="AL39" s="194"/>
      <c r="AM39" s="194"/>
      <c r="AN39" s="194"/>
      <c r="AO39" s="194"/>
      <c r="AP39" s="194"/>
      <c r="AQ39" s="199"/>
      <c r="AR39" s="200"/>
      <c r="AS39" s="200"/>
      <c r="AT39" s="200"/>
      <c r="AU39" s="200"/>
      <c r="AV39" s="200"/>
      <c r="AW39" s="200"/>
      <c r="AX39" s="200"/>
      <c r="AY39" s="200"/>
      <c r="AZ39" s="200"/>
      <c r="BA39" s="200"/>
      <c r="BB39" s="200"/>
      <c r="BC39" s="200"/>
      <c r="BD39" s="200"/>
      <c r="BE39" s="200"/>
      <c r="BF39" s="204"/>
    </row>
    <row r="40" spans="2:58" ht="9.9499999999999993" customHeight="1">
      <c r="B40" s="1"/>
      <c r="C40" s="174"/>
      <c r="D40" s="174"/>
      <c r="E40" s="251" t="s">
        <v>26</v>
      </c>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3"/>
      <c r="AI40" s="294" t="s">
        <v>27</v>
      </c>
      <c r="AJ40" s="295"/>
      <c r="AK40" s="295"/>
      <c r="AL40" s="295"/>
      <c r="AM40" s="295"/>
      <c r="AN40" s="295"/>
      <c r="AO40" s="295"/>
      <c r="AP40" s="295"/>
      <c r="AQ40" s="295"/>
      <c r="AR40" s="295"/>
      <c r="AS40" s="295"/>
      <c r="AT40" s="295"/>
      <c r="AU40" s="298">
        <v>2</v>
      </c>
      <c r="AV40" s="298"/>
      <c r="AW40" s="298"/>
      <c r="AX40" s="298"/>
      <c r="AY40" s="298"/>
      <c r="AZ40" s="298"/>
      <c r="BA40" s="298"/>
      <c r="BB40" s="298"/>
      <c r="BC40" s="298"/>
      <c r="BD40" s="298"/>
      <c r="BE40" s="298"/>
      <c r="BF40" s="299"/>
    </row>
    <row r="41" spans="2:58" ht="9.9499999999999993" customHeight="1">
      <c r="B41" s="1"/>
      <c r="C41" s="174"/>
      <c r="D41" s="174"/>
      <c r="E41" s="263"/>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5"/>
      <c r="AI41" s="296"/>
      <c r="AJ41" s="297"/>
      <c r="AK41" s="297"/>
      <c r="AL41" s="297"/>
      <c r="AM41" s="297"/>
      <c r="AN41" s="297"/>
      <c r="AO41" s="297"/>
      <c r="AP41" s="297"/>
      <c r="AQ41" s="297"/>
      <c r="AR41" s="297"/>
      <c r="AS41" s="297"/>
      <c r="AT41" s="297"/>
      <c r="AU41" s="300"/>
      <c r="AV41" s="300"/>
      <c r="AW41" s="300"/>
      <c r="AX41" s="300"/>
      <c r="AY41" s="300"/>
      <c r="AZ41" s="300"/>
      <c r="BA41" s="300"/>
      <c r="BB41" s="300"/>
      <c r="BC41" s="300"/>
      <c r="BD41" s="300"/>
      <c r="BE41" s="300"/>
      <c r="BF41" s="301"/>
    </row>
    <row r="42" spans="2:58" ht="9.9499999999999993" customHeight="1">
      <c r="B42" s="1"/>
      <c r="C42" s="174"/>
      <c r="D42" s="174"/>
      <c r="E42" s="254" t="s">
        <v>28</v>
      </c>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5"/>
      <c r="AI42" s="305">
        <v>1600</v>
      </c>
      <c r="AJ42" s="306"/>
      <c r="AK42" s="306"/>
      <c r="AL42" s="306"/>
      <c r="AM42" s="306"/>
      <c r="AN42" s="306"/>
      <c r="AO42" s="306"/>
      <c r="AP42" s="306"/>
      <c r="AQ42" s="306"/>
      <c r="AR42" s="306"/>
      <c r="AS42" s="306"/>
      <c r="AT42" s="306"/>
      <c r="AU42" s="307"/>
      <c r="AV42" s="307"/>
      <c r="AW42" s="307"/>
      <c r="AX42" s="307"/>
      <c r="AY42" s="307"/>
      <c r="AZ42" s="307"/>
      <c r="BA42" s="307"/>
      <c r="BB42" s="307"/>
      <c r="BC42" s="307"/>
      <c r="BD42" s="307"/>
      <c r="BE42" s="307"/>
      <c r="BF42" s="308"/>
    </row>
    <row r="43" spans="2:58" ht="9.9499999999999993" customHeight="1" thickBot="1">
      <c r="B43" s="1"/>
      <c r="C43" s="174"/>
      <c r="D43" s="174"/>
      <c r="E43" s="302"/>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4"/>
      <c r="AI43" s="309"/>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1"/>
    </row>
    <row r="44" spans="2:58"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23"/>
      <c r="AZ44" s="23"/>
      <c r="BA44" s="5"/>
      <c r="BB44" s="5"/>
      <c r="BC44" s="5"/>
      <c r="BD44" s="5"/>
      <c r="BE44" s="5"/>
      <c r="BF44" s="5"/>
    </row>
    <row r="45" spans="2:58"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23"/>
      <c r="AZ45" s="23"/>
      <c r="BA45" s="5"/>
      <c r="BB45" s="5"/>
      <c r="BC45" s="5"/>
      <c r="BD45" s="5"/>
      <c r="BE45" s="5"/>
      <c r="BF45" s="5"/>
    </row>
    <row r="46" spans="2:58" ht="9.9499999999999993" customHeight="1">
      <c r="B46" s="1"/>
      <c r="C46" s="174"/>
      <c r="D46" s="174"/>
      <c r="E46" s="174"/>
      <c r="F46" s="174"/>
      <c r="G46" s="174"/>
      <c r="H46" s="174"/>
      <c r="I46" s="174"/>
      <c r="J46" s="174"/>
      <c r="K46" s="174"/>
      <c r="L46" s="174"/>
      <c r="M46" s="320" t="s">
        <v>29</v>
      </c>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2"/>
      <c r="AY46" s="6"/>
      <c r="AZ46" s="6"/>
      <c r="BA46" s="6"/>
      <c r="BB46" s="6"/>
      <c r="BC46" s="6"/>
      <c r="BD46" s="6"/>
      <c r="BE46" s="6"/>
      <c r="BF46" s="6"/>
    </row>
    <row r="47" spans="2:58" ht="9.9499999999999993" customHeight="1" thickBot="1">
      <c r="B47" s="1"/>
      <c r="C47" s="174"/>
      <c r="D47" s="174"/>
      <c r="E47" s="174"/>
      <c r="F47" s="174"/>
      <c r="G47" s="174"/>
      <c r="H47" s="174"/>
      <c r="I47" s="174"/>
      <c r="J47" s="174"/>
      <c r="K47" s="174"/>
      <c r="L47" s="174"/>
      <c r="M47" s="323"/>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5"/>
      <c r="AY47" s="6"/>
      <c r="AZ47" s="6"/>
      <c r="BA47" s="6"/>
      <c r="BB47" s="6"/>
      <c r="BC47" s="6"/>
      <c r="BD47" s="6"/>
      <c r="BE47" s="6"/>
      <c r="BF47" s="6"/>
    </row>
    <row r="48" spans="2:58" ht="9.9499999999999993" customHeight="1">
      <c r="B48" s="1"/>
      <c r="C48" s="174"/>
      <c r="D48" s="174"/>
      <c r="E48" s="174"/>
      <c r="F48" s="174"/>
      <c r="G48" s="174"/>
      <c r="H48" s="174"/>
      <c r="I48" s="174"/>
      <c r="J48" s="174"/>
      <c r="K48" s="174"/>
      <c r="L48" s="174"/>
      <c r="M48" s="251"/>
      <c r="N48" s="252"/>
      <c r="O48" s="252"/>
      <c r="P48" s="252"/>
      <c r="Q48" s="252"/>
      <c r="R48" s="253"/>
      <c r="S48" s="326" t="s">
        <v>12</v>
      </c>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8"/>
      <c r="AY48" s="174"/>
      <c r="AZ48" s="174"/>
      <c r="BA48" s="7"/>
      <c r="BB48" s="8"/>
      <c r="BC48" s="8"/>
      <c r="BD48" s="8"/>
      <c r="BE48" s="8"/>
      <c r="BF48" s="8"/>
    </row>
    <row r="49" spans="2:58" ht="9.9499999999999993" customHeight="1" thickBot="1">
      <c r="B49" s="1"/>
      <c r="C49" s="174"/>
      <c r="D49" s="174"/>
      <c r="E49" s="174"/>
      <c r="F49" s="174"/>
      <c r="G49" s="174"/>
      <c r="H49" s="174"/>
      <c r="I49" s="174"/>
      <c r="J49" s="174"/>
      <c r="K49" s="174"/>
      <c r="L49" s="174"/>
      <c r="M49" s="254"/>
      <c r="N49" s="255"/>
      <c r="O49" s="255"/>
      <c r="P49" s="255"/>
      <c r="Q49" s="255"/>
      <c r="R49" s="256"/>
      <c r="S49" s="329"/>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1"/>
      <c r="AY49" s="174"/>
      <c r="AZ49" s="174"/>
      <c r="BA49" s="8"/>
      <c r="BB49" s="8"/>
      <c r="BC49" s="8"/>
      <c r="BD49" s="8"/>
      <c r="BE49" s="8"/>
      <c r="BF49" s="8"/>
    </row>
    <row r="50" spans="2:58" ht="9.9499999999999993" customHeight="1">
      <c r="B50" s="1"/>
      <c r="C50" s="174"/>
      <c r="D50" s="174"/>
      <c r="E50" s="174"/>
      <c r="F50" s="174"/>
      <c r="G50" s="174"/>
      <c r="H50" s="174"/>
      <c r="I50" s="174"/>
      <c r="J50" s="174"/>
      <c r="K50" s="174"/>
      <c r="L50" s="174"/>
      <c r="M50" s="254"/>
      <c r="N50" s="255"/>
      <c r="O50" s="255"/>
      <c r="P50" s="255"/>
      <c r="Q50" s="255"/>
      <c r="R50" s="334"/>
      <c r="S50" s="313" t="s">
        <v>14</v>
      </c>
      <c r="T50" s="312"/>
      <c r="U50" s="312"/>
      <c r="V50" s="312"/>
      <c r="W50" s="312"/>
      <c r="X50" s="312"/>
      <c r="Y50" s="312"/>
      <c r="Z50" s="312"/>
      <c r="AA50" s="312" t="s">
        <v>15</v>
      </c>
      <c r="AB50" s="312"/>
      <c r="AC50" s="312"/>
      <c r="AD50" s="312"/>
      <c r="AE50" s="312"/>
      <c r="AF50" s="312"/>
      <c r="AG50" s="312"/>
      <c r="AH50" s="312"/>
      <c r="AI50" s="312" t="s">
        <v>16</v>
      </c>
      <c r="AJ50" s="312"/>
      <c r="AK50" s="312"/>
      <c r="AL50" s="312"/>
      <c r="AM50" s="312"/>
      <c r="AN50" s="312"/>
      <c r="AO50" s="312"/>
      <c r="AP50" s="312"/>
      <c r="AQ50" s="312" t="s">
        <v>17</v>
      </c>
      <c r="AR50" s="312"/>
      <c r="AS50" s="312"/>
      <c r="AT50" s="312"/>
      <c r="AU50" s="312"/>
      <c r="AV50" s="312"/>
      <c r="AW50" s="312"/>
      <c r="AX50" s="337"/>
      <c r="AY50" s="174"/>
      <c r="AZ50" s="174"/>
      <c r="BA50" s="9"/>
      <c r="BB50" s="9"/>
      <c r="BC50" s="9"/>
      <c r="BD50" s="9"/>
      <c r="BE50" s="9"/>
      <c r="BF50" s="9"/>
    </row>
    <row r="51" spans="2:58" ht="9.9499999999999993" customHeight="1">
      <c r="B51" s="1"/>
      <c r="C51" s="174"/>
      <c r="D51" s="174"/>
      <c r="E51" s="174"/>
      <c r="F51" s="174"/>
      <c r="G51" s="174"/>
      <c r="H51" s="174"/>
      <c r="I51" s="174"/>
      <c r="J51" s="174"/>
      <c r="K51" s="174"/>
      <c r="L51" s="174"/>
      <c r="M51" s="254"/>
      <c r="N51" s="255"/>
      <c r="O51" s="255"/>
      <c r="P51" s="255"/>
      <c r="Q51" s="255"/>
      <c r="R51" s="334"/>
      <c r="S51" s="217"/>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338"/>
      <c r="AY51" s="174"/>
      <c r="AZ51" s="174"/>
      <c r="BA51" s="9"/>
      <c r="BB51" s="9"/>
      <c r="BC51" s="9"/>
      <c r="BD51" s="9"/>
      <c r="BE51" s="9"/>
      <c r="BF51" s="9"/>
    </row>
    <row r="52" spans="2:58" ht="9.9499999999999993" customHeight="1">
      <c r="B52" s="1"/>
      <c r="C52" s="174"/>
      <c r="D52" s="174"/>
      <c r="E52" s="174"/>
      <c r="F52" s="174"/>
      <c r="G52" s="174"/>
      <c r="H52" s="174"/>
      <c r="I52" s="174"/>
      <c r="J52" s="174"/>
      <c r="K52" s="174"/>
      <c r="L52" s="174"/>
      <c r="M52" s="254"/>
      <c r="N52" s="255"/>
      <c r="O52" s="255"/>
      <c r="P52" s="255"/>
      <c r="Q52" s="255"/>
      <c r="R52" s="334"/>
      <c r="S52" s="335"/>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314"/>
      <c r="AY52" s="174"/>
      <c r="AZ52" s="174"/>
      <c r="BA52" s="9"/>
      <c r="BB52" s="9"/>
      <c r="BC52" s="9"/>
      <c r="BD52" s="9"/>
      <c r="BE52" s="9"/>
      <c r="BF52" s="9"/>
    </row>
    <row r="53" spans="2:58" ht="9.9499999999999993" customHeight="1">
      <c r="B53" s="1"/>
      <c r="C53" s="174"/>
      <c r="D53" s="174"/>
      <c r="E53" s="174"/>
      <c r="F53" s="174"/>
      <c r="G53" s="174"/>
      <c r="H53" s="174"/>
      <c r="I53" s="174"/>
      <c r="J53" s="174"/>
      <c r="K53" s="174"/>
      <c r="L53" s="174"/>
      <c r="M53" s="254"/>
      <c r="N53" s="255"/>
      <c r="O53" s="255"/>
      <c r="P53" s="255"/>
      <c r="Q53" s="255"/>
      <c r="R53" s="334"/>
      <c r="S53" s="336"/>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315"/>
      <c r="AY53" s="174"/>
      <c r="AZ53" s="174"/>
      <c r="BA53" s="9"/>
      <c r="BB53" s="9"/>
      <c r="BC53" s="9"/>
      <c r="BD53" s="9"/>
      <c r="BE53" s="9"/>
      <c r="BF53" s="9"/>
    </row>
    <row r="54" spans="2:58" ht="9.9499999999999993" customHeight="1">
      <c r="B54" s="1"/>
      <c r="C54" s="174"/>
      <c r="D54" s="174"/>
      <c r="E54" s="174"/>
      <c r="F54" s="174"/>
      <c r="G54" s="174"/>
      <c r="H54" s="174"/>
      <c r="I54" s="174"/>
      <c r="J54" s="174"/>
      <c r="K54" s="174"/>
      <c r="L54" s="174"/>
      <c r="M54" s="254"/>
      <c r="N54" s="255"/>
      <c r="O54" s="255"/>
      <c r="P54" s="255"/>
      <c r="Q54" s="255"/>
      <c r="R54" s="334"/>
      <c r="S54" s="336"/>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315"/>
      <c r="AY54" s="174"/>
      <c r="AZ54" s="174"/>
      <c r="BA54" s="10"/>
      <c r="BB54" s="10"/>
      <c r="BC54" s="10"/>
      <c r="BD54" s="10"/>
      <c r="BE54" s="10"/>
      <c r="BF54" s="10"/>
    </row>
    <row r="55" spans="2:58" ht="9.9499999999999993" customHeight="1">
      <c r="B55" s="1"/>
      <c r="C55" s="174"/>
      <c r="D55" s="174"/>
      <c r="E55" s="174"/>
      <c r="F55" s="174"/>
      <c r="G55" s="174"/>
      <c r="H55" s="174"/>
      <c r="I55" s="174"/>
      <c r="J55" s="174"/>
      <c r="K55" s="174"/>
      <c r="L55" s="174"/>
      <c r="M55" s="254"/>
      <c r="N55" s="255"/>
      <c r="O55" s="255"/>
      <c r="P55" s="255"/>
      <c r="Q55" s="255"/>
      <c r="R55" s="334"/>
      <c r="S55" s="336"/>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315"/>
      <c r="AY55" s="174"/>
      <c r="AZ55" s="174"/>
      <c r="BA55" s="10"/>
      <c r="BB55" s="10"/>
      <c r="BC55" s="10"/>
      <c r="BD55" s="10"/>
      <c r="BE55" s="10"/>
      <c r="BF55" s="10"/>
    </row>
    <row r="56" spans="2:58" ht="9.9499999999999993" customHeight="1">
      <c r="B56" s="1"/>
      <c r="C56" s="174"/>
      <c r="D56" s="174"/>
      <c r="E56" s="174"/>
      <c r="F56" s="174"/>
      <c r="G56" s="174"/>
      <c r="H56" s="174"/>
      <c r="I56" s="174"/>
      <c r="J56" s="174"/>
      <c r="K56" s="174"/>
      <c r="L56" s="174"/>
      <c r="M56" s="263" t="s">
        <v>20</v>
      </c>
      <c r="N56" s="255"/>
      <c r="O56" s="255"/>
      <c r="P56" s="255"/>
      <c r="Q56" s="255"/>
      <c r="R56" s="334"/>
      <c r="S56" s="332">
        <f>+ROUND((K28*(1-EB_Truck_Percentage) +K28* EB_Truck_Percentage*Truck_Adjustment_Factor)*(1+EB_Growth_Factor),0)</f>
        <v>0</v>
      </c>
      <c r="T56" s="316"/>
      <c r="U56" s="316"/>
      <c r="V56" s="316"/>
      <c r="W56" s="316"/>
      <c r="X56" s="316"/>
      <c r="Y56" s="316"/>
      <c r="Z56" s="316"/>
      <c r="AA56" s="316">
        <f>+ROUND((S28*(1-EB_Truck_Percentage) +S28* EB_Truck_Percentage*Truck_Adjustment_Factor)*(1+EB_Growth_Factor),0)</f>
        <v>899</v>
      </c>
      <c r="AB56" s="316"/>
      <c r="AC56" s="316"/>
      <c r="AD56" s="316"/>
      <c r="AE56" s="316"/>
      <c r="AF56" s="316"/>
      <c r="AG56" s="316"/>
      <c r="AH56" s="316"/>
      <c r="AI56" s="316">
        <f>+ROUND((AA28*(1-EB_Truck_Percentage) +AA28* EB_Truck_Percentage*Truck_Adjustment_Factor)*(1+EB_Growth_Factor),0)</f>
        <v>0</v>
      </c>
      <c r="AJ56" s="316"/>
      <c r="AK56" s="316"/>
      <c r="AL56" s="316"/>
      <c r="AM56" s="316"/>
      <c r="AN56" s="316"/>
      <c r="AO56" s="316"/>
      <c r="AP56" s="316"/>
      <c r="AQ56" s="316">
        <f>+ROUND((AI28*(1-EB_Truck_Percentage) +AI28* EB_Truck_Percentage*Truck_Adjustment_Factor)*(1+EB_Growth_Factor),0)</f>
        <v>208</v>
      </c>
      <c r="AR56" s="316"/>
      <c r="AS56" s="316"/>
      <c r="AT56" s="316"/>
      <c r="AU56" s="316"/>
      <c r="AV56" s="316"/>
      <c r="AW56" s="316"/>
      <c r="AX56" s="317"/>
      <c r="AY56" s="174"/>
      <c r="AZ56" s="174"/>
      <c r="BA56" s="10"/>
      <c r="BB56" s="10"/>
      <c r="BC56" s="10"/>
      <c r="BD56" s="10"/>
      <c r="BE56" s="10"/>
      <c r="BF56" s="10"/>
    </row>
    <row r="57" spans="2:58" ht="9.9499999999999993" customHeight="1">
      <c r="B57" s="1"/>
      <c r="C57" s="174"/>
      <c r="D57" s="174"/>
      <c r="E57" s="174"/>
      <c r="F57" s="174"/>
      <c r="G57" s="174"/>
      <c r="H57" s="174"/>
      <c r="I57" s="174"/>
      <c r="J57" s="174"/>
      <c r="K57" s="174"/>
      <c r="L57" s="174"/>
      <c r="M57" s="254"/>
      <c r="N57" s="255"/>
      <c r="O57" s="255"/>
      <c r="P57" s="255"/>
      <c r="Q57" s="255"/>
      <c r="R57" s="334"/>
      <c r="S57" s="333"/>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9"/>
      <c r="AY57" s="174"/>
      <c r="AZ57" s="174"/>
      <c r="BA57" s="10"/>
      <c r="BB57" s="10"/>
      <c r="BC57" s="10"/>
      <c r="BD57" s="10"/>
      <c r="BE57" s="10"/>
      <c r="BF57" s="10"/>
    </row>
    <row r="58" spans="2:58" ht="9.9499999999999993" customHeight="1">
      <c r="B58" s="1"/>
      <c r="C58" s="174"/>
      <c r="D58" s="174"/>
      <c r="E58" s="174"/>
      <c r="F58" s="174"/>
      <c r="G58" s="174"/>
      <c r="H58" s="174"/>
      <c r="I58" s="174"/>
      <c r="J58" s="174"/>
      <c r="K58" s="174"/>
      <c r="L58" s="174"/>
      <c r="M58" s="254" t="s">
        <v>21</v>
      </c>
      <c r="N58" s="255"/>
      <c r="O58" s="255"/>
      <c r="P58" s="255"/>
      <c r="Q58" s="255"/>
      <c r="R58" s="334"/>
      <c r="S58" s="333">
        <f>+ROUND((K30*(1-WB_Truck_Percentage) +K30*WB_Truck_Percentage*Truck_Adjustment_Factor)*(1+WB_Growth_Factor),0)</f>
        <v>0</v>
      </c>
      <c r="T58" s="318"/>
      <c r="U58" s="318"/>
      <c r="V58" s="318"/>
      <c r="W58" s="318"/>
      <c r="X58" s="318"/>
      <c r="Y58" s="318"/>
      <c r="Z58" s="318"/>
      <c r="AA58" s="318">
        <f>+ROUND((S30*(1-WB_Truck_Percentage) +S30* WB_Truck_Percentage*Truck_Adjustment_Factor)*(1+WB_Growth_Factor),0)</f>
        <v>588</v>
      </c>
      <c r="AB58" s="318"/>
      <c r="AC58" s="318"/>
      <c r="AD58" s="318"/>
      <c r="AE58" s="318"/>
      <c r="AF58" s="318"/>
      <c r="AG58" s="318"/>
      <c r="AH58" s="318"/>
      <c r="AI58" s="318">
        <f>+ROUND((AA30*(1-WB_Truck_Percentage) +AA30* WB_Truck_Percentage*Truck_Adjustment_Factor)*(1+WB_Growth_Factor),0)</f>
        <v>0</v>
      </c>
      <c r="AJ58" s="318"/>
      <c r="AK58" s="318"/>
      <c r="AL58" s="318"/>
      <c r="AM58" s="318"/>
      <c r="AN58" s="318"/>
      <c r="AO58" s="318"/>
      <c r="AP58" s="318"/>
      <c r="AQ58" s="318">
        <f>+ROUND((AI30*(1-WB_Truck_Percentage) +AI30* WB_Truck_Percentage*Truck_Adjustment_Factor)*(1+WB_Growth_Factor),0)</f>
        <v>625</v>
      </c>
      <c r="AR58" s="318"/>
      <c r="AS58" s="318"/>
      <c r="AT58" s="318"/>
      <c r="AU58" s="318"/>
      <c r="AV58" s="318"/>
      <c r="AW58" s="318"/>
      <c r="AX58" s="319"/>
      <c r="AY58" s="174"/>
      <c r="AZ58" s="174"/>
      <c r="BA58" s="10"/>
      <c r="BB58" s="10"/>
      <c r="BC58" s="10"/>
      <c r="BD58" s="10"/>
      <c r="BE58" s="10"/>
      <c r="BF58" s="10"/>
    </row>
    <row r="59" spans="2:58" ht="9.9499999999999993" customHeight="1">
      <c r="B59" s="1"/>
      <c r="C59" s="174"/>
      <c r="D59" s="174"/>
      <c r="E59" s="174"/>
      <c r="F59" s="174"/>
      <c r="G59" s="174"/>
      <c r="H59" s="174"/>
      <c r="I59" s="174"/>
      <c r="J59" s="174"/>
      <c r="K59" s="174"/>
      <c r="L59" s="174"/>
      <c r="M59" s="254"/>
      <c r="N59" s="255"/>
      <c r="O59" s="255"/>
      <c r="P59" s="255"/>
      <c r="Q59" s="255"/>
      <c r="R59" s="334"/>
      <c r="S59" s="333"/>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9"/>
      <c r="AY59" s="174"/>
      <c r="AZ59" s="174"/>
      <c r="BA59" s="10"/>
      <c r="BB59" s="10"/>
      <c r="BC59" s="10"/>
      <c r="BD59" s="10"/>
      <c r="BE59" s="10"/>
      <c r="BF59" s="10"/>
    </row>
    <row r="60" spans="2:58" ht="9.9499999999999993" customHeight="1">
      <c r="B60" s="1"/>
      <c r="C60" s="174"/>
      <c r="D60" s="174"/>
      <c r="E60" s="174"/>
      <c r="F60" s="174"/>
      <c r="G60" s="174"/>
      <c r="H60" s="174"/>
      <c r="I60" s="174"/>
      <c r="J60" s="174"/>
      <c r="K60" s="174"/>
      <c r="L60" s="174"/>
      <c r="M60" s="254" t="s">
        <v>22</v>
      </c>
      <c r="N60" s="255"/>
      <c r="O60" s="255"/>
      <c r="P60" s="255"/>
      <c r="Q60" s="255"/>
      <c r="R60" s="334"/>
      <c r="S60" s="333">
        <f>+ROUND((K32*(1-SB_Truck_Percentage) +K32* SB_Truck_Percentage*Truck_Adjustment_Factor)*(1+SB_Growth_Factor),0)</f>
        <v>0</v>
      </c>
      <c r="T60" s="318"/>
      <c r="U60" s="318"/>
      <c r="V60" s="318"/>
      <c r="W60" s="318"/>
      <c r="X60" s="318"/>
      <c r="Y60" s="318"/>
      <c r="Z60" s="318"/>
      <c r="AA60" s="318">
        <f>+ROUND((S32*(1-SB_Truck_Percentage) +S32* SB_Truck_Percentage*Truck_Adjustment_Factor)*(1+SB_Growth_Factor),0)</f>
        <v>607</v>
      </c>
      <c r="AB60" s="318"/>
      <c r="AC60" s="318"/>
      <c r="AD60" s="318"/>
      <c r="AE60" s="318"/>
      <c r="AF60" s="318"/>
      <c r="AG60" s="318"/>
      <c r="AH60" s="318"/>
      <c r="AI60" s="318">
        <f>+ROUND((AA32*(1-SB_Truck_Percentage) +AA32* SB_Truck_Percentage*Truck_Adjustment_Factor)*(1+SB_Growth_Factor),0)</f>
        <v>1447</v>
      </c>
      <c r="AJ60" s="318"/>
      <c r="AK60" s="318"/>
      <c r="AL60" s="318"/>
      <c r="AM60" s="318"/>
      <c r="AN60" s="318"/>
      <c r="AO60" s="318"/>
      <c r="AP60" s="318"/>
      <c r="AQ60" s="318">
        <f>+ROUND((AI32*(1-SB_Truck_Percentage) +AI32* SB_Truck_Percentage*Truck_Adjustment_Factor)*(1+SB_Growth_Factor),0)</f>
        <v>0</v>
      </c>
      <c r="AR60" s="318"/>
      <c r="AS60" s="318"/>
      <c r="AT60" s="318"/>
      <c r="AU60" s="318"/>
      <c r="AV60" s="318"/>
      <c r="AW60" s="318"/>
      <c r="AX60" s="319"/>
      <c r="AY60" s="174"/>
      <c r="AZ60" s="174"/>
      <c r="BA60" s="10"/>
      <c r="BB60" s="10"/>
      <c r="BC60" s="10"/>
      <c r="BD60" s="10"/>
      <c r="BE60" s="10"/>
      <c r="BF60" s="10"/>
    </row>
    <row r="61" spans="2:58" ht="9.9499999999999993" customHeight="1">
      <c r="B61" s="1"/>
      <c r="C61" s="174"/>
      <c r="D61" s="174"/>
      <c r="E61" s="174"/>
      <c r="F61" s="174"/>
      <c r="G61" s="174"/>
      <c r="H61" s="174"/>
      <c r="I61" s="174"/>
      <c r="J61" s="174"/>
      <c r="K61" s="174"/>
      <c r="L61" s="174"/>
      <c r="M61" s="254"/>
      <c r="N61" s="255"/>
      <c r="O61" s="255"/>
      <c r="P61" s="255"/>
      <c r="Q61" s="255"/>
      <c r="R61" s="334"/>
      <c r="S61" s="333"/>
      <c r="T61" s="318"/>
      <c r="U61" s="318"/>
      <c r="V61" s="318"/>
      <c r="W61" s="318"/>
      <c r="X61" s="318"/>
      <c r="Y61" s="318"/>
      <c r="Z61" s="318"/>
      <c r="AA61" s="318"/>
      <c r="AB61" s="318"/>
      <c r="AC61" s="318"/>
      <c r="AD61" s="318"/>
      <c r="AE61" s="318"/>
      <c r="AF61" s="318"/>
      <c r="AG61" s="318"/>
      <c r="AH61" s="318"/>
      <c r="AI61" s="318"/>
      <c r="AJ61" s="318"/>
      <c r="AK61" s="318"/>
      <c r="AL61" s="318"/>
      <c r="AM61" s="318"/>
      <c r="AN61" s="318"/>
      <c r="AO61" s="318"/>
      <c r="AP61" s="318"/>
      <c r="AQ61" s="318"/>
      <c r="AR61" s="318"/>
      <c r="AS61" s="318"/>
      <c r="AT61" s="318"/>
      <c r="AU61" s="318"/>
      <c r="AV61" s="318"/>
      <c r="AW61" s="318"/>
      <c r="AX61" s="319"/>
      <c r="AY61" s="174"/>
      <c r="AZ61" s="174"/>
      <c r="BA61" s="10"/>
      <c r="BB61" s="10"/>
      <c r="BC61" s="10"/>
      <c r="BD61" s="10"/>
      <c r="BE61" s="10"/>
      <c r="BF61" s="10"/>
    </row>
    <row r="62" spans="2:58" ht="9.9499999999999993" customHeight="1">
      <c r="B62" s="1"/>
      <c r="C62" s="174"/>
      <c r="D62" s="174"/>
      <c r="E62" s="11"/>
      <c r="F62" s="9"/>
      <c r="G62" s="9"/>
      <c r="H62" s="9"/>
      <c r="I62" s="9"/>
      <c r="J62" s="174"/>
      <c r="K62" s="9"/>
      <c r="L62" s="9"/>
      <c r="M62" s="254" t="s">
        <v>23</v>
      </c>
      <c r="N62" s="255"/>
      <c r="O62" s="255"/>
      <c r="P62" s="255"/>
      <c r="Q62" s="255"/>
      <c r="R62" s="334"/>
      <c r="S62" s="333">
        <f>+ROUND((K34*(1-NB_Truck_Percentage) +K34* NB_Truck_Percentage*Truck_Adjustment_Factor)*(1+NB_Growth_Factor),0)</f>
        <v>0</v>
      </c>
      <c r="T62" s="318"/>
      <c r="U62" s="318"/>
      <c r="V62" s="318"/>
      <c r="W62" s="318"/>
      <c r="X62" s="318"/>
      <c r="Y62" s="318"/>
      <c r="Z62" s="318"/>
      <c r="AA62" s="318">
        <f>+ROUND((S34*(1-NB_Truck_Percentage) +S34* NB_Truck_Percentage*Truck_Adjustment_Factor)*(1+NB_Growth_Factor),0)</f>
        <v>0</v>
      </c>
      <c r="AB62" s="318"/>
      <c r="AC62" s="318"/>
      <c r="AD62" s="318"/>
      <c r="AE62" s="318"/>
      <c r="AF62" s="318"/>
      <c r="AG62" s="318"/>
      <c r="AH62" s="318"/>
      <c r="AI62" s="318">
        <f>+ROUND((AA34*(1-NB_Truck_Percentage) +AA34* NB_Truck_Percentage*Truck_Adjustment_Factor)*(1+NB_Growth_Factor),0)</f>
        <v>1260</v>
      </c>
      <c r="AJ62" s="318"/>
      <c r="AK62" s="318"/>
      <c r="AL62" s="318"/>
      <c r="AM62" s="318"/>
      <c r="AN62" s="318"/>
      <c r="AO62" s="318"/>
      <c r="AP62" s="318"/>
      <c r="AQ62" s="318">
        <f>+ROUND((AI34*(1-NB_Truck_Percentage) +AI34* NB_Truck_Percentage*Truck_Adjustment_Factor)*(1+NB_Growth_Factor),0)</f>
        <v>1060</v>
      </c>
      <c r="AR62" s="318"/>
      <c r="AS62" s="318"/>
      <c r="AT62" s="318"/>
      <c r="AU62" s="318"/>
      <c r="AV62" s="318"/>
      <c r="AW62" s="318"/>
      <c r="AX62" s="319"/>
      <c r="AY62" s="10"/>
      <c r="AZ62" s="10"/>
      <c r="BA62" s="10"/>
      <c r="BB62" s="10"/>
      <c r="BC62" s="10"/>
      <c r="BD62" s="10"/>
      <c r="BE62" s="10"/>
      <c r="BF62" s="10"/>
    </row>
    <row r="63" spans="2:58" ht="9.9499999999999993" customHeight="1" thickBot="1">
      <c r="B63" s="1"/>
      <c r="C63" s="174"/>
      <c r="D63" s="174"/>
      <c r="E63" s="9"/>
      <c r="F63" s="9"/>
      <c r="G63" s="9"/>
      <c r="H63" s="9"/>
      <c r="I63" s="9"/>
      <c r="J63" s="9"/>
      <c r="K63" s="9"/>
      <c r="L63" s="9"/>
      <c r="M63" s="257"/>
      <c r="N63" s="258"/>
      <c r="O63" s="258"/>
      <c r="P63" s="258"/>
      <c r="Q63" s="258"/>
      <c r="R63" s="344"/>
      <c r="S63" s="347"/>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6"/>
      <c r="AY63" s="10"/>
      <c r="AZ63" s="10"/>
      <c r="BA63" s="10"/>
      <c r="BB63" s="10"/>
      <c r="BC63" s="10"/>
      <c r="BD63" s="10"/>
      <c r="BE63" s="10"/>
      <c r="BF63" s="10"/>
    </row>
    <row r="64" spans="2:58" ht="9.9499999999999993" customHeight="1">
      <c r="B64" s="1"/>
      <c r="C64" s="174"/>
      <c r="D64" s="174"/>
      <c r="E64" s="11"/>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row>
    <row r="65" spans="2:61" ht="9.9499999999999993" customHeight="1">
      <c r="B65" s="1"/>
      <c r="C65" s="174"/>
      <c r="D65" s="174"/>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174"/>
      <c r="BH65" s="174"/>
      <c r="BI65" s="177"/>
    </row>
    <row r="66" spans="2:61"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row>
    <row r="67" spans="2:61" ht="9.9499999999999993" customHeight="1">
      <c r="B67" s="1"/>
      <c r="C67" s="174"/>
      <c r="D67" s="174"/>
      <c r="E67" s="341" t="s">
        <v>30</v>
      </c>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3"/>
      <c r="BG67" s="174"/>
      <c r="BH67" s="174"/>
      <c r="BI67" s="177"/>
    </row>
    <row r="68" spans="2:61" ht="9.9499999999999993" customHeight="1">
      <c r="B68" s="1"/>
      <c r="C68" s="174"/>
      <c r="D68" s="174"/>
      <c r="E68" s="339" t="s">
        <v>31</v>
      </c>
      <c r="F68" s="339"/>
      <c r="G68" s="339"/>
      <c r="H68" s="339"/>
      <c r="I68" s="339"/>
      <c r="J68" s="339"/>
      <c r="K68" s="339"/>
      <c r="L68" s="339"/>
      <c r="M68" s="339"/>
      <c r="N68" s="339"/>
      <c r="O68" s="339"/>
      <c r="P68" s="339"/>
      <c r="Q68" s="339"/>
      <c r="R68" s="339"/>
      <c r="S68" s="339"/>
      <c r="T68" s="339"/>
      <c r="U68" s="339"/>
      <c r="V68" s="339"/>
      <c r="W68" s="340" t="s">
        <v>32</v>
      </c>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0"/>
      <c r="BD68" s="340"/>
      <c r="BE68" s="340"/>
      <c r="BF68" s="340"/>
      <c r="BG68" s="174"/>
      <c r="BH68" s="174"/>
      <c r="BI68" s="177"/>
    </row>
    <row r="69" spans="2:61" ht="9.9499999999999993" customHeight="1">
      <c r="B69" s="1"/>
      <c r="C69" s="174"/>
      <c r="D69" s="174"/>
      <c r="E69" s="339" t="s">
        <v>33</v>
      </c>
      <c r="F69" s="339"/>
      <c r="G69" s="339"/>
      <c r="H69" s="339"/>
      <c r="I69" s="339"/>
      <c r="J69" s="339"/>
      <c r="K69" s="339"/>
      <c r="L69" s="339"/>
      <c r="M69" s="339"/>
      <c r="N69" s="339"/>
      <c r="O69" s="339"/>
      <c r="P69" s="339"/>
      <c r="Q69" s="339"/>
      <c r="R69" s="339"/>
      <c r="S69" s="339"/>
      <c r="T69" s="339"/>
      <c r="U69" s="339"/>
      <c r="V69" s="339"/>
      <c r="W69" s="340" t="s">
        <v>34</v>
      </c>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c r="AW69" s="340"/>
      <c r="AX69" s="340"/>
      <c r="AY69" s="340"/>
      <c r="AZ69" s="340"/>
      <c r="BA69" s="340"/>
      <c r="BB69" s="340"/>
      <c r="BC69" s="340"/>
      <c r="BD69" s="340"/>
      <c r="BE69" s="340"/>
      <c r="BF69" s="340"/>
      <c r="BG69" s="174"/>
      <c r="BH69" s="174"/>
      <c r="BI69" s="177"/>
    </row>
    <row r="70" spans="2:61" ht="9.9499999999999993" customHeight="1">
      <c r="B70" s="1"/>
      <c r="C70" s="174"/>
      <c r="D70" s="174"/>
      <c r="E70" s="339" t="s">
        <v>35</v>
      </c>
      <c r="F70" s="339"/>
      <c r="G70" s="339"/>
      <c r="H70" s="339"/>
      <c r="I70" s="339"/>
      <c r="J70" s="339"/>
      <c r="K70" s="339"/>
      <c r="L70" s="339"/>
      <c r="M70" s="339"/>
      <c r="N70" s="339"/>
      <c r="O70" s="339"/>
      <c r="P70" s="339"/>
      <c r="Q70" s="339"/>
      <c r="R70" s="339"/>
      <c r="S70" s="339"/>
      <c r="T70" s="339"/>
      <c r="U70" s="339"/>
      <c r="V70" s="339"/>
      <c r="W70" s="340" t="s">
        <v>36</v>
      </c>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0"/>
      <c r="BD70" s="340"/>
      <c r="BE70" s="340"/>
      <c r="BF70" s="340"/>
      <c r="BG70" s="174"/>
      <c r="BH70" s="174"/>
      <c r="BI70" s="177"/>
    </row>
    <row r="71" spans="2:61" ht="9.9499999999999993" customHeight="1">
      <c r="B71" s="1"/>
      <c r="C71" s="174"/>
      <c r="D71" s="174"/>
      <c r="E71" s="339" t="s">
        <v>26</v>
      </c>
      <c r="F71" s="339"/>
      <c r="G71" s="339"/>
      <c r="H71" s="339"/>
      <c r="I71" s="339"/>
      <c r="J71" s="339"/>
      <c r="K71" s="339"/>
      <c r="L71" s="339"/>
      <c r="M71" s="339"/>
      <c r="N71" s="339"/>
      <c r="O71" s="339"/>
      <c r="P71" s="339"/>
      <c r="Q71" s="339"/>
      <c r="R71" s="339"/>
      <c r="S71" s="339"/>
      <c r="T71" s="339"/>
      <c r="U71" s="339"/>
      <c r="V71" s="339"/>
      <c r="W71" s="340" t="s">
        <v>37</v>
      </c>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340"/>
      <c r="AX71" s="340"/>
      <c r="AY71" s="340"/>
      <c r="AZ71" s="340"/>
      <c r="BA71" s="340"/>
      <c r="BB71" s="340"/>
      <c r="BC71" s="340"/>
      <c r="BD71" s="340"/>
      <c r="BE71" s="340"/>
      <c r="BF71" s="340"/>
      <c r="BG71" s="174"/>
      <c r="BH71" s="174"/>
      <c r="BI71" s="177"/>
    </row>
    <row r="72" spans="2:61" ht="9.9499999999999993" customHeight="1">
      <c r="B72" s="1"/>
      <c r="C72" s="174"/>
      <c r="D72" s="174"/>
      <c r="E72" s="339" t="s">
        <v>38</v>
      </c>
      <c r="F72" s="339"/>
      <c r="G72" s="339"/>
      <c r="H72" s="339"/>
      <c r="I72" s="339"/>
      <c r="J72" s="339"/>
      <c r="K72" s="339"/>
      <c r="L72" s="339"/>
      <c r="M72" s="339"/>
      <c r="N72" s="339"/>
      <c r="O72" s="339"/>
      <c r="P72" s="339"/>
      <c r="Q72" s="339"/>
      <c r="R72" s="339"/>
      <c r="S72" s="339"/>
      <c r="T72" s="339"/>
      <c r="U72" s="339"/>
      <c r="V72" s="339"/>
      <c r="W72" s="340" t="s">
        <v>39</v>
      </c>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340"/>
      <c r="AX72" s="340"/>
      <c r="AY72" s="340"/>
      <c r="AZ72" s="340"/>
      <c r="BA72" s="340"/>
      <c r="BB72" s="340"/>
      <c r="BC72" s="340"/>
      <c r="BD72" s="340"/>
      <c r="BE72" s="340"/>
      <c r="BF72" s="340"/>
      <c r="BG72" s="174"/>
      <c r="BH72" s="174"/>
      <c r="BI72" s="177"/>
    </row>
    <row r="73" spans="2:61"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row>
    <row r="74" spans="2:61" ht="9.9499999999999993" customHeight="1" thickBot="1">
      <c r="B74" s="12"/>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71"/>
    </row>
    <row r="75" spans="2:61"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row>
    <row r="76" spans="2:61"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7"/>
    </row>
    <row r="77" spans="2:61"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7"/>
    </row>
    <row r="78" spans="2:61"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7"/>
    </row>
    <row r="79" spans="2:61"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7"/>
    </row>
    <row r="80" spans="2:61"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7"/>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 hidden="1" customHeight="1"/>
    <row r="97" ht="9" hidden="1" customHeight="1"/>
    <row r="98" ht="9" hidden="1" customHeight="1"/>
    <row r="99" ht="9" hidden="1" customHeight="1"/>
    <row r="100" ht="9" hidden="1" customHeight="1"/>
    <row r="101" ht="9" hidden="1" customHeight="1"/>
    <row r="102" ht="9" hidden="1" customHeight="1"/>
    <row r="103" ht="9" hidden="1" customHeight="1"/>
    <row r="104" ht="9" hidden="1" customHeight="1"/>
  </sheetData>
  <sheetProtection sheet="1" objects="1" scenarios="1" selectLockedCells="1"/>
  <mergeCells count="115">
    <mergeCell ref="B1:BI2"/>
    <mergeCell ref="B3:BI4"/>
    <mergeCell ref="E72:V72"/>
    <mergeCell ref="W72:BF72"/>
    <mergeCell ref="E67:BF67"/>
    <mergeCell ref="E68:V68"/>
    <mergeCell ref="W68:BF68"/>
    <mergeCell ref="E69:V69"/>
    <mergeCell ref="W69:BF69"/>
    <mergeCell ref="E70:V70"/>
    <mergeCell ref="W70:BF70"/>
    <mergeCell ref="M62:R63"/>
    <mergeCell ref="M60:R61"/>
    <mergeCell ref="AQ60:AX61"/>
    <mergeCell ref="AQ62:AX63"/>
    <mergeCell ref="AI60:AP61"/>
    <mergeCell ref="AI62:AP63"/>
    <mergeCell ref="AA60:AH61"/>
    <mergeCell ref="AA62:AH63"/>
    <mergeCell ref="E71:V71"/>
    <mergeCell ref="W71:BF71"/>
    <mergeCell ref="S60:Z61"/>
    <mergeCell ref="S62:Z63"/>
    <mergeCell ref="AI50:AP51"/>
    <mergeCell ref="AA50:AH51"/>
    <mergeCell ref="S50:Z51"/>
    <mergeCell ref="AQ52:AX55"/>
    <mergeCell ref="AQ56:AX57"/>
    <mergeCell ref="AQ58:AX59"/>
    <mergeCell ref="M46:AX47"/>
    <mergeCell ref="S48:AX49"/>
    <mergeCell ref="AI56:AP57"/>
    <mergeCell ref="AI58:AP59"/>
    <mergeCell ref="AA56:AH57"/>
    <mergeCell ref="AA58:AH59"/>
    <mergeCell ref="S56:Z57"/>
    <mergeCell ref="M58:R59"/>
    <mergeCell ref="M56:R57"/>
    <mergeCell ref="M48:R55"/>
    <mergeCell ref="S58:Z59"/>
    <mergeCell ref="S52:Z55"/>
    <mergeCell ref="AA52:AH55"/>
    <mergeCell ref="AI52:AP55"/>
    <mergeCell ref="AQ50:AX51"/>
    <mergeCell ref="E36:J37"/>
    <mergeCell ref="K36:R37"/>
    <mergeCell ref="K38:R39"/>
    <mergeCell ref="E38:J39"/>
    <mergeCell ref="E40:AH41"/>
    <mergeCell ref="AI40:AT41"/>
    <mergeCell ref="AU40:BF41"/>
    <mergeCell ref="E42:AH43"/>
    <mergeCell ref="AI42:BF43"/>
    <mergeCell ref="E34:J35"/>
    <mergeCell ref="E32:J33"/>
    <mergeCell ref="K32:R33"/>
    <mergeCell ref="K34:R35"/>
    <mergeCell ref="S32:Z33"/>
    <mergeCell ref="S34:Z35"/>
    <mergeCell ref="AA32:AH33"/>
    <mergeCell ref="AA34:AH35"/>
    <mergeCell ref="AI32:AP33"/>
    <mergeCell ref="AI34:AP35"/>
    <mergeCell ref="E20:J27"/>
    <mergeCell ref="E28:J29"/>
    <mergeCell ref="E30:J31"/>
    <mergeCell ref="K30:R31"/>
    <mergeCell ref="AQ30:AX31"/>
    <mergeCell ref="K20:AP21"/>
    <mergeCell ref="AQ20:BF21"/>
    <mergeCell ref="S30:Z31"/>
    <mergeCell ref="AA30:AH31"/>
    <mergeCell ref="AI30:AP31"/>
    <mergeCell ref="S28:Z29"/>
    <mergeCell ref="AA28:AH29"/>
    <mergeCell ref="AI28:AP29"/>
    <mergeCell ref="E8:L9"/>
    <mergeCell ref="M8:BF9"/>
    <mergeCell ref="E10:L11"/>
    <mergeCell ref="M10:BF11"/>
    <mergeCell ref="K22:R23"/>
    <mergeCell ref="K24:R27"/>
    <mergeCell ref="K28:R29"/>
    <mergeCell ref="S22:Z23"/>
    <mergeCell ref="AA22:AH23"/>
    <mergeCell ref="AI22:AP23"/>
    <mergeCell ref="AQ22:AX23"/>
    <mergeCell ref="AY22:BF23"/>
    <mergeCell ref="AY24:BF27"/>
    <mergeCell ref="AQ24:AX27"/>
    <mergeCell ref="AY28:BF29"/>
    <mergeCell ref="S24:Z27"/>
    <mergeCell ref="AA24:AH27"/>
    <mergeCell ref="AI24:AP27"/>
    <mergeCell ref="AQ28:AX29"/>
    <mergeCell ref="E12:L13"/>
    <mergeCell ref="M12:BF13"/>
    <mergeCell ref="E14:L15"/>
    <mergeCell ref="M14:BF15"/>
    <mergeCell ref="E18:BF19"/>
    <mergeCell ref="AQ32:AX33"/>
    <mergeCell ref="AQ34:AX35"/>
    <mergeCell ref="AY30:BF31"/>
    <mergeCell ref="AY32:BF33"/>
    <mergeCell ref="AY34:BF35"/>
    <mergeCell ref="AI36:AP37"/>
    <mergeCell ref="AI38:AP39"/>
    <mergeCell ref="S36:Z37"/>
    <mergeCell ref="S38:Z39"/>
    <mergeCell ref="AA36:AH37"/>
    <mergeCell ref="AA38:AH39"/>
    <mergeCell ref="AQ36:AX37"/>
    <mergeCell ref="AY36:BF37"/>
    <mergeCell ref="AQ38:AX39"/>
    <mergeCell ref="AY38:BF39"/>
  </mergeCells>
  <pageMargins left="0.25" right="0.25" top="0.5" bottom="0.5" header="0.3" footer="0.3"/>
  <pageSetup orientation="portrait" r:id="rId1"/>
  <headerFooter>
    <oddFooter>&amp;CCapacity Analysis for Planning of Junctions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theme="6" tint="0.39997558519241921"/>
  </sheetPr>
  <dimension ref="A1:HL157"/>
  <sheetViews>
    <sheetView showGridLines="0" showRowColHeaders="0" zoomScale="90" zoomScaleNormal="90" zoomScaleSheetLayoutView="100" zoomScalePageLayoutView="85" workbookViewId="0">
      <selection activeCell="BQ26" sqref="BQ26"/>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162</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162</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4"/>
      <c r="BR6" s="4"/>
      <c r="BS6" s="4"/>
      <c r="BT6" s="54"/>
      <c r="BU6" s="54"/>
      <c r="BV6" s="5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4"/>
      <c r="BR7" s="4"/>
      <c r="BS7" s="4"/>
      <c r="BT7" s="16"/>
      <c r="BU7" s="16"/>
      <c r="BV7" s="16"/>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4"/>
      <c r="BR8" s="4"/>
      <c r="BS8" s="4"/>
      <c r="BT8" s="16"/>
      <c r="BU8" s="16"/>
      <c r="BV8" s="16"/>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4"/>
      <c r="BR9" s="4"/>
      <c r="BS9" s="4"/>
      <c r="BT9" s="4"/>
      <c r="BU9" s="4"/>
      <c r="BV9" s="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MAX(ROUND(AW19/CLV_Limit,2),ROUND(D64/CLV_Limit,2))</f>
        <v>0.95</v>
      </c>
      <c r="AX10" s="706"/>
      <c r="AY10" s="706"/>
      <c r="AZ10" s="706"/>
      <c r="BA10" s="706"/>
      <c r="BB10" s="706"/>
      <c r="BC10" s="706"/>
      <c r="BD10" s="706"/>
      <c r="BE10" s="706"/>
      <c r="BF10" s="706"/>
      <c r="BG10" s="706"/>
      <c r="BH10" s="707"/>
      <c r="BI10" s="177"/>
      <c r="BK10" s="174"/>
      <c r="BL10" s="1"/>
      <c r="BM10" s="174"/>
      <c r="BN10" s="174"/>
      <c r="BO10" s="174"/>
      <c r="BP10" s="174"/>
      <c r="BQ10" s="16"/>
      <c r="BR10" s="16"/>
      <c r="BS10" s="16"/>
      <c r="BT10" s="4"/>
      <c r="BU10" s="4"/>
      <c r="BV10" s="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22"/>
      <c r="BR11" s="22"/>
      <c r="BS11" s="22"/>
      <c r="BT11" s="4"/>
      <c r="BU11" s="4"/>
      <c r="BV11" s="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54"/>
      <c r="BR12" s="54"/>
      <c r="BS12" s="54"/>
      <c r="BT12" s="4"/>
      <c r="BU12" s="4"/>
      <c r="BV12" s="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54"/>
      <c r="BR13" s="54"/>
      <c r="BS13" s="54"/>
      <c r="BT13" s="54"/>
      <c r="BU13" s="54"/>
      <c r="BV13" s="54"/>
      <c r="BW13" s="54"/>
      <c r="BX13" s="54"/>
      <c r="BY13" s="5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6"/>
      <c r="BR14" s="16"/>
      <c r="BS14" s="16"/>
      <c r="BT14" s="16"/>
      <c r="BU14" s="16"/>
      <c r="BV14" s="16"/>
      <c r="BW14" s="16"/>
      <c r="BX14" s="16"/>
      <c r="BY14" s="16"/>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6"/>
      <c r="BR15" s="16"/>
      <c r="BS15" s="16"/>
      <c r="BT15" s="16"/>
      <c r="BU15" s="16"/>
      <c r="BV15" s="16"/>
      <c r="BW15" s="16"/>
      <c r="BX15" s="16"/>
      <c r="BY15" s="16"/>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4"/>
      <c r="BR16" s="4"/>
      <c r="BS16" s="4"/>
      <c r="BT16" s="4"/>
      <c r="BU16" s="4"/>
      <c r="BV16" s="4"/>
      <c r="BW16" s="4"/>
      <c r="BX16" s="4"/>
      <c r="BY16" s="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4"/>
      <c r="BR17" s="4"/>
      <c r="BS17" s="4"/>
      <c r="BT17" s="4"/>
      <c r="BU17" s="4"/>
      <c r="BV17" s="4"/>
      <c r="BW17" s="4"/>
      <c r="BX17" s="4"/>
      <c r="BY17" s="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4"/>
      <c r="BR18" s="4"/>
      <c r="BS18" s="4"/>
      <c r="BT18" s="4"/>
      <c r="BU18" s="4"/>
      <c r="BV18" s="4"/>
      <c r="BW18" s="4"/>
      <c r="BX18" s="4"/>
      <c r="BY18" s="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74"/>
      <c r="AI19" s="174"/>
      <c r="AJ19" s="174"/>
      <c r="AK19" s="174"/>
      <c r="AL19" s="174"/>
      <c r="AM19" s="174"/>
      <c r="AN19" s="174"/>
      <c r="AO19" s="174"/>
      <c r="AP19" s="174"/>
      <c r="AQ19" s="174"/>
      <c r="AR19" s="174"/>
      <c r="AS19" s="174"/>
      <c r="AT19" s="174"/>
      <c r="AU19" s="174"/>
      <c r="AV19" s="174"/>
      <c r="AW19" s="728">
        <f>CY35</f>
        <v>1142.3157894736842</v>
      </c>
      <c r="AX19" s="861"/>
      <c r="AY19" s="861"/>
      <c r="AZ19" s="861"/>
      <c r="BA19" s="861"/>
      <c r="BB19" s="861"/>
      <c r="BC19" s="861"/>
      <c r="BD19" s="861"/>
      <c r="BE19" s="861"/>
      <c r="BF19" s="862"/>
      <c r="BG19" s="174"/>
      <c r="BH19" s="174"/>
      <c r="BI19" s="177"/>
      <c r="BK19" s="174"/>
      <c r="BL19" s="1"/>
      <c r="BM19" s="174"/>
      <c r="BN19" s="174"/>
      <c r="BO19" s="174"/>
      <c r="BP19" s="174"/>
      <c r="BQ19" s="4"/>
      <c r="BR19" s="4"/>
      <c r="BS19" s="4"/>
      <c r="BT19" s="4"/>
      <c r="BU19" s="4"/>
      <c r="BV19" s="4"/>
      <c r="BW19" s="4"/>
      <c r="BX19" s="4"/>
      <c r="BY19" s="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74"/>
      <c r="AI20" s="174"/>
      <c r="AJ20" s="174"/>
      <c r="AK20" s="174"/>
      <c r="AL20" s="174"/>
      <c r="AM20" s="174"/>
      <c r="AN20" s="174"/>
      <c r="AO20" s="174"/>
      <c r="AP20" s="174"/>
      <c r="AQ20" s="174"/>
      <c r="AR20" s="174"/>
      <c r="AS20" s="174"/>
      <c r="AT20" s="174"/>
      <c r="AU20" s="174"/>
      <c r="AV20" s="174"/>
      <c r="AW20" s="863"/>
      <c r="AX20" s="864"/>
      <c r="AY20" s="864"/>
      <c r="AZ20" s="864"/>
      <c r="BA20" s="864"/>
      <c r="BB20" s="864"/>
      <c r="BC20" s="864"/>
      <c r="BD20" s="864"/>
      <c r="BE20" s="864"/>
      <c r="BF20" s="865"/>
      <c r="BG20" s="174"/>
      <c r="BH20" s="174"/>
      <c r="BI20" s="177"/>
      <c r="BK20" s="174"/>
      <c r="BL20" s="1"/>
      <c r="BM20" s="174"/>
      <c r="BN20" s="174"/>
      <c r="BO20" s="174"/>
      <c r="BP20" s="174"/>
      <c r="BQ20" s="4"/>
      <c r="BR20" s="4"/>
      <c r="BS20" s="4"/>
      <c r="BT20" s="4"/>
      <c r="BU20" s="4"/>
      <c r="BV20" s="4"/>
      <c r="BW20" s="4"/>
      <c r="BX20" s="4"/>
      <c r="BY20" s="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thickBo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74"/>
      <c r="AI21" s="174"/>
      <c r="AJ21" s="174"/>
      <c r="AK21" s="174"/>
      <c r="AL21" s="174"/>
      <c r="AM21" s="174"/>
      <c r="AN21" s="174"/>
      <c r="AO21" s="174"/>
      <c r="AP21" s="174"/>
      <c r="AQ21" s="174"/>
      <c r="AR21" s="174"/>
      <c r="AS21" s="174"/>
      <c r="AT21" s="174"/>
      <c r="AU21" s="174"/>
      <c r="AV21" s="174"/>
      <c r="AW21" s="866"/>
      <c r="AX21" s="867"/>
      <c r="AY21" s="867"/>
      <c r="AZ21" s="867"/>
      <c r="BA21" s="867"/>
      <c r="BB21" s="867"/>
      <c r="BC21" s="867"/>
      <c r="BD21" s="867"/>
      <c r="BE21" s="867"/>
      <c r="BF21" s="868"/>
      <c r="BG21" s="174"/>
      <c r="BH21" s="174"/>
      <c r="BI21" s="177"/>
      <c r="BK21" s="174"/>
      <c r="BL21" s="1"/>
      <c r="BM21" s="174"/>
      <c r="BN21" s="174"/>
      <c r="BO21" s="174"/>
      <c r="BP21" s="174"/>
      <c r="BQ21" s="4"/>
      <c r="BR21" s="4"/>
      <c r="BS21" s="4"/>
      <c r="BT21" s="4"/>
      <c r="BU21" s="4"/>
      <c r="BV21" s="4"/>
      <c r="BW21" s="4"/>
      <c r="BX21" s="4"/>
      <c r="BY21" s="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74"/>
      <c r="K22" s="174"/>
      <c r="L22" s="174"/>
      <c r="M22" s="174"/>
      <c r="N22" s="174"/>
      <c r="O22" s="174"/>
      <c r="P22" s="27"/>
      <c r="Q22" s="174"/>
      <c r="R22" s="174"/>
      <c r="S22" s="174"/>
      <c r="T22" s="174"/>
      <c r="U22" s="174"/>
      <c r="V22" s="174"/>
      <c r="W22" s="174"/>
      <c r="X22" s="174"/>
      <c r="Y22" s="174"/>
      <c r="Z22" s="14"/>
      <c r="AA22" s="14"/>
      <c r="AB22" s="14"/>
      <c r="AC22" s="14"/>
      <c r="AD22" s="14"/>
      <c r="AE22" s="14"/>
      <c r="AF22" s="14"/>
      <c r="AG22" s="14"/>
      <c r="AH22" s="174"/>
      <c r="AI22" s="174"/>
      <c r="AJ22" s="174"/>
      <c r="AK22" s="174"/>
      <c r="AL22" s="174"/>
      <c r="AM22" s="174"/>
      <c r="AN22" s="174"/>
      <c r="AO22" s="174"/>
      <c r="AP22" s="174"/>
      <c r="AQ22" s="174"/>
      <c r="AR22" s="174"/>
      <c r="AS22" s="174"/>
      <c r="AT22" s="174"/>
      <c r="AU22" s="174"/>
      <c r="AV22" s="174"/>
      <c r="AW22" s="713">
        <f>ROUND(AW19/CLV_Limit,2)</f>
        <v>0.71</v>
      </c>
      <c r="AX22" s="714"/>
      <c r="AY22" s="714"/>
      <c r="AZ22" s="714"/>
      <c r="BA22" s="715"/>
      <c r="BB22" s="722" t="s">
        <v>100</v>
      </c>
      <c r="BC22" s="722"/>
      <c r="BD22" s="722"/>
      <c r="BE22" s="722"/>
      <c r="BF22" s="723"/>
      <c r="BG22" s="174"/>
      <c r="BH22" s="174"/>
      <c r="BI22" s="177"/>
      <c r="BK22" s="174"/>
      <c r="BL22" s="1"/>
      <c r="BM22" s="174"/>
      <c r="BN22" s="174"/>
      <c r="BO22" s="174"/>
      <c r="BP22" s="174"/>
      <c r="BQ22" s="4"/>
      <c r="BR22" s="4"/>
      <c r="BS22" s="4"/>
      <c r="BT22" s="4"/>
      <c r="BU22" s="4"/>
      <c r="BV22" s="4"/>
      <c r="BW22" s="4"/>
      <c r="BX22" s="4"/>
      <c r="BY22" s="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c r="B23" s="1"/>
      <c r="C23" s="174"/>
      <c r="D23" s="174"/>
      <c r="E23" s="29"/>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74"/>
      <c r="AI23" s="174"/>
      <c r="AJ23" s="174"/>
      <c r="AK23" s="174"/>
      <c r="AL23" s="174"/>
      <c r="AM23" s="174"/>
      <c r="AN23" s="174"/>
      <c r="AO23" s="174"/>
      <c r="AP23" s="174"/>
      <c r="AQ23" s="174"/>
      <c r="AR23" s="174"/>
      <c r="AS23" s="174"/>
      <c r="AT23" s="174"/>
      <c r="AU23" s="174"/>
      <c r="AV23" s="174"/>
      <c r="AW23" s="716"/>
      <c r="AX23" s="717"/>
      <c r="AY23" s="717"/>
      <c r="AZ23" s="717"/>
      <c r="BA23" s="718"/>
      <c r="BB23" s="724"/>
      <c r="BC23" s="724"/>
      <c r="BD23" s="724"/>
      <c r="BE23" s="724"/>
      <c r="BF23" s="725"/>
      <c r="BG23" s="14"/>
      <c r="BH23" s="174"/>
      <c r="BI23" s="177"/>
      <c r="BK23" s="174"/>
      <c r="BL23" s="1"/>
      <c r="BM23" s="174"/>
      <c r="BN23" s="174"/>
      <c r="BO23" s="174"/>
      <c r="BP23" s="174"/>
      <c r="BQ23" s="4"/>
      <c r="BR23" s="4"/>
      <c r="BS23" s="4"/>
      <c r="BT23" s="4"/>
      <c r="BU23" s="4"/>
      <c r="BV23" s="4"/>
      <c r="BW23" s="4"/>
      <c r="BX23" s="4"/>
      <c r="BY23" s="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28"/>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74"/>
      <c r="AI24" s="174"/>
      <c r="AJ24" s="174"/>
      <c r="AK24" s="174"/>
      <c r="AL24" s="174"/>
      <c r="AM24" s="174"/>
      <c r="AN24" s="174"/>
      <c r="AO24" s="174"/>
      <c r="AP24" s="174"/>
      <c r="AQ24" s="174"/>
      <c r="AR24" s="174"/>
      <c r="AS24" s="174"/>
      <c r="AT24" s="174"/>
      <c r="AU24" s="174"/>
      <c r="AV24" s="174"/>
      <c r="AW24" s="719"/>
      <c r="AX24" s="720"/>
      <c r="AY24" s="720"/>
      <c r="AZ24" s="720"/>
      <c r="BA24" s="721"/>
      <c r="BB24" s="726"/>
      <c r="BC24" s="726"/>
      <c r="BD24" s="726"/>
      <c r="BE24" s="726"/>
      <c r="BF24" s="727"/>
      <c r="BG24" s="14"/>
      <c r="BH24" s="174"/>
      <c r="BI24" s="177"/>
      <c r="BK24" s="174"/>
      <c r="BL24" s="1"/>
      <c r="BM24" s="174"/>
      <c r="BN24" s="174"/>
      <c r="BO24" s="174"/>
      <c r="BP24" s="174"/>
      <c r="BQ24" s="16"/>
      <c r="BR24" s="16"/>
      <c r="BS24" s="16"/>
      <c r="BT24" s="16"/>
      <c r="BU24" s="16"/>
      <c r="BV24" s="16"/>
      <c r="BW24" s="16"/>
      <c r="BX24" s="16"/>
      <c r="BY24" s="16"/>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28"/>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7"/>
      <c r="BK25" s="174"/>
      <c r="BL25" s="1"/>
      <c r="BM25" s="174"/>
      <c r="BN25" s="174"/>
      <c r="BO25" s="174"/>
      <c r="BP25" s="174"/>
      <c r="BQ25" s="22"/>
      <c r="BR25" s="22"/>
      <c r="BS25" s="22"/>
      <c r="BT25" s="22"/>
      <c r="BU25" s="22"/>
      <c r="BV25" s="22"/>
      <c r="BW25" s="22"/>
      <c r="BX25" s="22"/>
      <c r="BY25" s="22"/>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c r="B26" s="1"/>
      <c r="C26" s="174"/>
      <c r="D26" s="174"/>
      <c r="E26" s="27"/>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7"/>
      <c r="BK26" s="174"/>
      <c r="BL26" s="1"/>
      <c r="BM26" s="174"/>
      <c r="BN26" s="174"/>
      <c r="BO26" s="174"/>
      <c r="BP26" s="174"/>
      <c r="BQ26" s="54"/>
      <c r="BR26" s="54"/>
      <c r="BS26" s="54"/>
      <c r="BT26" s="54"/>
      <c r="BU26" s="54"/>
      <c r="BV26" s="54"/>
      <c r="BW26" s="54"/>
      <c r="BX26" s="54"/>
      <c r="BY26" s="5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910">
        <v>1</v>
      </c>
      <c r="DJ26" s="940">
        <f>WBR_Master</f>
        <v>625</v>
      </c>
      <c r="DK26" s="943" t="s">
        <v>99</v>
      </c>
      <c r="DL26" s="789"/>
      <c r="DM26" s="789"/>
      <c r="DN26" s="789"/>
      <c r="DO26" s="812"/>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4"/>
      <c r="CZ27" s="174"/>
      <c r="DA27" s="174"/>
      <c r="DB27" s="174"/>
      <c r="DC27" s="174"/>
      <c r="DD27" s="174"/>
      <c r="DE27" s="174"/>
      <c r="DF27" s="174"/>
      <c r="DG27" s="174"/>
      <c r="DH27" s="174"/>
      <c r="DI27" s="911"/>
      <c r="DJ27" s="941"/>
      <c r="DK27" s="944"/>
      <c r="DL27" s="791"/>
      <c r="DM27" s="791"/>
      <c r="DN27" s="791"/>
      <c r="DO27" s="813"/>
      <c r="DP27" s="174"/>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174"/>
      <c r="DF28" s="174"/>
      <c r="DG28" s="174"/>
      <c r="DH28" s="174"/>
      <c r="DI28" s="957"/>
      <c r="DJ28" s="966"/>
      <c r="DK28" s="967"/>
      <c r="DL28" s="825"/>
      <c r="DM28" s="825"/>
      <c r="DN28" s="825"/>
      <c r="DO28" s="832"/>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56"/>
      <c r="BX29" s="175"/>
      <c r="BY29" s="175"/>
      <c r="BZ29" s="175"/>
      <c r="CA29" s="175"/>
      <c r="CB29" s="175"/>
      <c r="CC29" s="175"/>
      <c r="CD29" s="175"/>
      <c r="CE29" s="175"/>
      <c r="CF29" s="175"/>
      <c r="CG29" s="175"/>
      <c r="CH29" s="176"/>
      <c r="CI29" s="174"/>
      <c r="CJ29" s="174"/>
      <c r="CK29" s="174"/>
      <c r="CL29" s="174"/>
      <c r="CM29" s="174"/>
      <c r="CN29" s="174"/>
      <c r="CO29" s="174"/>
      <c r="CP29" s="788"/>
      <c r="CQ29" s="789"/>
      <c r="CR29" s="789"/>
      <c r="CS29" s="789"/>
      <c r="CT29" s="948" t="s">
        <v>99</v>
      </c>
      <c r="CU29" s="949">
        <f>BU35</f>
        <v>899</v>
      </c>
      <c r="CV29" s="950">
        <v>1</v>
      </c>
      <c r="CW29" s="56"/>
      <c r="CX29" s="175"/>
      <c r="CY29" s="175"/>
      <c r="CZ29" s="175"/>
      <c r="DA29" s="175"/>
      <c r="DB29" s="175"/>
      <c r="DC29" s="175"/>
      <c r="DD29" s="175"/>
      <c r="DE29" s="175"/>
      <c r="DF29" s="175"/>
      <c r="DG29" s="175"/>
      <c r="DH29" s="176"/>
      <c r="DI29" s="910">
        <v>3</v>
      </c>
      <c r="DJ29" s="1083">
        <f>WBT_Master</f>
        <v>0</v>
      </c>
      <c r="DK29" s="1073" t="s">
        <v>99</v>
      </c>
      <c r="DL29" s="1136"/>
      <c r="DM29" s="1136"/>
      <c r="DN29" s="1136"/>
      <c r="DO29" s="1137"/>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58"/>
      <c r="BX30" s="109"/>
      <c r="BY30" s="109"/>
      <c r="BZ30" s="109"/>
      <c r="CA30" s="109"/>
      <c r="CB30" s="109"/>
      <c r="CC30" s="109"/>
      <c r="CD30" s="109"/>
      <c r="CE30" s="109"/>
      <c r="CF30" s="109"/>
      <c r="CG30" s="109"/>
      <c r="CH30" s="60"/>
      <c r="CI30" s="174"/>
      <c r="CJ30" s="174"/>
      <c r="CK30" s="174"/>
      <c r="CL30" s="174"/>
      <c r="CM30" s="174"/>
      <c r="CN30" s="174"/>
      <c r="CO30" s="174"/>
      <c r="CP30" s="790"/>
      <c r="CQ30" s="791"/>
      <c r="CR30" s="791"/>
      <c r="CS30" s="791"/>
      <c r="CT30" s="932"/>
      <c r="CU30" s="935"/>
      <c r="CV30" s="938"/>
      <c r="CW30" s="58"/>
      <c r="CX30" s="109"/>
      <c r="CY30" s="109"/>
      <c r="CZ30" s="109"/>
      <c r="DA30" s="109"/>
      <c r="DB30" s="109"/>
      <c r="DC30" s="109"/>
      <c r="DD30" s="109"/>
      <c r="DE30" s="109"/>
      <c r="DF30" s="109"/>
      <c r="DG30" s="109"/>
      <c r="DH30" s="60"/>
      <c r="DI30" s="911"/>
      <c r="DJ30" s="1083"/>
      <c r="DK30" s="1073"/>
      <c r="DL30" s="1136"/>
      <c r="DM30" s="1136"/>
      <c r="DN30" s="1136"/>
      <c r="DO30" s="1137"/>
      <c r="DP30" s="174"/>
      <c r="DQ30" s="174"/>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4"/>
      <c r="BH31" s="174"/>
      <c r="BI31" s="177"/>
      <c r="BK31" s="174"/>
      <c r="BL31" s="1"/>
      <c r="BM31" s="174"/>
      <c r="BN31" s="174"/>
      <c r="BO31" s="174"/>
      <c r="BP31" s="174"/>
      <c r="BQ31" s="174"/>
      <c r="BR31" s="174"/>
      <c r="BS31" s="174"/>
      <c r="BT31" s="174"/>
      <c r="BU31" s="174"/>
      <c r="BV31" s="174"/>
      <c r="BW31" s="58"/>
      <c r="BX31" s="109"/>
      <c r="BY31" s="109"/>
      <c r="BZ31" s="109"/>
      <c r="CA31" s="109"/>
      <c r="CB31" s="109"/>
      <c r="CC31" s="109"/>
      <c r="CD31" s="109"/>
      <c r="CE31" s="109"/>
      <c r="CF31" s="109"/>
      <c r="CG31" s="109"/>
      <c r="CH31" s="60"/>
      <c r="CI31" s="174"/>
      <c r="CJ31" s="174"/>
      <c r="CK31" s="174"/>
      <c r="CL31" s="174"/>
      <c r="CM31" s="174"/>
      <c r="CN31" s="174"/>
      <c r="CO31" s="174"/>
      <c r="CP31" s="824"/>
      <c r="CQ31" s="825"/>
      <c r="CR31" s="825"/>
      <c r="CS31" s="825"/>
      <c r="CT31" s="963"/>
      <c r="CU31" s="964"/>
      <c r="CV31" s="965"/>
      <c r="CW31" s="58"/>
      <c r="CX31" s="109"/>
      <c r="CY31" s="109"/>
      <c r="CZ31" s="109"/>
      <c r="DA31" s="109"/>
      <c r="DB31" s="109"/>
      <c r="DC31" s="109"/>
      <c r="DD31" s="109"/>
      <c r="DE31" s="109"/>
      <c r="DF31" s="109"/>
      <c r="DG31" s="109"/>
      <c r="DH31" s="60"/>
      <c r="DI31" s="911"/>
      <c r="DJ31" s="1083"/>
      <c r="DK31" s="1073"/>
      <c r="DL31" s="1136"/>
      <c r="DM31" s="1136"/>
      <c r="DN31" s="1136"/>
      <c r="DO31" s="1137"/>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58"/>
      <c r="BX32" s="109"/>
      <c r="BY32" s="763"/>
      <c r="BZ32" s="764"/>
      <c r="CA32" s="764"/>
      <c r="CB32" s="764"/>
      <c r="CC32" s="764"/>
      <c r="CD32" s="764"/>
      <c r="CE32" s="764"/>
      <c r="CF32" s="771"/>
      <c r="CG32" s="109"/>
      <c r="CH32" s="60"/>
      <c r="CI32" s="174"/>
      <c r="CJ32" s="174"/>
      <c r="CK32" s="174"/>
      <c r="CL32" s="174"/>
      <c r="CM32" s="174"/>
      <c r="CN32" s="174"/>
      <c r="CO32" s="174"/>
      <c r="CP32" s="174"/>
      <c r="CQ32" s="174"/>
      <c r="CR32" s="174"/>
      <c r="CS32" s="174"/>
      <c r="CT32" s="174"/>
      <c r="CU32" s="174"/>
      <c r="CV32" s="19"/>
      <c r="CW32" s="58"/>
      <c r="CX32" s="109"/>
      <c r="CY32" s="763"/>
      <c r="CZ32" s="764"/>
      <c r="DA32" s="764"/>
      <c r="DB32" s="764"/>
      <c r="DC32" s="764"/>
      <c r="DD32" s="764"/>
      <c r="DE32" s="764"/>
      <c r="DF32" s="771"/>
      <c r="DG32" s="109"/>
      <c r="DH32" s="60"/>
      <c r="DI32" s="911"/>
      <c r="DJ32" s="940">
        <f>WBL_Master</f>
        <v>588</v>
      </c>
      <c r="DK32" s="943" t="s">
        <v>99</v>
      </c>
      <c r="DL32" s="789"/>
      <c r="DM32" s="789"/>
      <c r="DN32" s="789"/>
      <c r="DO32" s="812"/>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58"/>
      <c r="BX33" s="109"/>
      <c r="BY33" s="766"/>
      <c r="BZ33" s="767"/>
      <c r="CA33" s="767"/>
      <c r="CB33" s="767"/>
      <c r="CC33" s="767"/>
      <c r="CD33" s="767"/>
      <c r="CE33" s="767"/>
      <c r="CF33" s="772"/>
      <c r="CG33" s="109"/>
      <c r="CH33" s="60"/>
      <c r="CI33" s="174"/>
      <c r="CJ33" s="174"/>
      <c r="CK33" s="174"/>
      <c r="CL33" s="174"/>
      <c r="CM33" s="174"/>
      <c r="CN33" s="174"/>
      <c r="CO33" s="174"/>
      <c r="CP33" s="174"/>
      <c r="CQ33" s="174"/>
      <c r="CR33" s="174"/>
      <c r="CS33" s="174"/>
      <c r="CT33" s="174"/>
      <c r="CU33" s="174"/>
      <c r="CV33" s="19"/>
      <c r="CW33" s="58"/>
      <c r="CX33" s="109"/>
      <c r="CY33" s="766"/>
      <c r="CZ33" s="767"/>
      <c r="DA33" s="767"/>
      <c r="DB33" s="767"/>
      <c r="DC33" s="767"/>
      <c r="DD33" s="767"/>
      <c r="DE33" s="767"/>
      <c r="DF33" s="772"/>
      <c r="DG33" s="109"/>
      <c r="DH33" s="60"/>
      <c r="DI33" s="911"/>
      <c r="DJ33" s="941"/>
      <c r="DK33" s="944"/>
      <c r="DL33" s="791"/>
      <c r="DM33" s="791"/>
      <c r="DN33" s="791"/>
      <c r="DO33" s="813"/>
      <c r="DP33" s="174"/>
      <c r="DQ33" s="174"/>
      <c r="DR33" s="174"/>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58"/>
      <c r="BX34" s="109"/>
      <c r="BY34" s="766"/>
      <c r="BZ34" s="767"/>
      <c r="CA34" s="767"/>
      <c r="CB34" s="767"/>
      <c r="CC34" s="767"/>
      <c r="CD34" s="767"/>
      <c r="CE34" s="767"/>
      <c r="CF34" s="772"/>
      <c r="CG34" s="109"/>
      <c r="CH34" s="60"/>
      <c r="CI34" s="174"/>
      <c r="CJ34" s="174"/>
      <c r="CK34" s="174"/>
      <c r="CL34" s="174"/>
      <c r="CM34" s="174"/>
      <c r="CN34" s="174"/>
      <c r="CO34" s="174"/>
      <c r="CP34" s="174"/>
      <c r="CQ34" s="174"/>
      <c r="CR34" s="174"/>
      <c r="CS34" s="174"/>
      <c r="CT34" s="174"/>
      <c r="CU34" s="174"/>
      <c r="CV34" s="19"/>
      <c r="CW34" s="58"/>
      <c r="CX34" s="109"/>
      <c r="CY34" s="766"/>
      <c r="CZ34" s="767"/>
      <c r="DA34" s="767"/>
      <c r="DB34" s="767"/>
      <c r="DC34" s="767"/>
      <c r="DD34" s="767"/>
      <c r="DE34" s="767"/>
      <c r="DF34" s="772"/>
      <c r="DG34" s="109"/>
      <c r="DH34" s="60"/>
      <c r="DI34" s="957"/>
      <c r="DJ34" s="966"/>
      <c r="DK34" s="967"/>
      <c r="DL34" s="825"/>
      <c r="DM34" s="825"/>
      <c r="DN34" s="825"/>
      <c r="DO34" s="832"/>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788"/>
      <c r="BQ35" s="789"/>
      <c r="BR35" s="789"/>
      <c r="BS35" s="789"/>
      <c r="BT35" s="901" t="s">
        <v>99</v>
      </c>
      <c r="BU35" s="904">
        <f>EBL_Master</f>
        <v>899</v>
      </c>
      <c r="BV35" s="950">
        <v>3</v>
      </c>
      <c r="BW35" s="58"/>
      <c r="BX35" s="109"/>
      <c r="BY35" s="1833">
        <f>BU35+BU38/BV35+CJ38/LTAF/CI38</f>
        <v>1517.9473684210527</v>
      </c>
      <c r="BZ35" s="1834"/>
      <c r="CA35" s="1834"/>
      <c r="CB35" s="1834"/>
      <c r="CC35" s="1834"/>
      <c r="CD35" s="1834"/>
      <c r="CE35" s="1834"/>
      <c r="CF35" s="1835"/>
      <c r="CG35" s="109"/>
      <c r="CH35" s="60"/>
      <c r="CI35" s="174"/>
      <c r="CJ35" s="174"/>
      <c r="CK35" s="4"/>
      <c r="CL35" s="4"/>
      <c r="CM35" s="4"/>
      <c r="CN35" s="4"/>
      <c r="CO35" s="4"/>
      <c r="CP35" s="4"/>
      <c r="CQ35" s="4"/>
      <c r="CR35" s="4"/>
      <c r="CS35" s="174"/>
      <c r="CT35" s="174"/>
      <c r="CU35" s="174"/>
      <c r="CV35" s="174"/>
      <c r="CW35" s="58"/>
      <c r="CX35" s="109"/>
      <c r="CY35" s="1833">
        <f>(DJ29+DJ32)/DI29+CU29/LTAF/CV29</f>
        <v>1142.3157894736842</v>
      </c>
      <c r="CZ35" s="1834"/>
      <c r="DA35" s="1834"/>
      <c r="DB35" s="1834"/>
      <c r="DC35" s="1834"/>
      <c r="DD35" s="1834"/>
      <c r="DE35" s="1834"/>
      <c r="DF35" s="1835"/>
      <c r="DG35" s="109"/>
      <c r="DH35" s="60"/>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790"/>
      <c r="BQ36" s="791"/>
      <c r="BR36" s="791"/>
      <c r="BS36" s="791"/>
      <c r="BT36" s="902"/>
      <c r="BU36" s="905"/>
      <c r="BV36" s="938"/>
      <c r="BW36" s="58"/>
      <c r="BX36" s="109"/>
      <c r="BY36" s="1833"/>
      <c r="BZ36" s="1834"/>
      <c r="CA36" s="1834"/>
      <c r="CB36" s="1834"/>
      <c r="CC36" s="1834"/>
      <c r="CD36" s="1834"/>
      <c r="CE36" s="1834"/>
      <c r="CF36" s="1835"/>
      <c r="CG36" s="109"/>
      <c r="CH36" s="60"/>
      <c r="CI36" s="174"/>
      <c r="CJ36" s="174"/>
      <c r="CK36" s="4"/>
      <c r="CL36" s="4"/>
      <c r="CM36" s="4"/>
      <c r="CN36" s="4"/>
      <c r="CO36" s="4"/>
      <c r="CP36" s="4"/>
      <c r="CQ36" s="4"/>
      <c r="CR36" s="4"/>
      <c r="CS36" s="174"/>
      <c r="CT36" s="174"/>
      <c r="CU36" s="174"/>
      <c r="CV36" s="174"/>
      <c r="CW36" s="58"/>
      <c r="CX36" s="109"/>
      <c r="CY36" s="1833"/>
      <c r="CZ36" s="1834"/>
      <c r="DA36" s="1834"/>
      <c r="DB36" s="1834"/>
      <c r="DC36" s="1834"/>
      <c r="DD36" s="1834"/>
      <c r="DE36" s="1834"/>
      <c r="DF36" s="1835"/>
      <c r="DG36" s="109"/>
      <c r="DH36" s="60"/>
      <c r="DI36" s="174"/>
      <c r="DJ36" s="174"/>
      <c r="DK36" s="174"/>
      <c r="DL36" s="174"/>
      <c r="DM36" s="174"/>
      <c r="DN36" s="174"/>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824"/>
      <c r="BQ37" s="825"/>
      <c r="BR37" s="825"/>
      <c r="BS37" s="825"/>
      <c r="BT37" s="959"/>
      <c r="BU37" s="960"/>
      <c r="BV37" s="938"/>
      <c r="BW37" s="58"/>
      <c r="BX37" s="109"/>
      <c r="BY37" s="1836"/>
      <c r="BZ37" s="1837"/>
      <c r="CA37" s="1837"/>
      <c r="CB37" s="1837"/>
      <c r="CC37" s="1837"/>
      <c r="CD37" s="1837"/>
      <c r="CE37" s="1837"/>
      <c r="CF37" s="1838"/>
      <c r="CG37" s="109"/>
      <c r="CH37" s="60"/>
      <c r="CI37" s="174"/>
      <c r="CJ37" s="174"/>
      <c r="CK37" s="4"/>
      <c r="CL37" s="4"/>
      <c r="CM37" s="4"/>
      <c r="CN37" s="4"/>
      <c r="CO37" s="4"/>
      <c r="CP37" s="4"/>
      <c r="CQ37" s="4"/>
      <c r="CR37" s="4"/>
      <c r="CS37" s="174"/>
      <c r="CT37" s="174"/>
      <c r="CU37" s="174"/>
      <c r="CV37" s="174"/>
      <c r="CW37" s="58"/>
      <c r="CX37" s="109"/>
      <c r="CY37" s="1836"/>
      <c r="CZ37" s="1837"/>
      <c r="DA37" s="1837"/>
      <c r="DB37" s="1837"/>
      <c r="DC37" s="1837"/>
      <c r="DD37" s="1837"/>
      <c r="DE37" s="1837"/>
      <c r="DF37" s="1838"/>
      <c r="DG37" s="109"/>
      <c r="DH37" s="60"/>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139"/>
      <c r="BQ38" s="1136"/>
      <c r="BR38" s="1136"/>
      <c r="BS38" s="1136"/>
      <c r="BT38" s="1079" t="s">
        <v>99</v>
      </c>
      <c r="BU38" s="1080">
        <f>EBT_Master</f>
        <v>0</v>
      </c>
      <c r="BV38" s="938"/>
      <c r="BW38" s="58"/>
      <c r="BX38" s="109"/>
      <c r="BY38" s="109"/>
      <c r="BZ38" s="109"/>
      <c r="CA38" s="109"/>
      <c r="CB38" s="109"/>
      <c r="CC38" s="109"/>
      <c r="CD38" s="109"/>
      <c r="CE38" s="109"/>
      <c r="CF38" s="109"/>
      <c r="CG38" s="109"/>
      <c r="CH38" s="60"/>
      <c r="CI38" s="910">
        <v>1</v>
      </c>
      <c r="CJ38" s="913">
        <f>DJ32</f>
        <v>588</v>
      </c>
      <c r="CK38" s="914" t="s">
        <v>99</v>
      </c>
      <c r="CL38" s="789"/>
      <c r="CM38" s="789"/>
      <c r="CN38" s="789"/>
      <c r="CO38" s="812"/>
      <c r="CP38" s="33"/>
      <c r="CQ38" s="33"/>
      <c r="CR38" s="33"/>
      <c r="CS38" s="174"/>
      <c r="CT38" s="174"/>
      <c r="CU38" s="174"/>
      <c r="CV38" s="174"/>
      <c r="CW38" s="58"/>
      <c r="CX38" s="109"/>
      <c r="CY38" s="109"/>
      <c r="CZ38" s="109"/>
      <c r="DA38" s="109"/>
      <c r="DB38" s="109"/>
      <c r="DC38" s="109"/>
      <c r="DD38" s="109"/>
      <c r="DE38" s="109"/>
      <c r="DF38" s="109"/>
      <c r="DG38" s="109"/>
      <c r="DH38" s="60"/>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139"/>
      <c r="BQ39" s="1136"/>
      <c r="BR39" s="1136"/>
      <c r="BS39" s="1136"/>
      <c r="BT39" s="1079"/>
      <c r="BU39" s="1080"/>
      <c r="BV39" s="938"/>
      <c r="BW39" s="58"/>
      <c r="BX39" s="109"/>
      <c r="BY39" s="109"/>
      <c r="BZ39" s="109"/>
      <c r="CA39" s="109"/>
      <c r="CB39" s="109"/>
      <c r="CC39" s="109"/>
      <c r="CD39" s="109"/>
      <c r="CE39" s="109"/>
      <c r="CF39" s="109"/>
      <c r="CG39" s="109"/>
      <c r="CH39" s="60"/>
      <c r="CI39" s="1948"/>
      <c r="CJ39" s="1005"/>
      <c r="CK39" s="1007"/>
      <c r="CL39" s="791"/>
      <c r="CM39" s="791"/>
      <c r="CN39" s="791"/>
      <c r="CO39" s="813"/>
      <c r="CP39" s="33"/>
      <c r="CQ39" s="33"/>
      <c r="CR39" s="33"/>
      <c r="CS39" s="174"/>
      <c r="CT39" s="174"/>
      <c r="CU39" s="174"/>
      <c r="CV39" s="174"/>
      <c r="CW39" s="58"/>
      <c r="CX39" s="109"/>
      <c r="CY39" s="109"/>
      <c r="CZ39" s="109"/>
      <c r="DA39" s="109"/>
      <c r="DB39" s="109"/>
      <c r="DC39" s="109"/>
      <c r="DD39" s="109"/>
      <c r="DE39" s="109"/>
      <c r="DF39" s="109"/>
      <c r="DG39" s="109"/>
      <c r="DH39" s="60"/>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139"/>
      <c r="BQ40" s="1136"/>
      <c r="BR40" s="1136"/>
      <c r="BS40" s="1136"/>
      <c r="BT40" s="1079"/>
      <c r="BU40" s="1080"/>
      <c r="BV40" s="965"/>
      <c r="BW40" s="61"/>
      <c r="BX40" s="110"/>
      <c r="BY40" s="110"/>
      <c r="BZ40" s="110"/>
      <c r="CA40" s="110"/>
      <c r="CB40" s="110"/>
      <c r="CC40" s="110"/>
      <c r="CD40" s="110"/>
      <c r="CE40" s="110"/>
      <c r="CF40" s="110"/>
      <c r="CG40" s="110"/>
      <c r="CH40" s="63"/>
      <c r="CI40" s="1949"/>
      <c r="CJ40" s="1006"/>
      <c r="CK40" s="1008"/>
      <c r="CL40" s="825"/>
      <c r="CM40" s="825"/>
      <c r="CN40" s="825"/>
      <c r="CO40" s="832"/>
      <c r="CP40" s="33"/>
      <c r="CQ40" s="33"/>
      <c r="CR40" s="33"/>
      <c r="CS40" s="174"/>
      <c r="CT40" s="174"/>
      <c r="CU40" s="174"/>
      <c r="CV40" s="174"/>
      <c r="CW40" s="61"/>
      <c r="CX40" s="110"/>
      <c r="CY40" s="110"/>
      <c r="CZ40" s="110"/>
      <c r="DA40" s="110"/>
      <c r="DB40" s="110"/>
      <c r="DC40" s="110"/>
      <c r="DD40" s="110"/>
      <c r="DE40" s="110"/>
      <c r="DF40" s="110"/>
      <c r="DG40" s="110"/>
      <c r="DH40" s="63"/>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174"/>
      <c r="BN41" s="174"/>
      <c r="BO41" s="174"/>
      <c r="BP41" s="788"/>
      <c r="BQ41" s="789"/>
      <c r="BR41" s="789"/>
      <c r="BS41" s="789"/>
      <c r="BT41" s="901" t="s">
        <v>99</v>
      </c>
      <c r="BU41" s="904">
        <f>EBR_Master</f>
        <v>208</v>
      </c>
      <c r="BV41" s="950">
        <v>1</v>
      </c>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9"/>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790"/>
      <c r="BQ42" s="791"/>
      <c r="BR42" s="791"/>
      <c r="BS42" s="791"/>
      <c r="BT42" s="902"/>
      <c r="BU42" s="905"/>
      <c r="BV42" s="938"/>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9"/>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824"/>
      <c r="BQ43" s="825"/>
      <c r="BR43" s="825"/>
      <c r="BS43" s="825"/>
      <c r="BT43" s="959"/>
      <c r="BU43" s="960"/>
      <c r="BV43" s="965"/>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6"/>
      <c r="CJ44" s="16"/>
      <c r="CK44" s="16"/>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728">
        <f>BY35</f>
        <v>1517.9473684210527</v>
      </c>
      <c r="E64" s="861"/>
      <c r="F64" s="861"/>
      <c r="G64" s="861"/>
      <c r="H64" s="861"/>
      <c r="I64" s="861"/>
      <c r="J64" s="861"/>
      <c r="K64" s="861"/>
      <c r="L64" s="861"/>
      <c r="M64" s="862"/>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863"/>
      <c r="E65" s="864"/>
      <c r="F65" s="864"/>
      <c r="G65" s="864"/>
      <c r="H65" s="864"/>
      <c r="I65" s="864"/>
      <c r="J65" s="864"/>
      <c r="K65" s="864"/>
      <c r="L65" s="864"/>
      <c r="M65" s="865"/>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29"/>
      <c r="AX65" s="28"/>
      <c r="AY65" s="28"/>
      <c r="AZ65" s="28"/>
      <c r="BA65" s="28"/>
      <c r="BB65" s="28"/>
      <c r="BC65" s="28"/>
      <c r="BD65" s="28"/>
      <c r="BE65" s="28"/>
      <c r="BF65" s="28"/>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866"/>
      <c r="E66" s="867"/>
      <c r="F66" s="867"/>
      <c r="G66" s="867"/>
      <c r="H66" s="867"/>
      <c r="I66" s="867"/>
      <c r="J66" s="867"/>
      <c r="K66" s="867"/>
      <c r="L66" s="867"/>
      <c r="M66" s="868"/>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28"/>
      <c r="AX66" s="28"/>
      <c r="AY66" s="28"/>
      <c r="AZ66" s="28"/>
      <c r="BA66" s="28"/>
      <c r="BB66" s="28"/>
      <c r="BC66" s="28"/>
      <c r="BD66" s="28"/>
      <c r="BE66" s="28"/>
      <c r="BF66" s="28"/>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713">
        <f>ROUND(D64/CLV_Limit,2)</f>
        <v>0.95</v>
      </c>
      <c r="E67" s="714"/>
      <c r="F67" s="714"/>
      <c r="G67" s="714"/>
      <c r="H67" s="715"/>
      <c r="I67" s="722" t="s">
        <v>100</v>
      </c>
      <c r="J67" s="722"/>
      <c r="K67" s="722"/>
      <c r="L67" s="722"/>
      <c r="M67" s="723"/>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28"/>
      <c r="AX67" s="28"/>
      <c r="AY67" s="28"/>
      <c r="AZ67" s="28"/>
      <c r="BA67" s="28"/>
      <c r="BB67" s="28"/>
      <c r="BC67" s="28"/>
      <c r="BD67" s="28"/>
      <c r="BE67" s="28"/>
      <c r="BF67" s="28"/>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716"/>
      <c r="E68" s="717"/>
      <c r="F68" s="717"/>
      <c r="G68" s="717"/>
      <c r="H68" s="718"/>
      <c r="I68" s="724"/>
      <c r="J68" s="724"/>
      <c r="K68" s="724"/>
      <c r="L68" s="724"/>
      <c r="M68" s="725"/>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27"/>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thickBot="1">
      <c r="B69" s="1"/>
      <c r="C69" s="174"/>
      <c r="D69" s="719"/>
      <c r="E69" s="720"/>
      <c r="F69" s="720"/>
      <c r="G69" s="720"/>
      <c r="H69" s="721"/>
      <c r="I69" s="726"/>
      <c r="J69" s="726"/>
      <c r="K69" s="726"/>
      <c r="L69" s="726"/>
      <c r="M69" s="7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27"/>
      <c r="F72" s="27"/>
      <c r="G72" s="27"/>
      <c r="H72" s="27"/>
      <c r="I72" s="27"/>
      <c r="J72" s="27"/>
      <c r="K72" s="27"/>
      <c r="L72" s="27"/>
      <c r="M72" s="27"/>
      <c r="N72" s="27"/>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60">
    <mergeCell ref="BP41:BS43"/>
    <mergeCell ref="BT41:BT43"/>
    <mergeCell ref="BU41:BU43"/>
    <mergeCell ref="BV41:BV43"/>
    <mergeCell ref="CY35:DF37"/>
    <mergeCell ref="BP38:BS40"/>
    <mergeCell ref="BT38:BT40"/>
    <mergeCell ref="BU38:BU40"/>
    <mergeCell ref="CI38:CI40"/>
    <mergeCell ref="BP35:BS37"/>
    <mergeCell ref="BT35:BT37"/>
    <mergeCell ref="BU35:BU37"/>
    <mergeCell ref="BV35:BV40"/>
    <mergeCell ref="BY35:CF37"/>
    <mergeCell ref="CJ38:CJ40"/>
    <mergeCell ref="CK38:CK40"/>
    <mergeCell ref="CL38:CO40"/>
    <mergeCell ref="BY32:CF34"/>
    <mergeCell ref="CY32:DF34"/>
    <mergeCell ref="DJ32:DJ34"/>
    <mergeCell ref="DK32:DK34"/>
    <mergeCell ref="DL32:DO34"/>
    <mergeCell ref="DI26:DI28"/>
    <mergeCell ref="DJ26:DJ28"/>
    <mergeCell ref="DK26:DK28"/>
    <mergeCell ref="DL26:DO28"/>
    <mergeCell ref="DJ29:DJ31"/>
    <mergeCell ref="DK29:DK31"/>
    <mergeCell ref="DL29:DO31"/>
    <mergeCell ref="C12:J13"/>
    <mergeCell ref="K12:AJ13"/>
    <mergeCell ref="AW19:BF21"/>
    <mergeCell ref="D64:M66"/>
    <mergeCell ref="BL1:DS2"/>
    <mergeCell ref="AK8:AP9"/>
    <mergeCell ref="AQ8:AV9"/>
    <mergeCell ref="AW8:BB9"/>
    <mergeCell ref="BC8:BH9"/>
    <mergeCell ref="AK10:AV13"/>
    <mergeCell ref="AW10:BH13"/>
    <mergeCell ref="CP29:CS31"/>
    <mergeCell ref="CT29:CT31"/>
    <mergeCell ref="CU29:CU31"/>
    <mergeCell ref="CV29:CV31"/>
    <mergeCell ref="DI29:DI34"/>
    <mergeCell ref="BL3:DS4"/>
    <mergeCell ref="C8:J9"/>
    <mergeCell ref="K8:AJ9"/>
    <mergeCell ref="C10:J11"/>
    <mergeCell ref="K10:AJ11"/>
    <mergeCell ref="B1:BI2"/>
    <mergeCell ref="B3:BI4"/>
    <mergeCell ref="C6:J7"/>
    <mergeCell ref="K6:AJ7"/>
    <mergeCell ref="AK6:BH7"/>
    <mergeCell ref="AW22:BA24"/>
    <mergeCell ref="BB22:BF24"/>
    <mergeCell ref="D67:H69"/>
    <mergeCell ref="I67:M69"/>
    <mergeCell ref="O74:AV74"/>
  </mergeCells>
  <conditionalFormatting sqref="AW10 AW22 D67">
    <cfRule type="cellIs" dxfId="41" priority="7" operator="between">
      <formula>0.75</formula>
      <formula>0.875</formula>
    </cfRule>
    <cfRule type="cellIs" dxfId="40" priority="8" operator="between">
      <formula>0.875</formula>
      <formula>1</formula>
    </cfRule>
    <cfRule type="cellIs" dxfId="39" priority="9" operator="greaterThan">
      <formula>1</formula>
    </cfRule>
  </conditionalFormatting>
  <conditionalFormatting sqref="AW19 BY35 CY35 D64">
    <cfRule type="cellIs" dxfId="38" priority="22" operator="between">
      <formula>0.75*CLV_Limit</formula>
      <formula>0.875*CLV_Limit-1</formula>
    </cfRule>
    <cfRule type="cellIs" dxfId="37" priority="24" operator="between">
      <formula>0.875*CLV_Limit</formula>
      <formula>CLV_Limit</formula>
    </cfRule>
    <cfRule type="cellIs" dxfId="36" priority="25" operator="greaterThan">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5" tint="0.59999389629810485"/>
  </sheetPr>
  <dimension ref="A1:HL157"/>
  <sheetViews>
    <sheetView showGridLines="0" showRowColHeaders="0" zoomScale="90" zoomScaleNormal="90" zoomScalePageLayoutView="85" workbookViewId="0">
      <selection activeCell="CU15" sqref="CU15:CU17"/>
    </sheetView>
  </sheetViews>
  <sheetFormatPr defaultColWidth="0" defaultRowHeight="0" customHeight="1" zeroHeight="1"/>
  <cols>
    <col min="1" max="1" width="0.5703125" customWidth="1"/>
    <col min="2" max="61" width="1.7109375" customWidth="1"/>
    <col min="62" max="62" width="0.5703125" style="101" customWidth="1"/>
    <col min="63" max="63" width="0.5703125" customWidth="1"/>
    <col min="64" max="123" width="1.7109375" customWidth="1"/>
    <col min="124" max="124" width="0.42578125" customWidth="1"/>
    <col min="125" max="220" width="1.7109375" hidden="1" customWidth="1"/>
    <col min="221" max="16384" width="9.140625" hidden="1"/>
  </cols>
  <sheetData>
    <row r="1" spans="2:123" ht="9.9499999999999993" customHeight="1">
      <c r="B1" s="571" t="s">
        <v>163</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163</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096"/>
      <c r="CJ7" s="1097"/>
      <c r="CK7" s="1097"/>
      <c r="CL7" s="1097"/>
      <c r="CM7" s="1097"/>
      <c r="CN7" s="1097"/>
      <c r="CO7" s="1097"/>
      <c r="CP7" s="1097"/>
      <c r="CQ7" s="1097"/>
      <c r="CR7" s="1097"/>
      <c r="CS7" s="1097"/>
      <c r="CT7" s="1098"/>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099"/>
      <c r="CJ8" s="1068"/>
      <c r="CK8" s="1068"/>
      <c r="CL8" s="1068"/>
      <c r="CM8" s="1068"/>
      <c r="CN8" s="1068"/>
      <c r="CO8" s="1068"/>
      <c r="CP8" s="1068"/>
      <c r="CQ8" s="1068"/>
      <c r="CR8" s="1068"/>
      <c r="CS8" s="1068"/>
      <c r="CT8" s="1069"/>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099"/>
      <c r="CJ9" s="1068"/>
      <c r="CK9" s="1068"/>
      <c r="CL9" s="1068"/>
      <c r="CM9" s="1068"/>
      <c r="CN9" s="1068"/>
      <c r="CO9" s="1068"/>
      <c r="CP9" s="1068"/>
      <c r="CQ9" s="1068"/>
      <c r="CR9" s="1068"/>
      <c r="CS9" s="1068"/>
      <c r="CT9" s="1069"/>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MAX(ROUND(AP18/CLV_Limit,2),ROUND(AP33/CLV_Limit,2),ROUND(AP50/CLV_Limit,2),ROUND(AP64/CLV_Limit,2))</f>
        <v>1.2</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099"/>
      <c r="CJ10" s="1068"/>
      <c r="CK10" s="1068"/>
      <c r="CL10" s="1068"/>
      <c r="CM10" s="1068"/>
      <c r="CN10" s="1068"/>
      <c r="CO10" s="1068"/>
      <c r="CP10" s="1068"/>
      <c r="CQ10" s="1068"/>
      <c r="CR10" s="1068"/>
      <c r="CS10" s="1068"/>
      <c r="CT10" s="1069"/>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045" t="s">
        <v>99</v>
      </c>
      <c r="CJ11" s="1046"/>
      <c r="CK11" s="1046"/>
      <c r="CL11" s="1046" t="s">
        <v>99</v>
      </c>
      <c r="CM11" s="1046"/>
      <c r="CN11" s="1046"/>
      <c r="CO11" s="1046" t="s">
        <v>99</v>
      </c>
      <c r="CP11" s="1046"/>
      <c r="CQ11" s="1046"/>
      <c r="CR11" s="1046" t="s">
        <v>99</v>
      </c>
      <c r="CS11" s="1046"/>
      <c r="CT11" s="1047"/>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186">
        <f>SBR_Master</f>
        <v>0</v>
      </c>
      <c r="CJ12" s="1187"/>
      <c r="CK12" s="1187"/>
      <c r="CL12" s="1187">
        <f>SBT_Master</f>
        <v>1447</v>
      </c>
      <c r="CM12" s="1187"/>
      <c r="CN12" s="1187"/>
      <c r="CO12" s="1187">
        <f>SBL_Master</f>
        <v>607</v>
      </c>
      <c r="CP12" s="1187"/>
      <c r="CQ12" s="1187"/>
      <c r="CR12" s="1187">
        <f>SBU_Master</f>
        <v>0</v>
      </c>
      <c r="CS12" s="1187"/>
      <c r="CT12" s="1188"/>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928">
        <v>1</v>
      </c>
      <c r="CJ13" s="929"/>
      <c r="CK13" s="929"/>
      <c r="CL13" s="929">
        <v>2</v>
      </c>
      <c r="CM13" s="929"/>
      <c r="CN13" s="929"/>
      <c r="CO13" s="929">
        <v>1</v>
      </c>
      <c r="CP13" s="929"/>
      <c r="CQ13" s="929"/>
      <c r="CR13" s="1010"/>
      <c r="CS13" s="1010"/>
      <c r="CT13" s="1011"/>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thickBo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56"/>
      <c r="CJ14" s="175"/>
      <c r="CK14" s="175"/>
      <c r="CL14" s="175"/>
      <c r="CM14" s="175"/>
      <c r="CN14" s="175"/>
      <c r="CO14" s="175"/>
      <c r="CP14" s="175"/>
      <c r="CQ14" s="175"/>
      <c r="CR14" s="175"/>
      <c r="CS14" s="175"/>
      <c r="CT14" s="176"/>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58"/>
      <c r="CJ15" s="109"/>
      <c r="CK15" s="109"/>
      <c r="CL15" s="109"/>
      <c r="CM15" s="109"/>
      <c r="CN15" s="109"/>
      <c r="CO15" s="109"/>
      <c r="CP15" s="109"/>
      <c r="CQ15" s="109"/>
      <c r="CR15" s="109"/>
      <c r="CS15" s="109"/>
      <c r="CT15" s="60"/>
      <c r="CU15" s="910">
        <v>1</v>
      </c>
      <c r="CV15" s="1091">
        <f>WBR_Master</f>
        <v>625</v>
      </c>
      <c r="CW15" s="1292" t="s">
        <v>99</v>
      </c>
      <c r="CX15" s="1134"/>
      <c r="CY15" s="1134"/>
      <c r="CZ15" s="1134"/>
      <c r="DA15" s="1135"/>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58"/>
      <c r="CJ16" s="109"/>
      <c r="CK16" s="109"/>
      <c r="CL16" s="109"/>
      <c r="CM16" s="109"/>
      <c r="CN16" s="109"/>
      <c r="CO16" s="109"/>
      <c r="CP16" s="109"/>
      <c r="CQ16" s="109"/>
      <c r="CR16" s="109"/>
      <c r="CS16" s="109"/>
      <c r="CT16" s="60"/>
      <c r="CU16" s="911"/>
      <c r="CV16" s="1083"/>
      <c r="CW16" s="1293"/>
      <c r="CX16" s="1136"/>
      <c r="CY16" s="1136"/>
      <c r="CZ16" s="1136"/>
      <c r="DA16" s="1137"/>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thickBo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58"/>
      <c r="CJ17" s="109"/>
      <c r="CK17" s="763"/>
      <c r="CL17" s="764"/>
      <c r="CM17" s="764"/>
      <c r="CN17" s="764"/>
      <c r="CO17" s="764"/>
      <c r="CP17" s="764"/>
      <c r="CQ17" s="764"/>
      <c r="CR17" s="771"/>
      <c r="CS17" s="109"/>
      <c r="CT17" s="60"/>
      <c r="CU17" s="957"/>
      <c r="CV17" s="1113"/>
      <c r="CW17" s="1300"/>
      <c r="CX17" s="1150"/>
      <c r="CY17" s="1150"/>
      <c r="CZ17" s="1150"/>
      <c r="DA17" s="1151"/>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728">
        <f>CK20</f>
        <v>1737.3947368421054</v>
      </c>
      <c r="AQ18" s="861"/>
      <c r="AR18" s="861"/>
      <c r="AS18" s="861"/>
      <c r="AT18" s="861"/>
      <c r="AU18" s="861"/>
      <c r="AV18" s="861"/>
      <c r="AW18" s="861"/>
      <c r="AX18" s="861"/>
      <c r="AY18" s="862"/>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58"/>
      <c r="CJ18" s="109"/>
      <c r="CK18" s="766"/>
      <c r="CL18" s="767"/>
      <c r="CM18" s="767"/>
      <c r="CN18" s="767"/>
      <c r="CO18" s="767"/>
      <c r="CP18" s="767"/>
      <c r="CQ18" s="767"/>
      <c r="CR18" s="772"/>
      <c r="CS18" s="109"/>
      <c r="CT18" s="60"/>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863"/>
      <c r="AQ19" s="864"/>
      <c r="AR19" s="864"/>
      <c r="AS19" s="864"/>
      <c r="AT19" s="864"/>
      <c r="AU19" s="864"/>
      <c r="AV19" s="864"/>
      <c r="AW19" s="864"/>
      <c r="AX19" s="864"/>
      <c r="AY19" s="865"/>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58"/>
      <c r="CJ19" s="109"/>
      <c r="CK19" s="766"/>
      <c r="CL19" s="767"/>
      <c r="CM19" s="767"/>
      <c r="CN19" s="767"/>
      <c r="CO19" s="767"/>
      <c r="CP19" s="767"/>
      <c r="CQ19" s="767"/>
      <c r="CR19" s="772"/>
      <c r="CS19" s="109"/>
      <c r="CT19" s="60"/>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thickBo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866"/>
      <c r="AQ20" s="867"/>
      <c r="AR20" s="867"/>
      <c r="AS20" s="867"/>
      <c r="AT20" s="867"/>
      <c r="AU20" s="867"/>
      <c r="AV20" s="867"/>
      <c r="AW20" s="867"/>
      <c r="AX20" s="867"/>
      <c r="AY20" s="868"/>
      <c r="AZ20" s="174"/>
      <c r="BA20" s="174"/>
      <c r="BB20" s="174"/>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58"/>
      <c r="CJ20" s="109"/>
      <c r="CK20" s="1833">
        <f>MAX(CO12/LTAF/CO13, CV15/LTAF/CU15)+ CP38/CP37</f>
        <v>1737.3947368421054</v>
      </c>
      <c r="CL20" s="1834"/>
      <c r="CM20" s="1834"/>
      <c r="CN20" s="1834"/>
      <c r="CO20" s="1834"/>
      <c r="CP20" s="1834"/>
      <c r="CQ20" s="1834"/>
      <c r="CR20" s="1835"/>
      <c r="CS20" s="109"/>
      <c r="CT20" s="60"/>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713">
        <f>ROUND(AP18/CLV_Limit,2)</f>
        <v>1.0900000000000001</v>
      </c>
      <c r="AQ21" s="714"/>
      <c r="AR21" s="714"/>
      <c r="AS21" s="714"/>
      <c r="AT21" s="715"/>
      <c r="AU21" s="722" t="s">
        <v>100</v>
      </c>
      <c r="AV21" s="722"/>
      <c r="AW21" s="722"/>
      <c r="AX21" s="722"/>
      <c r="AY21" s="723"/>
      <c r="AZ21" s="174"/>
      <c r="BA21" s="174"/>
      <c r="BB21" s="174"/>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58"/>
      <c r="CJ21" s="109"/>
      <c r="CK21" s="1833"/>
      <c r="CL21" s="1834"/>
      <c r="CM21" s="1834"/>
      <c r="CN21" s="1834"/>
      <c r="CO21" s="1834"/>
      <c r="CP21" s="1834"/>
      <c r="CQ21" s="1834"/>
      <c r="CR21" s="1835"/>
      <c r="CS21" s="109"/>
      <c r="CT21" s="60"/>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716"/>
      <c r="AQ22" s="717"/>
      <c r="AR22" s="717"/>
      <c r="AS22" s="717"/>
      <c r="AT22" s="718"/>
      <c r="AU22" s="724"/>
      <c r="AV22" s="724"/>
      <c r="AW22" s="724"/>
      <c r="AX22" s="724"/>
      <c r="AY22" s="725"/>
      <c r="AZ22" s="174"/>
      <c r="BA22" s="174"/>
      <c r="BB22" s="174"/>
      <c r="BC22" s="174"/>
      <c r="BD22" s="27"/>
      <c r="BE22" s="27"/>
      <c r="BF22" s="27"/>
      <c r="BG22" s="174"/>
      <c r="BH22" s="174"/>
      <c r="BI22" s="177"/>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58"/>
      <c r="CJ22" s="109"/>
      <c r="CK22" s="1836"/>
      <c r="CL22" s="1837"/>
      <c r="CM22" s="1837"/>
      <c r="CN22" s="1837"/>
      <c r="CO22" s="1837"/>
      <c r="CP22" s="1837"/>
      <c r="CQ22" s="1837"/>
      <c r="CR22" s="1838"/>
      <c r="CS22" s="109"/>
      <c r="CT22" s="60"/>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719"/>
      <c r="AQ23" s="720"/>
      <c r="AR23" s="720"/>
      <c r="AS23" s="720"/>
      <c r="AT23" s="721"/>
      <c r="AU23" s="726"/>
      <c r="AV23" s="726"/>
      <c r="AW23" s="726"/>
      <c r="AX23" s="726"/>
      <c r="AY23" s="727"/>
      <c r="AZ23" s="174"/>
      <c r="BA23" s="174"/>
      <c r="BB23" s="174"/>
      <c r="BC23" s="174"/>
      <c r="BD23" s="174"/>
      <c r="BE23" s="174"/>
      <c r="BF23" s="174"/>
      <c r="BG23" s="14"/>
      <c r="BH23" s="174"/>
      <c r="BI23" s="177"/>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58"/>
      <c r="CJ23" s="109"/>
      <c r="CK23" s="109"/>
      <c r="CL23" s="109"/>
      <c r="CM23" s="109"/>
      <c r="CN23" s="109"/>
      <c r="CO23" s="109"/>
      <c r="CP23" s="109"/>
      <c r="CQ23" s="109"/>
      <c r="CR23" s="109"/>
      <c r="CS23" s="109"/>
      <c r="CT23" s="60"/>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74"/>
      <c r="AN24" s="174"/>
      <c r="AO24" s="174"/>
      <c r="AP24" s="174"/>
      <c r="AQ24" s="174"/>
      <c r="AR24" s="174"/>
      <c r="AS24" s="174"/>
      <c r="AT24" s="174"/>
      <c r="AU24" s="174"/>
      <c r="AV24" s="174"/>
      <c r="AW24" s="174"/>
      <c r="AX24" s="174"/>
      <c r="AY24" s="174"/>
      <c r="AZ24" s="174"/>
      <c r="BA24" s="174"/>
      <c r="BB24" s="174"/>
      <c r="BC24" s="174"/>
      <c r="BD24" s="174"/>
      <c r="BE24" s="174"/>
      <c r="BF24" s="174"/>
      <c r="BG24" s="14"/>
      <c r="BH24" s="174"/>
      <c r="BI24" s="177"/>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61"/>
      <c r="CJ24" s="110"/>
      <c r="CK24" s="110"/>
      <c r="CL24" s="110"/>
      <c r="CM24" s="110"/>
      <c r="CN24" s="110"/>
      <c r="CO24" s="110"/>
      <c r="CP24" s="110"/>
      <c r="CQ24" s="110"/>
      <c r="CR24" s="110"/>
      <c r="CS24" s="110"/>
      <c r="CT24" s="63"/>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7"/>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7"/>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56"/>
      <c r="CJ26" s="175"/>
      <c r="CK26" s="175"/>
      <c r="CL26" s="175"/>
      <c r="CM26" s="175"/>
      <c r="CN26" s="175"/>
      <c r="CO26" s="175"/>
      <c r="CP26" s="175"/>
      <c r="CQ26" s="175"/>
      <c r="CR26" s="175"/>
      <c r="CS26" s="175"/>
      <c r="CT26" s="176"/>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58"/>
      <c r="CJ27" s="109"/>
      <c r="CK27" s="109"/>
      <c r="CL27" s="109"/>
      <c r="CM27" s="109"/>
      <c r="CN27" s="109"/>
      <c r="CO27" s="109"/>
      <c r="CP27" s="109"/>
      <c r="CQ27" s="109"/>
      <c r="CR27" s="109"/>
      <c r="CS27" s="109"/>
      <c r="CT27" s="60"/>
      <c r="CU27" s="174"/>
      <c r="CV27" s="1843"/>
      <c r="CW27" s="1274" t="s">
        <v>99</v>
      </c>
      <c r="CX27" s="1134"/>
      <c r="CY27" s="1134"/>
      <c r="CZ27" s="1134"/>
      <c r="DA27" s="1135"/>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58"/>
      <c r="CJ28" s="109"/>
      <c r="CK28" s="763"/>
      <c r="CL28" s="764"/>
      <c r="CM28" s="764"/>
      <c r="CN28" s="764"/>
      <c r="CO28" s="764"/>
      <c r="CP28" s="764"/>
      <c r="CQ28" s="764"/>
      <c r="CR28" s="771"/>
      <c r="CS28" s="109"/>
      <c r="CT28" s="60"/>
      <c r="CU28" s="174"/>
      <c r="CV28" s="1844"/>
      <c r="CW28" s="1275"/>
      <c r="CX28" s="1136"/>
      <c r="CY28" s="1136"/>
      <c r="CZ28" s="1136"/>
      <c r="DA28" s="1137"/>
      <c r="DB28" s="174"/>
      <c r="DC28" s="174"/>
      <c r="DD28" s="174"/>
      <c r="DE28" s="174"/>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58"/>
      <c r="CJ29" s="109"/>
      <c r="CK29" s="766"/>
      <c r="CL29" s="767"/>
      <c r="CM29" s="767"/>
      <c r="CN29" s="767"/>
      <c r="CO29" s="767"/>
      <c r="CP29" s="767"/>
      <c r="CQ29" s="767"/>
      <c r="CR29" s="772"/>
      <c r="CS29" s="109"/>
      <c r="CT29" s="60"/>
      <c r="CU29" s="174"/>
      <c r="CV29" s="1845"/>
      <c r="CW29" s="1276"/>
      <c r="CX29" s="1150"/>
      <c r="CY29" s="1150"/>
      <c r="CZ29" s="1150"/>
      <c r="DA29" s="1151"/>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58"/>
      <c r="CJ30" s="109"/>
      <c r="CK30" s="766"/>
      <c r="CL30" s="767"/>
      <c r="CM30" s="767"/>
      <c r="CN30" s="767"/>
      <c r="CO30" s="767"/>
      <c r="CP30" s="767"/>
      <c r="CQ30" s="767"/>
      <c r="CR30" s="772"/>
      <c r="CS30" s="109"/>
      <c r="CT30" s="60"/>
      <c r="CU30" s="910">
        <v>1</v>
      </c>
      <c r="CV30" s="1091">
        <f>WBL_Master</f>
        <v>588</v>
      </c>
      <c r="CW30" s="1292" t="s">
        <v>99</v>
      </c>
      <c r="CX30" s="1134"/>
      <c r="CY30" s="1134"/>
      <c r="CZ30" s="1134"/>
      <c r="DA30" s="1135"/>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14"/>
      <c r="AS31" s="14"/>
      <c r="AT31" s="174"/>
      <c r="AU31" s="174"/>
      <c r="AV31" s="174"/>
      <c r="AW31" s="174"/>
      <c r="AX31" s="174"/>
      <c r="AY31" s="174"/>
      <c r="AZ31" s="174"/>
      <c r="BA31" s="174"/>
      <c r="BB31" s="174"/>
      <c r="BC31" s="174"/>
      <c r="BD31" s="174"/>
      <c r="BE31" s="174"/>
      <c r="BF31" s="17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58"/>
      <c r="CJ31" s="109"/>
      <c r="CK31" s="1833">
        <f>MAX(CL12/CL13,CP38/CP37,CO12/LTAF/CO13)+(CV30+CV27/LTAF/CU30)</f>
        <v>1667.5</v>
      </c>
      <c r="CL31" s="1834"/>
      <c r="CM31" s="1834"/>
      <c r="CN31" s="1834"/>
      <c r="CO31" s="1834"/>
      <c r="CP31" s="1834"/>
      <c r="CQ31" s="1834"/>
      <c r="CR31" s="1835"/>
      <c r="CS31" s="109"/>
      <c r="CT31" s="60"/>
      <c r="CU31" s="911"/>
      <c r="CV31" s="1083"/>
      <c r="CW31" s="1293"/>
      <c r="CX31" s="1136"/>
      <c r="CY31" s="1136"/>
      <c r="CZ31" s="1136"/>
      <c r="DA31" s="1137"/>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thickBo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58"/>
      <c r="CJ32" s="109"/>
      <c r="CK32" s="1833"/>
      <c r="CL32" s="1834"/>
      <c r="CM32" s="1834"/>
      <c r="CN32" s="1834"/>
      <c r="CO32" s="1834"/>
      <c r="CP32" s="1834"/>
      <c r="CQ32" s="1834"/>
      <c r="CR32" s="1835"/>
      <c r="CS32" s="109"/>
      <c r="CT32" s="60"/>
      <c r="CU32" s="912"/>
      <c r="CV32" s="1083"/>
      <c r="CW32" s="1293"/>
      <c r="CX32" s="1136"/>
      <c r="CY32" s="1136"/>
      <c r="CZ32" s="1136"/>
      <c r="DA32" s="1137"/>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728">
        <f>CK31</f>
        <v>1667.5</v>
      </c>
      <c r="AQ33" s="861"/>
      <c r="AR33" s="861"/>
      <c r="AS33" s="861"/>
      <c r="AT33" s="861"/>
      <c r="AU33" s="861"/>
      <c r="AV33" s="861"/>
      <c r="AW33" s="861"/>
      <c r="AX33" s="861"/>
      <c r="AY33" s="862"/>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58"/>
      <c r="CJ33" s="109"/>
      <c r="CK33" s="1836"/>
      <c r="CL33" s="1837"/>
      <c r="CM33" s="1837"/>
      <c r="CN33" s="1837"/>
      <c r="CO33" s="1837"/>
      <c r="CP33" s="1837"/>
      <c r="CQ33" s="1837"/>
      <c r="CR33" s="1838"/>
      <c r="CS33" s="109"/>
      <c r="CT33" s="60"/>
      <c r="CU33" s="1002"/>
      <c r="CV33" s="1083">
        <f>WBU_Master</f>
        <v>0</v>
      </c>
      <c r="CW33" s="1293" t="s">
        <v>99</v>
      </c>
      <c r="CX33" s="1136"/>
      <c r="CY33" s="1136"/>
      <c r="CZ33" s="1136"/>
      <c r="DA33" s="1137"/>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863"/>
      <c r="AQ34" s="864"/>
      <c r="AR34" s="864"/>
      <c r="AS34" s="864"/>
      <c r="AT34" s="864"/>
      <c r="AU34" s="864"/>
      <c r="AV34" s="864"/>
      <c r="AW34" s="864"/>
      <c r="AX34" s="864"/>
      <c r="AY34" s="865"/>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58"/>
      <c r="CJ34" s="109"/>
      <c r="CK34" s="109"/>
      <c r="CL34" s="109"/>
      <c r="CM34" s="109"/>
      <c r="CN34" s="109"/>
      <c r="CO34" s="109"/>
      <c r="CP34" s="109"/>
      <c r="CQ34" s="109"/>
      <c r="CR34" s="109"/>
      <c r="CS34" s="109"/>
      <c r="CT34" s="60"/>
      <c r="CU34" s="1003"/>
      <c r="CV34" s="1083"/>
      <c r="CW34" s="1293"/>
      <c r="CX34" s="1136"/>
      <c r="CY34" s="1136"/>
      <c r="CZ34" s="1136"/>
      <c r="DA34" s="1137"/>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866"/>
      <c r="AQ35" s="867"/>
      <c r="AR35" s="867"/>
      <c r="AS35" s="867"/>
      <c r="AT35" s="867"/>
      <c r="AU35" s="867"/>
      <c r="AV35" s="867"/>
      <c r="AW35" s="867"/>
      <c r="AX35" s="867"/>
      <c r="AY35" s="868"/>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58"/>
      <c r="CJ35" s="109"/>
      <c r="CK35" s="109"/>
      <c r="CL35" s="109"/>
      <c r="CM35" s="109"/>
      <c r="CN35" s="109"/>
      <c r="CO35" s="109"/>
      <c r="CP35" s="109"/>
      <c r="CQ35" s="109"/>
      <c r="CR35" s="109"/>
      <c r="CS35" s="109"/>
      <c r="CT35" s="60"/>
      <c r="CU35" s="1004"/>
      <c r="CV35" s="1113"/>
      <c r="CW35" s="1300"/>
      <c r="CX35" s="1150"/>
      <c r="CY35" s="1150"/>
      <c r="CZ35" s="1150"/>
      <c r="DA35" s="1151"/>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thickBo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713">
        <f>ROUND(AP33/CLV_Limit,2)</f>
        <v>1.04</v>
      </c>
      <c r="AQ36" s="714"/>
      <c r="AR36" s="714"/>
      <c r="AS36" s="714"/>
      <c r="AT36" s="715"/>
      <c r="AU36" s="722" t="s">
        <v>100</v>
      </c>
      <c r="AV36" s="722"/>
      <c r="AW36" s="722"/>
      <c r="AX36" s="722"/>
      <c r="AY36" s="723"/>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61"/>
      <c r="CJ36" s="110"/>
      <c r="CK36" s="1096"/>
      <c r="CL36" s="1097"/>
      <c r="CM36" s="1098"/>
      <c r="CN36" s="110"/>
      <c r="CO36" s="110"/>
      <c r="CP36" s="110"/>
      <c r="CQ36" s="110"/>
      <c r="CR36" s="110"/>
      <c r="CS36" s="110"/>
      <c r="CT36" s="63"/>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716"/>
      <c r="AQ37" s="717"/>
      <c r="AR37" s="717"/>
      <c r="AS37" s="717"/>
      <c r="AT37" s="718"/>
      <c r="AU37" s="724"/>
      <c r="AV37" s="724"/>
      <c r="AW37" s="724"/>
      <c r="AX37" s="724"/>
      <c r="AY37" s="725"/>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099"/>
      <c r="CL37" s="1068"/>
      <c r="CM37" s="1069"/>
      <c r="CN37" s="174"/>
      <c r="CO37" s="174"/>
      <c r="CP37" s="1839">
        <f>CO66</f>
        <v>2</v>
      </c>
      <c r="CQ37" s="1249"/>
      <c r="CR37" s="1840"/>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719"/>
      <c r="AQ38" s="720"/>
      <c r="AR38" s="720"/>
      <c r="AS38" s="720"/>
      <c r="AT38" s="721"/>
      <c r="AU38" s="726"/>
      <c r="AV38" s="726"/>
      <c r="AW38" s="726"/>
      <c r="AX38" s="726"/>
      <c r="AY38" s="727"/>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099"/>
      <c r="CL38" s="1068"/>
      <c r="CM38" s="1069"/>
      <c r="CN38" s="174"/>
      <c r="CO38" s="174"/>
      <c r="CP38" s="1189">
        <f>CG47+CO67</f>
        <v>2159</v>
      </c>
      <c r="CQ38" s="1190"/>
      <c r="CR38" s="1191"/>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099"/>
      <c r="CL39" s="1068"/>
      <c r="CM39" s="1069"/>
      <c r="CN39" s="174"/>
      <c r="CO39" s="174"/>
      <c r="CP39" s="1065" t="s">
        <v>99</v>
      </c>
      <c r="CQ39" s="1066"/>
      <c r="CR39" s="1067"/>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K40" s="174"/>
      <c r="BL40" s="1"/>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065" t="s">
        <v>99</v>
      </c>
      <c r="CL40" s="1066"/>
      <c r="CM40" s="1067"/>
      <c r="CN40" s="174"/>
      <c r="CO40" s="174"/>
      <c r="CP40" s="1099"/>
      <c r="CQ40" s="1068"/>
      <c r="CR40" s="1069"/>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203">
        <f>CL12+CV30</f>
        <v>2035</v>
      </c>
      <c r="CL41" s="1204"/>
      <c r="CM41" s="1205"/>
      <c r="CN41" s="174"/>
      <c r="CO41" s="174"/>
      <c r="CP41" s="1099"/>
      <c r="CQ41" s="1068"/>
      <c r="CR41" s="1069"/>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841">
        <f>CL13</f>
        <v>2</v>
      </c>
      <c r="CL42" s="1194"/>
      <c r="CM42" s="1842"/>
      <c r="CN42" s="174"/>
      <c r="CO42" s="174"/>
      <c r="CP42" s="1099"/>
      <c r="CQ42" s="1068"/>
      <c r="CR42" s="1069"/>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56"/>
      <c r="CJ43" s="175"/>
      <c r="CK43" s="109"/>
      <c r="CL43" s="109"/>
      <c r="CM43" s="109"/>
      <c r="CN43" s="175"/>
      <c r="CO43" s="175"/>
      <c r="CP43" s="1167"/>
      <c r="CQ43" s="1070"/>
      <c r="CR43" s="1071"/>
      <c r="CS43" s="175"/>
      <c r="CT43" s="176"/>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138"/>
      <c r="CC44" s="1134"/>
      <c r="CD44" s="1134"/>
      <c r="CE44" s="1134"/>
      <c r="CF44" s="1295" t="s">
        <v>99</v>
      </c>
      <c r="CG44" s="1087">
        <f>EBU_Master</f>
        <v>0</v>
      </c>
      <c r="CH44" s="1088"/>
      <c r="CI44" s="58"/>
      <c r="CJ44" s="109"/>
      <c r="CK44" s="109"/>
      <c r="CL44" s="109"/>
      <c r="CM44" s="109"/>
      <c r="CN44" s="109"/>
      <c r="CO44" s="109"/>
      <c r="CP44" s="109"/>
      <c r="CQ44" s="109"/>
      <c r="CR44" s="109"/>
      <c r="CS44" s="109"/>
      <c r="CT44" s="60"/>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139"/>
      <c r="CC45" s="1136"/>
      <c r="CD45" s="1136"/>
      <c r="CE45" s="1136"/>
      <c r="CF45" s="1294"/>
      <c r="CG45" s="1080"/>
      <c r="CH45" s="1089"/>
      <c r="CI45" s="58"/>
      <c r="CJ45" s="109"/>
      <c r="CK45" s="109"/>
      <c r="CL45" s="109"/>
      <c r="CM45" s="109"/>
      <c r="CN45" s="109"/>
      <c r="CO45" s="109"/>
      <c r="CP45" s="109"/>
      <c r="CQ45" s="109"/>
      <c r="CR45" s="109"/>
      <c r="CS45" s="109"/>
      <c r="CT45" s="60"/>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139"/>
      <c r="CC46" s="1136"/>
      <c r="CD46" s="1136"/>
      <c r="CE46" s="1136"/>
      <c r="CF46" s="1294"/>
      <c r="CG46" s="1080"/>
      <c r="CH46" s="1089"/>
      <c r="CI46" s="58"/>
      <c r="CJ46" s="109"/>
      <c r="CK46" s="763"/>
      <c r="CL46" s="764"/>
      <c r="CM46" s="764"/>
      <c r="CN46" s="764"/>
      <c r="CO46" s="764"/>
      <c r="CP46" s="764"/>
      <c r="CQ46" s="764"/>
      <c r="CR46" s="771"/>
      <c r="CS46" s="109"/>
      <c r="CT46" s="60"/>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74"/>
      <c r="BT47" s="174"/>
      <c r="BU47" s="174"/>
      <c r="BV47" s="174"/>
      <c r="BW47" s="174"/>
      <c r="BX47" s="174"/>
      <c r="BY47" s="174"/>
      <c r="BZ47" s="174"/>
      <c r="CA47" s="174"/>
      <c r="CB47" s="1139"/>
      <c r="CC47" s="1136"/>
      <c r="CD47" s="1136"/>
      <c r="CE47" s="1136"/>
      <c r="CF47" s="1294" t="s">
        <v>99</v>
      </c>
      <c r="CG47" s="1080">
        <f>EBL_Master</f>
        <v>899</v>
      </c>
      <c r="CH47" s="1081">
        <v>1</v>
      </c>
      <c r="CI47" s="58"/>
      <c r="CJ47" s="109"/>
      <c r="CK47" s="766"/>
      <c r="CL47" s="767"/>
      <c r="CM47" s="767"/>
      <c r="CN47" s="767"/>
      <c r="CO47" s="767"/>
      <c r="CP47" s="767"/>
      <c r="CQ47" s="767"/>
      <c r="CR47" s="772"/>
      <c r="CS47" s="109"/>
      <c r="CT47" s="60"/>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74"/>
      <c r="BU48" s="174"/>
      <c r="BV48" s="174"/>
      <c r="BW48" s="174"/>
      <c r="BX48" s="174"/>
      <c r="BY48" s="174"/>
      <c r="BZ48" s="174"/>
      <c r="CA48" s="174"/>
      <c r="CB48" s="1139"/>
      <c r="CC48" s="1136"/>
      <c r="CD48" s="1136"/>
      <c r="CE48" s="1136"/>
      <c r="CF48" s="1294"/>
      <c r="CG48" s="1080"/>
      <c r="CH48" s="1081"/>
      <c r="CI48" s="58"/>
      <c r="CJ48" s="109"/>
      <c r="CK48" s="766"/>
      <c r="CL48" s="767"/>
      <c r="CM48" s="767"/>
      <c r="CN48" s="767"/>
      <c r="CO48" s="767"/>
      <c r="CP48" s="767"/>
      <c r="CQ48" s="767"/>
      <c r="CR48" s="772"/>
      <c r="CS48" s="109"/>
      <c r="CT48" s="60"/>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174"/>
      <c r="CA49" s="174"/>
      <c r="CB49" s="1153"/>
      <c r="CC49" s="1150"/>
      <c r="CD49" s="1150"/>
      <c r="CE49" s="1150"/>
      <c r="CF49" s="1299"/>
      <c r="CG49" s="1109"/>
      <c r="CH49" s="1110"/>
      <c r="CI49" s="58"/>
      <c r="CJ49" s="109"/>
      <c r="CK49" s="1833">
        <f>MAX(CK41/CK42,CO67/CO66,CL67/LTAF/CL66)+(CG47+CG50/LTAF/CH47)</f>
        <v>1916.5</v>
      </c>
      <c r="CL49" s="1834"/>
      <c r="CM49" s="1834"/>
      <c r="CN49" s="1834"/>
      <c r="CO49" s="1834"/>
      <c r="CP49" s="1834"/>
      <c r="CQ49" s="1834"/>
      <c r="CR49" s="1835"/>
      <c r="CS49" s="109"/>
      <c r="CT49" s="60"/>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728">
        <f>CK49</f>
        <v>1916.5</v>
      </c>
      <c r="AQ50" s="861"/>
      <c r="AR50" s="861"/>
      <c r="AS50" s="861"/>
      <c r="AT50" s="861"/>
      <c r="AU50" s="861"/>
      <c r="AV50" s="861"/>
      <c r="AW50" s="861"/>
      <c r="AX50" s="861"/>
      <c r="AY50" s="862"/>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174"/>
      <c r="CA50" s="174"/>
      <c r="CB50" s="1138"/>
      <c r="CC50" s="1134"/>
      <c r="CD50" s="1134"/>
      <c r="CE50" s="1134"/>
      <c r="CF50" s="1277" t="s">
        <v>99</v>
      </c>
      <c r="CG50" s="1846"/>
      <c r="CH50" s="174"/>
      <c r="CI50" s="58"/>
      <c r="CJ50" s="109"/>
      <c r="CK50" s="1833"/>
      <c r="CL50" s="1834"/>
      <c r="CM50" s="1834"/>
      <c r="CN50" s="1834"/>
      <c r="CO50" s="1834"/>
      <c r="CP50" s="1834"/>
      <c r="CQ50" s="1834"/>
      <c r="CR50" s="1835"/>
      <c r="CS50" s="109"/>
      <c r="CT50" s="60"/>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thickBo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863"/>
      <c r="AQ51" s="864"/>
      <c r="AR51" s="864"/>
      <c r="AS51" s="864"/>
      <c r="AT51" s="864"/>
      <c r="AU51" s="864"/>
      <c r="AV51" s="864"/>
      <c r="AW51" s="864"/>
      <c r="AX51" s="864"/>
      <c r="AY51" s="865"/>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174"/>
      <c r="CA51" s="174"/>
      <c r="CB51" s="1139"/>
      <c r="CC51" s="1136"/>
      <c r="CD51" s="1136"/>
      <c r="CE51" s="1136"/>
      <c r="CF51" s="1278"/>
      <c r="CG51" s="1847"/>
      <c r="CH51" s="174"/>
      <c r="CI51" s="58"/>
      <c r="CJ51" s="109"/>
      <c r="CK51" s="1836"/>
      <c r="CL51" s="1837"/>
      <c r="CM51" s="1837"/>
      <c r="CN51" s="1837"/>
      <c r="CO51" s="1837"/>
      <c r="CP51" s="1837"/>
      <c r="CQ51" s="1837"/>
      <c r="CR51" s="1838"/>
      <c r="CS51" s="109"/>
      <c r="CT51" s="60"/>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866"/>
      <c r="AQ52" s="867"/>
      <c r="AR52" s="867"/>
      <c r="AS52" s="867"/>
      <c r="AT52" s="867"/>
      <c r="AU52" s="867"/>
      <c r="AV52" s="867"/>
      <c r="AW52" s="867"/>
      <c r="AX52" s="867"/>
      <c r="AY52" s="868"/>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153"/>
      <c r="CC52" s="1150"/>
      <c r="CD52" s="1150"/>
      <c r="CE52" s="1150"/>
      <c r="CF52" s="1279"/>
      <c r="CG52" s="1848"/>
      <c r="CH52" s="174"/>
      <c r="CI52" s="58"/>
      <c r="CJ52" s="109"/>
      <c r="CK52" s="109"/>
      <c r="CL52" s="109"/>
      <c r="CM52" s="109"/>
      <c r="CN52" s="109"/>
      <c r="CO52" s="109"/>
      <c r="CP52" s="109"/>
      <c r="CQ52" s="109"/>
      <c r="CR52" s="109"/>
      <c r="CS52" s="109"/>
      <c r="CT52" s="60"/>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713">
        <f>ROUND(AP50/CLV_Limit,2)</f>
        <v>1.2</v>
      </c>
      <c r="AQ53" s="714"/>
      <c r="AR53" s="714"/>
      <c r="AS53" s="714"/>
      <c r="AT53" s="715"/>
      <c r="AU53" s="722" t="s">
        <v>100</v>
      </c>
      <c r="AV53" s="722"/>
      <c r="AW53" s="722"/>
      <c r="AX53" s="722"/>
      <c r="AY53" s="723"/>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61"/>
      <c r="CJ53" s="110"/>
      <c r="CK53" s="110"/>
      <c r="CL53" s="110"/>
      <c r="CM53" s="110"/>
      <c r="CN53" s="110"/>
      <c r="CO53" s="110"/>
      <c r="CP53" s="110"/>
      <c r="CQ53" s="110"/>
      <c r="CR53" s="110"/>
      <c r="CS53" s="110"/>
      <c r="CT53" s="63"/>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thickBo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716"/>
      <c r="AQ54" s="717"/>
      <c r="AR54" s="717"/>
      <c r="AS54" s="717"/>
      <c r="AT54" s="718"/>
      <c r="AU54" s="724"/>
      <c r="AV54" s="724"/>
      <c r="AW54" s="724"/>
      <c r="AX54" s="724"/>
      <c r="AY54" s="725"/>
      <c r="AZ54" s="174"/>
      <c r="BA54" s="174"/>
      <c r="BB54" s="174"/>
      <c r="BC54" s="174"/>
      <c r="BD54" s="174"/>
      <c r="BE54" s="174"/>
      <c r="BF54" s="174"/>
      <c r="BG54" s="174"/>
      <c r="BH54" s="174"/>
      <c r="BI54" s="177"/>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719"/>
      <c r="AQ55" s="720"/>
      <c r="AR55" s="720"/>
      <c r="AS55" s="720"/>
      <c r="AT55" s="721"/>
      <c r="AU55" s="726"/>
      <c r="AV55" s="726"/>
      <c r="AW55" s="726"/>
      <c r="AX55" s="726"/>
      <c r="AY55" s="727"/>
      <c r="AZ55" s="174"/>
      <c r="BA55" s="174"/>
      <c r="BB55" s="174"/>
      <c r="BC55" s="174"/>
      <c r="BD55" s="174"/>
      <c r="BE55" s="174"/>
      <c r="BF55" s="174"/>
      <c r="BG55" s="174"/>
      <c r="BH55" s="174"/>
      <c r="BI55" s="177"/>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56"/>
      <c r="CJ55" s="175"/>
      <c r="CK55" s="175"/>
      <c r="CL55" s="175"/>
      <c r="CM55" s="175"/>
      <c r="CN55" s="175"/>
      <c r="CO55" s="175"/>
      <c r="CP55" s="175"/>
      <c r="CQ55" s="175"/>
      <c r="CR55" s="175"/>
      <c r="CS55" s="175"/>
      <c r="CT55" s="176"/>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58"/>
      <c r="CJ56" s="109"/>
      <c r="CK56" s="109"/>
      <c r="CL56" s="109"/>
      <c r="CM56" s="109"/>
      <c r="CN56" s="109"/>
      <c r="CO56" s="109"/>
      <c r="CP56" s="109"/>
      <c r="CQ56" s="109"/>
      <c r="CR56" s="109"/>
      <c r="CS56" s="109"/>
      <c r="CT56" s="60"/>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58"/>
      <c r="CJ57" s="109"/>
      <c r="CK57" s="763"/>
      <c r="CL57" s="764"/>
      <c r="CM57" s="764"/>
      <c r="CN57" s="764"/>
      <c r="CO57" s="764"/>
      <c r="CP57" s="764"/>
      <c r="CQ57" s="764"/>
      <c r="CR57" s="771"/>
      <c r="CS57" s="109"/>
      <c r="CT57" s="60"/>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58"/>
      <c r="CJ58" s="109"/>
      <c r="CK58" s="766"/>
      <c r="CL58" s="767"/>
      <c r="CM58" s="767"/>
      <c r="CN58" s="767"/>
      <c r="CO58" s="767"/>
      <c r="CP58" s="767"/>
      <c r="CQ58" s="767"/>
      <c r="CR58" s="772"/>
      <c r="CS58" s="109"/>
      <c r="CT58" s="60"/>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58"/>
      <c r="CJ59" s="109"/>
      <c r="CK59" s="766"/>
      <c r="CL59" s="767"/>
      <c r="CM59" s="767"/>
      <c r="CN59" s="767"/>
      <c r="CO59" s="767"/>
      <c r="CP59" s="767"/>
      <c r="CQ59" s="767"/>
      <c r="CR59" s="772"/>
      <c r="CS59" s="109"/>
      <c r="CT59" s="60"/>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58"/>
      <c r="CJ60" s="109"/>
      <c r="CK60" s="1833">
        <f>MAX(CL67/LTAF/CL66,CG62/LTAF/CH62)+ CK41/CK42</f>
        <v>1236.4473684210527</v>
      </c>
      <c r="CL60" s="1834"/>
      <c r="CM60" s="1834"/>
      <c r="CN60" s="1834"/>
      <c r="CO60" s="1834"/>
      <c r="CP60" s="1834"/>
      <c r="CQ60" s="1834"/>
      <c r="CR60" s="1835"/>
      <c r="CS60" s="109"/>
      <c r="CT60" s="60"/>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58"/>
      <c r="CJ61" s="109"/>
      <c r="CK61" s="1833"/>
      <c r="CL61" s="1834"/>
      <c r="CM61" s="1834"/>
      <c r="CN61" s="1834"/>
      <c r="CO61" s="1834"/>
      <c r="CP61" s="1834"/>
      <c r="CQ61" s="1834"/>
      <c r="CR61" s="1835"/>
      <c r="CS61" s="109"/>
      <c r="CT61" s="60"/>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138"/>
      <c r="CC62" s="1134"/>
      <c r="CD62" s="1134"/>
      <c r="CE62" s="1134"/>
      <c r="CF62" s="1295" t="s">
        <v>99</v>
      </c>
      <c r="CG62" s="1087">
        <f>EBR_Master</f>
        <v>208</v>
      </c>
      <c r="CH62" s="1239">
        <v>1</v>
      </c>
      <c r="CI62" s="58"/>
      <c r="CJ62" s="109"/>
      <c r="CK62" s="1836"/>
      <c r="CL62" s="1837"/>
      <c r="CM62" s="1837"/>
      <c r="CN62" s="1837"/>
      <c r="CO62" s="1837"/>
      <c r="CP62" s="1837"/>
      <c r="CQ62" s="1837"/>
      <c r="CR62" s="1838"/>
      <c r="CS62" s="109"/>
      <c r="CT62" s="60"/>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139"/>
      <c r="CC63" s="1136"/>
      <c r="CD63" s="1136"/>
      <c r="CE63" s="1136"/>
      <c r="CF63" s="1294"/>
      <c r="CG63" s="1080"/>
      <c r="CH63" s="1081"/>
      <c r="CI63" s="58"/>
      <c r="CJ63" s="109"/>
      <c r="CK63" s="109"/>
      <c r="CL63" s="109"/>
      <c r="CM63" s="109"/>
      <c r="CN63" s="109"/>
      <c r="CO63" s="109"/>
      <c r="CP63" s="109"/>
      <c r="CQ63" s="109"/>
      <c r="CR63" s="109"/>
      <c r="CS63" s="109"/>
      <c r="CT63" s="60"/>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728">
        <f>CK60</f>
        <v>1236.4473684210527</v>
      </c>
      <c r="AQ64" s="861"/>
      <c r="AR64" s="861"/>
      <c r="AS64" s="861"/>
      <c r="AT64" s="861"/>
      <c r="AU64" s="861"/>
      <c r="AV64" s="861"/>
      <c r="AW64" s="861"/>
      <c r="AX64" s="861"/>
      <c r="AY64" s="862"/>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153"/>
      <c r="CC64" s="1150"/>
      <c r="CD64" s="1150"/>
      <c r="CE64" s="1150"/>
      <c r="CF64" s="1299"/>
      <c r="CG64" s="1109"/>
      <c r="CH64" s="1110"/>
      <c r="CI64" s="58"/>
      <c r="CJ64" s="109"/>
      <c r="CK64" s="109"/>
      <c r="CL64" s="109"/>
      <c r="CM64" s="109"/>
      <c r="CN64" s="109"/>
      <c r="CO64" s="109"/>
      <c r="CP64" s="109"/>
      <c r="CQ64" s="109"/>
      <c r="CR64" s="109"/>
      <c r="CS64" s="109"/>
      <c r="CT64" s="60"/>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863"/>
      <c r="AQ65" s="864"/>
      <c r="AR65" s="864"/>
      <c r="AS65" s="864"/>
      <c r="AT65" s="864"/>
      <c r="AU65" s="864"/>
      <c r="AV65" s="864"/>
      <c r="AW65" s="864"/>
      <c r="AX65" s="864"/>
      <c r="AY65" s="865"/>
      <c r="AZ65" s="174"/>
      <c r="BA65" s="174"/>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31"/>
      <c r="CE65" s="174"/>
      <c r="CF65" s="174"/>
      <c r="CG65" s="174"/>
      <c r="CH65" s="174"/>
      <c r="CI65" s="61"/>
      <c r="CJ65" s="110"/>
      <c r="CK65" s="110"/>
      <c r="CL65" s="110"/>
      <c r="CM65" s="110"/>
      <c r="CN65" s="110"/>
      <c r="CO65" s="110"/>
      <c r="CP65" s="110"/>
      <c r="CQ65" s="110"/>
      <c r="CR65" s="110"/>
      <c r="CS65" s="110"/>
      <c r="CT65" s="63"/>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29"/>
      <c r="F66" s="28"/>
      <c r="G66" s="28"/>
      <c r="H66" s="28"/>
      <c r="I66" s="28"/>
      <c r="J66" s="28"/>
      <c r="K66" s="28"/>
      <c r="L66" s="28"/>
      <c r="M66" s="28"/>
      <c r="N66" s="28"/>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866"/>
      <c r="AQ66" s="867"/>
      <c r="AR66" s="867"/>
      <c r="AS66" s="867"/>
      <c r="AT66" s="867"/>
      <c r="AU66" s="867"/>
      <c r="AV66" s="867"/>
      <c r="AW66" s="867"/>
      <c r="AX66" s="867"/>
      <c r="AY66" s="868"/>
      <c r="AZ66" s="174"/>
      <c r="BA66" s="174"/>
      <c r="BB66" s="174"/>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120"/>
      <c r="CJ66" s="1121"/>
      <c r="CK66" s="1121"/>
      <c r="CL66" s="1040">
        <v>1</v>
      </c>
      <c r="CM66" s="1040"/>
      <c r="CN66" s="1040"/>
      <c r="CO66" s="1040">
        <v>2</v>
      </c>
      <c r="CP66" s="1040"/>
      <c r="CQ66" s="1040"/>
      <c r="CR66" s="1040">
        <v>1</v>
      </c>
      <c r="CS66" s="1040"/>
      <c r="CT66" s="1041"/>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28"/>
      <c r="F67" s="28"/>
      <c r="G67" s="28"/>
      <c r="H67" s="28"/>
      <c r="I67" s="28"/>
      <c r="J67" s="28"/>
      <c r="K67" s="28"/>
      <c r="L67" s="28"/>
      <c r="M67" s="28"/>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713">
        <f>ROUND(AP64/CLV_Limit,2)</f>
        <v>0.77</v>
      </c>
      <c r="AQ67" s="714"/>
      <c r="AR67" s="714"/>
      <c r="AS67" s="714"/>
      <c r="AT67" s="715"/>
      <c r="AU67" s="722" t="s">
        <v>100</v>
      </c>
      <c r="AV67" s="722"/>
      <c r="AW67" s="722"/>
      <c r="AX67" s="722"/>
      <c r="AY67" s="723"/>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122">
        <f>NBU_Master</f>
        <v>0</v>
      </c>
      <c r="CJ67" s="1123"/>
      <c r="CK67" s="1123"/>
      <c r="CL67" s="1123">
        <f>NBL_Master</f>
        <v>0</v>
      </c>
      <c r="CM67" s="1123"/>
      <c r="CN67" s="1123"/>
      <c r="CO67" s="1123">
        <f>NBT_Master</f>
        <v>1260</v>
      </c>
      <c r="CP67" s="1123"/>
      <c r="CQ67" s="1123"/>
      <c r="CR67" s="1123">
        <f>NBR_Master</f>
        <v>1060</v>
      </c>
      <c r="CS67" s="1123"/>
      <c r="CT67" s="112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28"/>
      <c r="F68" s="28"/>
      <c r="G68" s="28"/>
      <c r="H68" s="28"/>
      <c r="I68" s="28"/>
      <c r="J68" s="28"/>
      <c r="K68" s="28"/>
      <c r="L68" s="28"/>
      <c r="M68" s="28"/>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716"/>
      <c r="AQ68" s="717"/>
      <c r="AR68" s="717"/>
      <c r="AS68" s="717"/>
      <c r="AT68" s="718"/>
      <c r="AU68" s="724"/>
      <c r="AV68" s="724"/>
      <c r="AW68" s="724"/>
      <c r="AX68" s="724"/>
      <c r="AY68" s="725"/>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045" t="s">
        <v>99</v>
      </c>
      <c r="CJ68" s="1046"/>
      <c r="CK68" s="1046"/>
      <c r="CL68" s="1046" t="s">
        <v>99</v>
      </c>
      <c r="CM68" s="1046"/>
      <c r="CN68" s="1046"/>
      <c r="CO68" s="1046" t="s">
        <v>99</v>
      </c>
      <c r="CP68" s="1046"/>
      <c r="CQ68" s="1046"/>
      <c r="CR68" s="1046" t="s">
        <v>99</v>
      </c>
      <c r="CS68" s="1046"/>
      <c r="CT68" s="1047"/>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thickBot="1">
      <c r="B69" s="1"/>
      <c r="C69" s="174"/>
      <c r="D69" s="174"/>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719"/>
      <c r="AQ69" s="720"/>
      <c r="AR69" s="720"/>
      <c r="AS69" s="720"/>
      <c r="AT69" s="721"/>
      <c r="AU69" s="726"/>
      <c r="AV69" s="726"/>
      <c r="AW69" s="726"/>
      <c r="AX69" s="726"/>
      <c r="AY69" s="727"/>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099"/>
      <c r="CJ69" s="1068"/>
      <c r="CK69" s="1068"/>
      <c r="CL69" s="1068"/>
      <c r="CM69" s="1068"/>
      <c r="CN69" s="1068"/>
      <c r="CO69" s="1068"/>
      <c r="CP69" s="1068"/>
      <c r="CQ69" s="1068"/>
      <c r="CR69" s="1068"/>
      <c r="CS69" s="1068"/>
      <c r="CT69" s="1069"/>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099"/>
      <c r="CJ70" s="1068"/>
      <c r="CK70" s="1068"/>
      <c r="CL70" s="1068"/>
      <c r="CM70" s="1068"/>
      <c r="CN70" s="1068"/>
      <c r="CO70" s="1068"/>
      <c r="CP70" s="1068"/>
      <c r="CQ70" s="1068"/>
      <c r="CR70" s="1068"/>
      <c r="CS70" s="1068"/>
      <c r="CT70" s="1069"/>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27"/>
      <c r="F71" s="27"/>
      <c r="G71" s="27"/>
      <c r="H71" s="27"/>
      <c r="I71" s="27"/>
      <c r="J71" s="27"/>
      <c r="K71" s="27"/>
      <c r="L71" s="27"/>
      <c r="M71" s="27"/>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099"/>
      <c r="CJ71" s="1068"/>
      <c r="CK71" s="1068"/>
      <c r="CL71" s="1068"/>
      <c r="CM71" s="1068"/>
      <c r="CN71" s="1068"/>
      <c r="CO71" s="1068"/>
      <c r="CP71" s="1068"/>
      <c r="CQ71" s="1068"/>
      <c r="CR71" s="1068"/>
      <c r="CS71" s="1068"/>
      <c r="CT71" s="1069"/>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167"/>
      <c r="CJ72" s="1070"/>
      <c r="CK72" s="1070"/>
      <c r="CL72" s="1070"/>
      <c r="CM72" s="1070"/>
      <c r="CN72" s="1070"/>
      <c r="CO72" s="1070"/>
      <c r="CP72" s="1070"/>
      <c r="CQ72" s="1070"/>
      <c r="CR72" s="1070"/>
      <c r="CS72" s="1070"/>
      <c r="CT72" s="1071"/>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10">
    <mergeCell ref="CI68:CK68"/>
    <mergeCell ref="CL68:CN68"/>
    <mergeCell ref="CO68:CQ68"/>
    <mergeCell ref="CR68:CT68"/>
    <mergeCell ref="CI69:CK72"/>
    <mergeCell ref="CL69:CN72"/>
    <mergeCell ref="CO69:CQ72"/>
    <mergeCell ref="CR69:CT72"/>
    <mergeCell ref="CI66:CK66"/>
    <mergeCell ref="CL66:CN66"/>
    <mergeCell ref="CO66:CQ66"/>
    <mergeCell ref="CR66:CT66"/>
    <mergeCell ref="CI67:CK67"/>
    <mergeCell ref="CL67:CN67"/>
    <mergeCell ref="CO67:CQ67"/>
    <mergeCell ref="CR67:CT67"/>
    <mergeCell ref="CG47:CG49"/>
    <mergeCell ref="CH47:CH49"/>
    <mergeCell ref="CK49:CR51"/>
    <mergeCell ref="CB50:CE52"/>
    <mergeCell ref="CF50:CF52"/>
    <mergeCell ref="CG50:CG52"/>
    <mergeCell ref="CK57:CR59"/>
    <mergeCell ref="CK60:CR62"/>
    <mergeCell ref="CB62:CE64"/>
    <mergeCell ref="CF62:CF64"/>
    <mergeCell ref="CG62:CG64"/>
    <mergeCell ref="CH62:CH64"/>
    <mergeCell ref="CX30:DA32"/>
    <mergeCell ref="CK31:CR33"/>
    <mergeCell ref="CU33:CU35"/>
    <mergeCell ref="CV33:CV35"/>
    <mergeCell ref="CW33:CW35"/>
    <mergeCell ref="CX33:DA35"/>
    <mergeCell ref="CW15:CW17"/>
    <mergeCell ref="CX15:DA17"/>
    <mergeCell ref="CK17:CR19"/>
    <mergeCell ref="CK20:CR22"/>
    <mergeCell ref="CV27:CV29"/>
    <mergeCell ref="CW27:CW29"/>
    <mergeCell ref="CX27:DA29"/>
    <mergeCell ref="CK28:CR30"/>
    <mergeCell ref="CU30:CU32"/>
    <mergeCell ref="CV30:CV32"/>
    <mergeCell ref="CW30:CW32"/>
    <mergeCell ref="AP53:AT55"/>
    <mergeCell ref="AU53:AY55"/>
    <mergeCell ref="AP67:AT69"/>
    <mergeCell ref="AU67:AY69"/>
    <mergeCell ref="N74:AW74"/>
    <mergeCell ref="AP64:AY66"/>
    <mergeCell ref="CI13:CK13"/>
    <mergeCell ref="CL13:CN13"/>
    <mergeCell ref="CO13:CQ13"/>
    <mergeCell ref="CK36:CM39"/>
    <mergeCell ref="CP37:CR37"/>
    <mergeCell ref="CP38:CR38"/>
    <mergeCell ref="CP39:CR39"/>
    <mergeCell ref="CK40:CM40"/>
    <mergeCell ref="CP40:CR43"/>
    <mergeCell ref="CK41:CM41"/>
    <mergeCell ref="CK42:CM42"/>
    <mergeCell ref="CB44:CE46"/>
    <mergeCell ref="CF44:CF46"/>
    <mergeCell ref="CG44:CG46"/>
    <mergeCell ref="CH44:CH46"/>
    <mergeCell ref="CK46:CR48"/>
    <mergeCell ref="CB47:CE49"/>
    <mergeCell ref="CF47:CF49"/>
    <mergeCell ref="BL1:DS2"/>
    <mergeCell ref="BL3:DS4"/>
    <mergeCell ref="CI7:CK10"/>
    <mergeCell ref="CL7:CN10"/>
    <mergeCell ref="CO7:CQ10"/>
    <mergeCell ref="CR7:CT10"/>
    <mergeCell ref="AP18:AY20"/>
    <mergeCell ref="AP33:AY35"/>
    <mergeCell ref="AP50:AY52"/>
    <mergeCell ref="AP21:AT23"/>
    <mergeCell ref="AU21:AY23"/>
    <mergeCell ref="AP36:AT38"/>
    <mergeCell ref="AU36:AY38"/>
    <mergeCell ref="CR13:CT13"/>
    <mergeCell ref="CU15:CU17"/>
    <mergeCell ref="CV15:CV17"/>
    <mergeCell ref="CI11:CK11"/>
    <mergeCell ref="CL11:CN11"/>
    <mergeCell ref="CO11:CQ11"/>
    <mergeCell ref="CR11:CT11"/>
    <mergeCell ref="CI12:CK12"/>
    <mergeCell ref="CL12:CN12"/>
    <mergeCell ref="CO12:CQ12"/>
    <mergeCell ref="CR12:CT12"/>
    <mergeCell ref="C8:J9"/>
    <mergeCell ref="K8:AJ9"/>
    <mergeCell ref="C10:J11"/>
    <mergeCell ref="K10:AJ11"/>
    <mergeCell ref="C12:J13"/>
    <mergeCell ref="K12:AJ13"/>
    <mergeCell ref="B1:BI2"/>
    <mergeCell ref="B3:BI4"/>
    <mergeCell ref="C6:J7"/>
    <mergeCell ref="K6:AJ7"/>
    <mergeCell ref="AK6:BH7"/>
    <mergeCell ref="AK8:AP9"/>
    <mergeCell ref="AQ8:AV9"/>
    <mergeCell ref="AW8:BB9"/>
    <mergeCell ref="BC8:BH9"/>
    <mergeCell ref="AK10:AV13"/>
    <mergeCell ref="AW10:BH13"/>
  </mergeCells>
  <conditionalFormatting sqref="AP18 CK20 CK31 AP33 CK49 AP50 CK60 AP64">
    <cfRule type="cellIs" dxfId="35" priority="21" operator="between">
      <formula>0.75*CLV_Limit</formula>
      <formula>0.875*CLV_Limit-1</formula>
    </cfRule>
    <cfRule type="cellIs" dxfId="34" priority="22" operator="between">
      <formula>0.875*CLV_Limit</formula>
      <formula>CLV_Limit-1</formula>
    </cfRule>
    <cfRule type="cellIs" dxfId="33" priority="23" operator="greaterThanOrEqual">
      <formula>CLV_Limit</formula>
    </cfRule>
  </conditionalFormatting>
  <conditionalFormatting sqref="AW10 AP21 AP36 AP53 AP67">
    <cfRule type="cellIs" dxfId="32" priority="13" operator="between">
      <formula>0.75</formula>
      <formula>0.875</formula>
    </cfRule>
    <cfRule type="cellIs" dxfId="31" priority="14" operator="between">
      <formula>0.875</formula>
      <formula>1</formula>
    </cfRule>
    <cfRule type="cellIs" dxfId="30" priority="15"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5" tint="0.59999389629810485"/>
  </sheetPr>
  <dimension ref="A1:FE484"/>
  <sheetViews>
    <sheetView showGridLines="0" showRowColHeaders="0" zoomScaleNormal="100" workbookViewId="0">
      <selection activeCell="AN68" sqref="AN68"/>
    </sheetView>
  </sheetViews>
  <sheetFormatPr defaultColWidth="0" defaultRowHeight="12.75"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0" width="1.7109375" hidden="1" customWidth="1"/>
    <col min="161" max="161" width="0.28515625" hidden="1" customWidth="1"/>
    <col min="162" max="16384" width="9.140625" hidden="1"/>
  </cols>
  <sheetData>
    <row r="1" spans="2:80" ht="9.9499999999999993" customHeight="1">
      <c r="B1" s="571" t="s">
        <v>164</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MAX(ROUND(F17/CLV_Limit,2),ROUND(T17/CLV_Limit,2),ROUND(BA17/CLV_Limit,2),ROUND(BO17/CLV_Limit,2))</f>
        <v>0.99</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849">
        <f>M85</f>
        <v>946.31578947368428</v>
      </c>
      <c r="G17" s="1850"/>
      <c r="H17" s="1850"/>
      <c r="I17" s="1850"/>
      <c r="J17" s="1850"/>
      <c r="K17" s="1850"/>
      <c r="L17" s="1850"/>
      <c r="M17" s="1850"/>
      <c r="N17" s="1850"/>
      <c r="O17" s="1851"/>
      <c r="P17" s="174"/>
      <c r="Q17" s="174"/>
      <c r="R17" s="174"/>
      <c r="S17" s="174"/>
      <c r="T17" s="1849">
        <f>AA85</f>
        <v>1585.2631578947371</v>
      </c>
      <c r="U17" s="1850"/>
      <c r="V17" s="1850"/>
      <c r="W17" s="1850"/>
      <c r="X17" s="1850"/>
      <c r="Y17" s="1850"/>
      <c r="Z17" s="1850"/>
      <c r="AA17" s="1850"/>
      <c r="AB17" s="1850"/>
      <c r="AC17" s="1851"/>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849">
        <f>AV85</f>
        <v>618.94736842105272</v>
      </c>
      <c r="BB17" s="1850"/>
      <c r="BC17" s="1850"/>
      <c r="BD17" s="1850"/>
      <c r="BE17" s="1850"/>
      <c r="BF17" s="1850"/>
      <c r="BG17" s="1850"/>
      <c r="BH17" s="1850"/>
      <c r="BI17" s="1850"/>
      <c r="BJ17" s="1851"/>
      <c r="BK17" s="174"/>
      <c r="BL17" s="174"/>
      <c r="BM17" s="174"/>
      <c r="BN17" s="174"/>
      <c r="BO17" s="1849">
        <f>BJ85</f>
        <v>1419.2894736842106</v>
      </c>
      <c r="BP17" s="1850"/>
      <c r="BQ17" s="1850"/>
      <c r="BR17" s="1850"/>
      <c r="BS17" s="1850"/>
      <c r="BT17" s="1850"/>
      <c r="BU17" s="1850"/>
      <c r="BV17" s="1850"/>
      <c r="BW17" s="1850"/>
      <c r="BX17" s="1851"/>
      <c r="BY17" s="174"/>
      <c r="BZ17" s="174"/>
      <c r="CA17" s="174"/>
      <c r="CB17" s="177"/>
    </row>
    <row r="18" spans="2:80" ht="9.9499999999999993" customHeight="1">
      <c r="B18" s="1"/>
      <c r="C18" s="174"/>
      <c r="D18" s="174"/>
      <c r="E18" s="174"/>
      <c r="F18" s="1852"/>
      <c r="G18" s="1853"/>
      <c r="H18" s="1853"/>
      <c r="I18" s="1853"/>
      <c r="J18" s="1853"/>
      <c r="K18" s="1853"/>
      <c r="L18" s="1853"/>
      <c r="M18" s="1853"/>
      <c r="N18" s="1853"/>
      <c r="O18" s="1854"/>
      <c r="P18" s="174"/>
      <c r="Q18" s="174"/>
      <c r="R18" s="174"/>
      <c r="S18" s="174"/>
      <c r="T18" s="1852"/>
      <c r="U18" s="1853"/>
      <c r="V18" s="1853"/>
      <c r="W18" s="1853"/>
      <c r="X18" s="1853"/>
      <c r="Y18" s="1853"/>
      <c r="Z18" s="1853"/>
      <c r="AA18" s="1853"/>
      <c r="AB18" s="1853"/>
      <c r="AC18" s="185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852"/>
      <c r="BB18" s="1853"/>
      <c r="BC18" s="1853"/>
      <c r="BD18" s="1853"/>
      <c r="BE18" s="1853"/>
      <c r="BF18" s="1853"/>
      <c r="BG18" s="1853"/>
      <c r="BH18" s="1853"/>
      <c r="BI18" s="1853"/>
      <c r="BJ18" s="1854"/>
      <c r="BK18" s="174"/>
      <c r="BL18" s="174"/>
      <c r="BM18" s="174"/>
      <c r="BN18" s="174"/>
      <c r="BO18" s="1852"/>
      <c r="BP18" s="1853"/>
      <c r="BQ18" s="1853"/>
      <c r="BR18" s="1853"/>
      <c r="BS18" s="1853"/>
      <c r="BT18" s="1853"/>
      <c r="BU18" s="1853"/>
      <c r="BV18" s="1853"/>
      <c r="BW18" s="1853"/>
      <c r="BX18" s="1854"/>
      <c r="BY18" s="174"/>
      <c r="BZ18" s="174"/>
      <c r="CA18" s="174"/>
      <c r="CB18" s="177"/>
    </row>
    <row r="19" spans="2:80" ht="9.9499999999999993" customHeight="1" thickBot="1">
      <c r="B19" s="1"/>
      <c r="C19" s="174"/>
      <c r="D19" s="174"/>
      <c r="E19" s="174"/>
      <c r="F19" s="1855"/>
      <c r="G19" s="1856"/>
      <c r="H19" s="1856"/>
      <c r="I19" s="1856"/>
      <c r="J19" s="1856"/>
      <c r="K19" s="1856"/>
      <c r="L19" s="1856"/>
      <c r="M19" s="1856"/>
      <c r="N19" s="1856"/>
      <c r="O19" s="1857"/>
      <c r="P19" s="174"/>
      <c r="Q19" s="174"/>
      <c r="R19" s="174"/>
      <c r="S19" s="174"/>
      <c r="T19" s="1855"/>
      <c r="U19" s="1856"/>
      <c r="V19" s="1856"/>
      <c r="W19" s="1856"/>
      <c r="X19" s="1856"/>
      <c r="Y19" s="1856"/>
      <c r="Z19" s="1856"/>
      <c r="AA19" s="1856"/>
      <c r="AB19" s="1856"/>
      <c r="AC19" s="1857"/>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855"/>
      <c r="BB19" s="1856"/>
      <c r="BC19" s="1856"/>
      <c r="BD19" s="1856"/>
      <c r="BE19" s="1856"/>
      <c r="BF19" s="1856"/>
      <c r="BG19" s="1856"/>
      <c r="BH19" s="1856"/>
      <c r="BI19" s="1856"/>
      <c r="BJ19" s="1857"/>
      <c r="BK19" s="174"/>
      <c r="BL19" s="174"/>
      <c r="BM19" s="174"/>
      <c r="BN19" s="174"/>
      <c r="BO19" s="1855"/>
      <c r="BP19" s="1856"/>
      <c r="BQ19" s="1856"/>
      <c r="BR19" s="1856"/>
      <c r="BS19" s="1856"/>
      <c r="BT19" s="1856"/>
      <c r="BU19" s="1856"/>
      <c r="BV19" s="1856"/>
      <c r="BW19" s="1856"/>
      <c r="BX19" s="1857"/>
      <c r="BY19" s="174"/>
      <c r="BZ19" s="174"/>
      <c r="CA19" s="174"/>
      <c r="CB19" s="177"/>
    </row>
    <row r="20" spans="2:80" ht="9.9499999999999993" customHeight="1">
      <c r="B20" s="1"/>
      <c r="C20" s="174"/>
      <c r="D20" s="174"/>
      <c r="E20" s="174"/>
      <c r="F20" s="713">
        <f>ROUND(F17/CLV_Limit,2)</f>
        <v>0.59</v>
      </c>
      <c r="G20" s="714"/>
      <c r="H20" s="714"/>
      <c r="I20" s="714"/>
      <c r="J20" s="715"/>
      <c r="K20" s="722" t="s">
        <v>100</v>
      </c>
      <c r="L20" s="722"/>
      <c r="M20" s="722"/>
      <c r="N20" s="722"/>
      <c r="O20" s="723"/>
      <c r="P20" s="174"/>
      <c r="Q20" s="174"/>
      <c r="R20" s="174"/>
      <c r="S20" s="174"/>
      <c r="T20" s="713">
        <f>ROUND(T17/CLV_Limit,2)</f>
        <v>0.99</v>
      </c>
      <c r="U20" s="714"/>
      <c r="V20" s="714"/>
      <c r="W20" s="714"/>
      <c r="X20" s="715"/>
      <c r="Y20" s="722" t="s">
        <v>100</v>
      </c>
      <c r="Z20" s="722"/>
      <c r="AA20" s="722"/>
      <c r="AB20" s="722"/>
      <c r="AC20" s="723"/>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713">
        <f>ROUND(BA17/CLV_Limit,2)</f>
        <v>0.39</v>
      </c>
      <c r="BB20" s="714"/>
      <c r="BC20" s="714"/>
      <c r="BD20" s="714"/>
      <c r="BE20" s="715"/>
      <c r="BF20" s="722" t="s">
        <v>100</v>
      </c>
      <c r="BG20" s="722"/>
      <c r="BH20" s="722"/>
      <c r="BI20" s="722"/>
      <c r="BJ20" s="723"/>
      <c r="BK20" s="174"/>
      <c r="BL20" s="174"/>
      <c r="BM20" s="174"/>
      <c r="BN20" s="174"/>
      <c r="BO20" s="713">
        <f>ROUND(BO17/CLV_Limit,2)</f>
        <v>0.89</v>
      </c>
      <c r="BP20" s="714"/>
      <c r="BQ20" s="714"/>
      <c r="BR20" s="714"/>
      <c r="BS20" s="715"/>
      <c r="BT20" s="722" t="s">
        <v>100</v>
      </c>
      <c r="BU20" s="722"/>
      <c r="BV20" s="722"/>
      <c r="BW20" s="722"/>
      <c r="BX20" s="723"/>
      <c r="BY20" s="174"/>
      <c r="BZ20" s="174"/>
      <c r="CA20" s="174"/>
      <c r="CB20" s="177"/>
    </row>
    <row r="21" spans="2:80" ht="9.9499999999999993" customHeight="1">
      <c r="B21" s="1"/>
      <c r="C21" s="174"/>
      <c r="D21" s="174"/>
      <c r="E21" s="174"/>
      <c r="F21" s="716"/>
      <c r="G21" s="717"/>
      <c r="H21" s="717"/>
      <c r="I21" s="717"/>
      <c r="J21" s="718"/>
      <c r="K21" s="724"/>
      <c r="L21" s="724"/>
      <c r="M21" s="724"/>
      <c r="N21" s="724"/>
      <c r="O21" s="725"/>
      <c r="P21" s="174"/>
      <c r="Q21" s="174"/>
      <c r="R21" s="174"/>
      <c r="S21" s="174"/>
      <c r="T21" s="716"/>
      <c r="U21" s="717"/>
      <c r="V21" s="717"/>
      <c r="W21" s="717"/>
      <c r="X21" s="718"/>
      <c r="Y21" s="724"/>
      <c r="Z21" s="724"/>
      <c r="AA21" s="724"/>
      <c r="AB21" s="724"/>
      <c r="AC21" s="725"/>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716"/>
      <c r="BB21" s="717"/>
      <c r="BC21" s="717"/>
      <c r="BD21" s="717"/>
      <c r="BE21" s="718"/>
      <c r="BF21" s="724"/>
      <c r="BG21" s="724"/>
      <c r="BH21" s="724"/>
      <c r="BI21" s="724"/>
      <c r="BJ21" s="725"/>
      <c r="BK21" s="174"/>
      <c r="BL21" s="174"/>
      <c r="BM21" s="174"/>
      <c r="BN21" s="174"/>
      <c r="BO21" s="716"/>
      <c r="BP21" s="717"/>
      <c r="BQ21" s="717"/>
      <c r="BR21" s="717"/>
      <c r="BS21" s="718"/>
      <c r="BT21" s="724"/>
      <c r="BU21" s="724"/>
      <c r="BV21" s="724"/>
      <c r="BW21" s="724"/>
      <c r="BX21" s="725"/>
      <c r="BY21" s="174"/>
      <c r="BZ21" s="174"/>
      <c r="CA21" s="174"/>
      <c r="CB21" s="177"/>
    </row>
    <row r="22" spans="2:80" ht="9.9499999999999993" customHeight="1" thickBot="1">
      <c r="B22" s="1"/>
      <c r="C22" s="174"/>
      <c r="D22" s="174"/>
      <c r="E22" s="174"/>
      <c r="F22" s="719"/>
      <c r="G22" s="720"/>
      <c r="H22" s="720"/>
      <c r="I22" s="720"/>
      <c r="J22" s="721"/>
      <c r="K22" s="726"/>
      <c r="L22" s="726"/>
      <c r="M22" s="726"/>
      <c r="N22" s="726"/>
      <c r="O22" s="727"/>
      <c r="P22" s="174"/>
      <c r="Q22" s="174"/>
      <c r="R22" s="174"/>
      <c r="S22" s="174"/>
      <c r="T22" s="719"/>
      <c r="U22" s="720"/>
      <c r="V22" s="720"/>
      <c r="W22" s="720"/>
      <c r="X22" s="721"/>
      <c r="Y22" s="726"/>
      <c r="Z22" s="726"/>
      <c r="AA22" s="726"/>
      <c r="AB22" s="726"/>
      <c r="AC22" s="727"/>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719"/>
      <c r="BB22" s="720"/>
      <c r="BC22" s="720"/>
      <c r="BD22" s="720"/>
      <c r="BE22" s="721"/>
      <c r="BF22" s="726"/>
      <c r="BG22" s="726"/>
      <c r="BH22" s="726"/>
      <c r="BI22" s="726"/>
      <c r="BJ22" s="727"/>
      <c r="BK22" s="174"/>
      <c r="BL22" s="174"/>
      <c r="BM22" s="174"/>
      <c r="BN22" s="174"/>
      <c r="BO22" s="719"/>
      <c r="BP22" s="720"/>
      <c r="BQ22" s="720"/>
      <c r="BR22" s="720"/>
      <c r="BS22" s="721"/>
      <c r="BT22" s="726"/>
      <c r="BU22" s="726"/>
      <c r="BV22" s="726"/>
      <c r="BW22" s="726"/>
      <c r="BX22" s="727"/>
      <c r="BY22" s="174"/>
      <c r="BZ22" s="174"/>
      <c r="CA22" s="174"/>
      <c r="CB22" s="177"/>
    </row>
    <row r="23" spans="2:80"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7"/>
    </row>
    <row r="24" spans="2:80"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7"/>
    </row>
    <row r="25" spans="2:80"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7"/>
    </row>
    <row r="26" spans="2:80"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7"/>
    </row>
    <row r="27" spans="2:80"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168"/>
      <c r="X55" s="705" t="s">
        <v>101</v>
      </c>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164</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7"/>
      <c r="C64" s="6"/>
      <c r="D64" s="174"/>
      <c r="E64" s="174"/>
      <c r="F64" s="174"/>
      <c r="G64" s="18"/>
      <c r="H64" s="174"/>
      <c r="I64" s="174"/>
      <c r="J64" s="174"/>
      <c r="K64" s="174"/>
      <c r="L64" s="174"/>
      <c r="M64" s="174"/>
      <c r="N64" s="174"/>
      <c r="O64" s="174"/>
      <c r="P64" s="174"/>
      <c r="Q64" s="174"/>
      <c r="R64" s="174"/>
      <c r="S64" s="174"/>
      <c r="T64" s="174"/>
      <c r="U64" s="174"/>
      <c r="V64" s="174"/>
      <c r="W64" s="174"/>
      <c r="X64" s="174"/>
      <c r="Y64" s="174"/>
      <c r="Z64" s="174"/>
      <c r="AA64" s="174"/>
      <c r="AB64" s="33"/>
      <c r="AC64" s="33"/>
      <c r="AD64" s="33"/>
      <c r="AE64" s="33"/>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7"/>
      <c r="C65" s="6"/>
      <c r="D65" s="174"/>
      <c r="E65" s="174"/>
      <c r="F65" s="174"/>
      <c r="G65" s="18"/>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c r="B66" s="17"/>
      <c r="C66" s="6"/>
      <c r="D66" s="174"/>
      <c r="E66" s="174"/>
      <c r="F66" s="174"/>
      <c r="G66" s="18"/>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7"/>
      <c r="C67" s="6"/>
      <c r="D67" s="174"/>
      <c r="E67" s="174"/>
      <c r="F67" s="174"/>
      <c r="G67" s="18"/>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c r="B68" s="17"/>
      <c r="C68" s="6"/>
      <c r="D68" s="174"/>
      <c r="E68" s="174"/>
      <c r="F68" s="174"/>
      <c r="G68" s="18"/>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25"/>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c r="B69" s="17"/>
      <c r="C69" s="6"/>
      <c r="D69" s="174"/>
      <c r="E69" s="174"/>
      <c r="F69" s="174"/>
      <c r="G69" s="18"/>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c r="B70" s="17"/>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thickBo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25"/>
      <c r="AD71" s="25"/>
      <c r="AE71" s="25"/>
      <c r="AF71" s="25"/>
      <c r="AG71" s="25"/>
      <c r="AH71" s="25"/>
      <c r="AI71" s="1858"/>
      <c r="AJ71" s="1858"/>
      <c r="AK71" s="1858"/>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174"/>
      <c r="M72" s="1096"/>
      <c r="N72" s="1097"/>
      <c r="O72" s="1098"/>
      <c r="P72" s="174"/>
      <c r="Q72" s="174"/>
      <c r="R72" s="174"/>
      <c r="S72" s="174"/>
      <c r="T72" s="174"/>
      <c r="U72" s="174"/>
      <c r="V72" s="174"/>
      <c r="W72" s="174"/>
      <c r="X72" s="174"/>
      <c r="Y72" s="174"/>
      <c r="Z72" s="1859"/>
      <c r="AA72" s="1860"/>
      <c r="AB72" s="1861"/>
      <c r="AC72" s="1096"/>
      <c r="AD72" s="1097"/>
      <c r="AE72" s="1097"/>
      <c r="AF72" s="1097"/>
      <c r="AG72" s="1097"/>
      <c r="AH72" s="1098"/>
      <c r="AI72" s="174"/>
      <c r="AJ72" s="174"/>
      <c r="AK72" s="16"/>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c r="B73" s="1"/>
      <c r="C73" s="174"/>
      <c r="D73" s="174"/>
      <c r="E73" s="174"/>
      <c r="F73" s="174"/>
      <c r="G73" s="174"/>
      <c r="H73" s="174"/>
      <c r="I73" s="174"/>
      <c r="J73" s="174"/>
      <c r="K73" s="174"/>
      <c r="L73" s="174"/>
      <c r="M73" s="1099"/>
      <c r="N73" s="1068"/>
      <c r="O73" s="1069"/>
      <c r="P73" s="174"/>
      <c r="Q73" s="174"/>
      <c r="R73" s="174"/>
      <c r="S73" s="174"/>
      <c r="T73" s="174"/>
      <c r="U73" s="174"/>
      <c r="V73" s="174"/>
      <c r="W73" s="174"/>
      <c r="X73" s="174"/>
      <c r="Y73" s="174"/>
      <c r="Z73" s="1862"/>
      <c r="AA73" s="1863"/>
      <c r="AB73" s="1864"/>
      <c r="AC73" s="1099"/>
      <c r="AD73" s="1068"/>
      <c r="AE73" s="1068"/>
      <c r="AF73" s="1068"/>
      <c r="AG73" s="1068"/>
      <c r="AH73" s="1069"/>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174"/>
      <c r="H74" s="174"/>
      <c r="I74" s="174"/>
      <c r="J74" s="174"/>
      <c r="K74" s="174"/>
      <c r="L74" s="174"/>
      <c r="M74" s="1099"/>
      <c r="N74" s="1068"/>
      <c r="O74" s="1069"/>
      <c r="P74" s="174"/>
      <c r="Q74" s="174"/>
      <c r="R74" s="174"/>
      <c r="S74" s="174"/>
      <c r="T74" s="174"/>
      <c r="U74" s="174"/>
      <c r="V74" s="174"/>
      <c r="W74" s="174"/>
      <c r="X74" s="174"/>
      <c r="Y74" s="174"/>
      <c r="Z74" s="1862"/>
      <c r="AA74" s="1863"/>
      <c r="AB74" s="1864"/>
      <c r="AC74" s="1099"/>
      <c r="AD74" s="1068"/>
      <c r="AE74" s="1068"/>
      <c r="AF74" s="1068"/>
      <c r="AG74" s="1068"/>
      <c r="AH74" s="1069"/>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thickBot="1">
      <c r="B75" s="1"/>
      <c r="C75" s="174"/>
      <c r="D75" s="174"/>
      <c r="E75" s="174"/>
      <c r="F75" s="174"/>
      <c r="G75" s="174"/>
      <c r="H75" s="174"/>
      <c r="I75" s="174"/>
      <c r="J75" s="174"/>
      <c r="K75" s="174"/>
      <c r="L75" s="174"/>
      <c r="M75" s="1099"/>
      <c r="N75" s="1068"/>
      <c r="O75" s="1069"/>
      <c r="P75" s="174"/>
      <c r="Q75" s="174"/>
      <c r="R75" s="174"/>
      <c r="S75" s="174"/>
      <c r="T75" s="174"/>
      <c r="U75" s="174"/>
      <c r="V75" s="174"/>
      <c r="W75" s="174"/>
      <c r="X75" s="174"/>
      <c r="Y75" s="174"/>
      <c r="Z75" s="1862"/>
      <c r="AA75" s="1863"/>
      <c r="AB75" s="1864"/>
      <c r="AC75" s="1099"/>
      <c r="AD75" s="1068"/>
      <c r="AE75" s="1068"/>
      <c r="AF75" s="1068"/>
      <c r="AG75" s="1068"/>
      <c r="AH75" s="1069"/>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c r="B76" s="1"/>
      <c r="C76" s="174"/>
      <c r="D76" s="174"/>
      <c r="E76" s="174"/>
      <c r="F76" s="174"/>
      <c r="G76" s="174"/>
      <c r="H76" s="174"/>
      <c r="I76" s="174"/>
      <c r="J76" s="174"/>
      <c r="K76" s="174"/>
      <c r="L76" s="174"/>
      <c r="M76" s="1045" t="s">
        <v>99</v>
      </c>
      <c r="N76" s="1046"/>
      <c r="O76" s="1047"/>
      <c r="P76" s="174"/>
      <c r="Q76" s="174"/>
      <c r="R76" s="174"/>
      <c r="S76" s="174"/>
      <c r="T76" s="174"/>
      <c r="U76" s="174"/>
      <c r="V76" s="174"/>
      <c r="W76" s="174"/>
      <c r="X76" s="174"/>
      <c r="Y76" s="174"/>
      <c r="Z76" s="1065" t="s">
        <v>99</v>
      </c>
      <c r="AA76" s="1066"/>
      <c r="AB76" s="1067"/>
      <c r="AC76" s="1045" t="s">
        <v>99</v>
      </c>
      <c r="AD76" s="1046"/>
      <c r="AE76" s="1046"/>
      <c r="AF76" s="1046" t="s">
        <v>99</v>
      </c>
      <c r="AG76" s="1046"/>
      <c r="AH76" s="1047"/>
      <c r="AI76" s="174"/>
      <c r="AJ76" s="174"/>
      <c r="AK76" s="174"/>
      <c r="AL76" s="174"/>
      <c r="AM76" s="174"/>
      <c r="AN76" s="174"/>
      <c r="AO76" s="174"/>
      <c r="AP76" s="174"/>
      <c r="AQ76" s="174"/>
      <c r="AR76" s="174"/>
      <c r="AS76" s="174"/>
      <c r="AT76" s="174"/>
      <c r="AU76" s="174"/>
      <c r="AV76" s="1090">
        <v>2</v>
      </c>
      <c r="AW76" s="1222">
        <f>BU82</f>
        <v>0</v>
      </c>
      <c r="AX76" s="1147" t="s">
        <v>99</v>
      </c>
      <c r="AY76" s="1134"/>
      <c r="AZ76" s="1134"/>
      <c r="BA76" s="1134"/>
      <c r="BB76" s="1135"/>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7"/>
    </row>
    <row r="77" spans="2:80" ht="9.9499999999999993" customHeight="1" thickBot="1">
      <c r="B77" s="1"/>
      <c r="C77" s="174"/>
      <c r="D77" s="174"/>
      <c r="E77" s="174"/>
      <c r="F77" s="174"/>
      <c r="G77" s="174"/>
      <c r="H77" s="174"/>
      <c r="I77" s="174"/>
      <c r="J77" s="174"/>
      <c r="K77" s="174"/>
      <c r="L77" s="174"/>
      <c r="M77" s="1186">
        <f>SBR_Master</f>
        <v>0</v>
      </c>
      <c r="N77" s="1187"/>
      <c r="O77" s="1188"/>
      <c r="P77" s="174"/>
      <c r="Q77" s="174"/>
      <c r="R77" s="174"/>
      <c r="S77" s="174"/>
      <c r="T77" s="174"/>
      <c r="U77" s="174"/>
      <c r="V77" s="174"/>
      <c r="W77" s="174"/>
      <c r="X77" s="174"/>
      <c r="Y77" s="174"/>
      <c r="Z77" s="1865"/>
      <c r="AA77" s="1866"/>
      <c r="AB77" s="1867"/>
      <c r="AC77" s="1186">
        <f>SBL_Master</f>
        <v>607</v>
      </c>
      <c r="AD77" s="1187"/>
      <c r="AE77" s="1187"/>
      <c r="AF77" s="1187">
        <f>SBU_Master</f>
        <v>0</v>
      </c>
      <c r="AG77" s="1187"/>
      <c r="AH77" s="1188"/>
      <c r="AI77" s="174"/>
      <c r="AJ77" s="174"/>
      <c r="AK77" s="174"/>
      <c r="AL77" s="174"/>
      <c r="AM77" s="174"/>
      <c r="AN77" s="174"/>
      <c r="AO77" s="174"/>
      <c r="AP77" s="174"/>
      <c r="AQ77" s="174"/>
      <c r="AR77" s="174"/>
      <c r="AS77" s="174"/>
      <c r="AT77" s="174"/>
      <c r="AU77" s="174"/>
      <c r="AV77" s="1082"/>
      <c r="AW77" s="1223"/>
      <c r="AX77" s="1148"/>
      <c r="AY77" s="1136"/>
      <c r="AZ77" s="1136"/>
      <c r="BA77" s="1136"/>
      <c r="BB77" s="1137"/>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7"/>
    </row>
    <row r="78" spans="2:80" ht="9.9499999999999993" customHeight="1" thickBot="1">
      <c r="B78" s="1"/>
      <c r="C78" s="174"/>
      <c r="D78" s="174"/>
      <c r="E78" s="174"/>
      <c r="F78" s="174"/>
      <c r="G78" s="174"/>
      <c r="H78" s="174"/>
      <c r="I78" s="174"/>
      <c r="J78" s="174"/>
      <c r="K78" s="174"/>
      <c r="L78" s="174"/>
      <c r="M78" s="928">
        <v>1</v>
      </c>
      <c r="N78" s="929"/>
      <c r="O78" s="930"/>
      <c r="P78" s="174"/>
      <c r="Q78" s="174"/>
      <c r="R78" s="174"/>
      <c r="S78" s="174"/>
      <c r="T78" s="174"/>
      <c r="U78" s="174"/>
      <c r="V78" s="174"/>
      <c r="W78" s="174"/>
      <c r="X78" s="174"/>
      <c r="Y78" s="174"/>
      <c r="Z78" s="174"/>
      <c r="AA78" s="174"/>
      <c r="AB78" s="174"/>
      <c r="AC78" s="1034">
        <v>1</v>
      </c>
      <c r="AD78" s="1035"/>
      <c r="AE78" s="1035"/>
      <c r="AF78" s="1035"/>
      <c r="AG78" s="1035"/>
      <c r="AH78" s="1038"/>
      <c r="AI78" s="174"/>
      <c r="AJ78" s="174"/>
      <c r="AK78" s="174"/>
      <c r="AL78" s="174"/>
      <c r="AM78" s="174"/>
      <c r="AN78" s="174"/>
      <c r="AO78" s="174"/>
      <c r="AP78" s="174"/>
      <c r="AQ78" s="174"/>
      <c r="AR78" s="174"/>
      <c r="AS78" s="174"/>
      <c r="AT78" s="174"/>
      <c r="AU78" s="174"/>
      <c r="AV78" s="1221"/>
      <c r="AW78" s="1224"/>
      <c r="AX78" s="1149"/>
      <c r="AY78" s="1150"/>
      <c r="AZ78" s="1150"/>
      <c r="BA78" s="1150"/>
      <c r="BB78" s="1151"/>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7"/>
    </row>
    <row r="79" spans="2:80" ht="9.9499999999999993" customHeight="1">
      <c r="B79" s="1"/>
      <c r="C79" s="174"/>
      <c r="D79" s="1138"/>
      <c r="E79" s="1134"/>
      <c r="F79" s="1134"/>
      <c r="G79" s="1134"/>
      <c r="H79" s="1295" t="s">
        <v>99</v>
      </c>
      <c r="I79" s="1087">
        <f>EBU_Master</f>
        <v>0</v>
      </c>
      <c r="J79" s="1088"/>
      <c r="K79" s="67"/>
      <c r="L79" s="67"/>
      <c r="M79" s="67"/>
      <c r="N79" s="175"/>
      <c r="O79" s="175"/>
      <c r="P79" s="175"/>
      <c r="Q79" s="175"/>
      <c r="R79" s="175"/>
      <c r="S79" s="175"/>
      <c r="T79" s="175"/>
      <c r="U79" s="175"/>
      <c r="V79" s="176"/>
      <c r="W79" s="174"/>
      <c r="X79" s="174"/>
      <c r="Y79" s="73"/>
      <c r="Z79" s="67"/>
      <c r="AA79" s="67"/>
      <c r="AB79" s="175"/>
      <c r="AC79" s="175"/>
      <c r="AD79" s="175"/>
      <c r="AE79" s="175"/>
      <c r="AF79" s="175"/>
      <c r="AG79" s="175"/>
      <c r="AH79" s="175"/>
      <c r="AI79" s="175"/>
      <c r="AJ79" s="176"/>
      <c r="AK79" s="174"/>
      <c r="AL79" s="174"/>
      <c r="AM79" s="174"/>
      <c r="AN79" s="174"/>
      <c r="AO79" s="174"/>
      <c r="AP79" s="174"/>
      <c r="AQ79" s="174"/>
      <c r="AR79" s="174"/>
      <c r="AS79" s="174"/>
      <c r="AT79" s="73"/>
      <c r="AU79" s="67"/>
      <c r="AV79" s="67"/>
      <c r="AW79" s="175"/>
      <c r="AX79" s="175"/>
      <c r="AY79" s="175"/>
      <c r="AZ79" s="175"/>
      <c r="BA79" s="175"/>
      <c r="BB79" s="175"/>
      <c r="BC79" s="175"/>
      <c r="BD79" s="175"/>
      <c r="BE79" s="176"/>
      <c r="BF79" s="174"/>
      <c r="BG79" s="174"/>
      <c r="BH79" s="73"/>
      <c r="BI79" s="67"/>
      <c r="BJ79" s="67"/>
      <c r="BK79" s="175"/>
      <c r="BL79" s="175"/>
      <c r="BM79" s="175"/>
      <c r="BN79" s="175"/>
      <c r="BO79" s="175"/>
      <c r="BP79" s="175"/>
      <c r="BQ79" s="175"/>
      <c r="BR79" s="175"/>
      <c r="BS79" s="175"/>
      <c r="BT79" s="1090">
        <v>1</v>
      </c>
      <c r="BU79" s="1091">
        <f>WBR_Master</f>
        <v>625</v>
      </c>
      <c r="BV79" s="1072" t="s">
        <v>99</v>
      </c>
      <c r="BW79" s="1134"/>
      <c r="BX79" s="1134"/>
      <c r="BY79" s="1134"/>
      <c r="BZ79" s="1135"/>
      <c r="CA79" s="174"/>
      <c r="CB79" s="177"/>
    </row>
    <row r="80" spans="2:80" ht="9.9499999999999993" customHeight="1">
      <c r="B80" s="1"/>
      <c r="C80" s="174"/>
      <c r="D80" s="1139"/>
      <c r="E80" s="1136"/>
      <c r="F80" s="1136"/>
      <c r="G80" s="1136"/>
      <c r="H80" s="1294"/>
      <c r="I80" s="1080"/>
      <c r="J80" s="1089"/>
      <c r="K80" s="65"/>
      <c r="L80" s="109"/>
      <c r="M80" s="109"/>
      <c r="N80" s="109"/>
      <c r="O80" s="109"/>
      <c r="P80" s="109"/>
      <c r="Q80" s="109"/>
      <c r="R80" s="109"/>
      <c r="S80" s="109"/>
      <c r="T80" s="109"/>
      <c r="U80" s="109"/>
      <c r="V80" s="60"/>
      <c r="W80" s="174"/>
      <c r="X80" s="174"/>
      <c r="Y80" s="64"/>
      <c r="Z80" s="109"/>
      <c r="AA80" s="109"/>
      <c r="AB80" s="109"/>
      <c r="AC80" s="109"/>
      <c r="AD80" s="109"/>
      <c r="AE80" s="109"/>
      <c r="AF80" s="109"/>
      <c r="AG80" s="109"/>
      <c r="AH80" s="109"/>
      <c r="AI80" s="109"/>
      <c r="AJ80" s="60"/>
      <c r="AK80" s="174"/>
      <c r="AL80" s="174"/>
      <c r="AM80" s="174"/>
      <c r="AN80" s="174"/>
      <c r="AO80" s="174"/>
      <c r="AP80" s="174"/>
      <c r="AQ80" s="174"/>
      <c r="AR80" s="174"/>
      <c r="AS80" s="174"/>
      <c r="AT80" s="64"/>
      <c r="AU80" s="109"/>
      <c r="AV80" s="109"/>
      <c r="AW80" s="109"/>
      <c r="AX80" s="109"/>
      <c r="AY80" s="109"/>
      <c r="AZ80" s="109"/>
      <c r="BA80" s="109"/>
      <c r="BB80" s="109"/>
      <c r="BC80" s="109"/>
      <c r="BD80" s="109"/>
      <c r="BE80" s="60"/>
      <c r="BF80" s="174"/>
      <c r="BG80" s="174"/>
      <c r="BH80" s="64"/>
      <c r="BI80" s="109"/>
      <c r="BJ80" s="109"/>
      <c r="BK80" s="109"/>
      <c r="BL80" s="109"/>
      <c r="BM80" s="109"/>
      <c r="BN80" s="109"/>
      <c r="BO80" s="109"/>
      <c r="BP80" s="109"/>
      <c r="BQ80" s="109"/>
      <c r="BR80" s="109"/>
      <c r="BS80" s="109"/>
      <c r="BT80" s="1082"/>
      <c r="BU80" s="1083"/>
      <c r="BV80" s="1073"/>
      <c r="BW80" s="1136"/>
      <c r="BX80" s="1136"/>
      <c r="BY80" s="1136"/>
      <c r="BZ80" s="1137"/>
      <c r="CA80" s="174"/>
      <c r="CB80" s="177"/>
    </row>
    <row r="81" spans="2:80" ht="9.9499999999999993" customHeight="1" thickBot="1">
      <c r="B81" s="1"/>
      <c r="C81" s="174"/>
      <c r="D81" s="1139"/>
      <c r="E81" s="1136"/>
      <c r="F81" s="1136"/>
      <c r="G81" s="1136"/>
      <c r="H81" s="1294"/>
      <c r="I81" s="1080"/>
      <c r="J81" s="1089"/>
      <c r="K81" s="65"/>
      <c r="L81" s="109"/>
      <c r="M81" s="109"/>
      <c r="N81" s="109"/>
      <c r="O81" s="109"/>
      <c r="P81" s="109"/>
      <c r="Q81" s="109"/>
      <c r="R81" s="109"/>
      <c r="S81" s="109"/>
      <c r="T81" s="109"/>
      <c r="U81" s="109"/>
      <c r="V81" s="60"/>
      <c r="W81" s="174"/>
      <c r="X81" s="174"/>
      <c r="Y81" s="64"/>
      <c r="Z81" s="109"/>
      <c r="AA81" s="109"/>
      <c r="AB81" s="109"/>
      <c r="AC81" s="109"/>
      <c r="AD81" s="109"/>
      <c r="AE81" s="109"/>
      <c r="AF81" s="109"/>
      <c r="AG81" s="109"/>
      <c r="AH81" s="109"/>
      <c r="AI81" s="109"/>
      <c r="AJ81" s="60"/>
      <c r="AK81" s="174"/>
      <c r="AL81" s="174"/>
      <c r="AM81" s="174"/>
      <c r="AN81" s="174"/>
      <c r="AO81" s="174"/>
      <c r="AP81" s="174"/>
      <c r="AQ81" s="174"/>
      <c r="AR81" s="174"/>
      <c r="AS81" s="174"/>
      <c r="AT81" s="64"/>
      <c r="AU81" s="109"/>
      <c r="AV81" s="109"/>
      <c r="AW81" s="109"/>
      <c r="AX81" s="109"/>
      <c r="AY81" s="109"/>
      <c r="AZ81" s="109"/>
      <c r="BA81" s="109"/>
      <c r="BB81" s="109"/>
      <c r="BC81" s="109"/>
      <c r="BD81" s="109"/>
      <c r="BE81" s="60"/>
      <c r="BF81" s="174"/>
      <c r="BG81" s="174"/>
      <c r="BH81" s="64"/>
      <c r="BI81" s="109"/>
      <c r="BJ81" s="109"/>
      <c r="BK81" s="109"/>
      <c r="BL81" s="109"/>
      <c r="BM81" s="109"/>
      <c r="BN81" s="109"/>
      <c r="BO81" s="109"/>
      <c r="BP81" s="109"/>
      <c r="BQ81" s="109"/>
      <c r="BR81" s="109"/>
      <c r="BS81" s="109"/>
      <c r="BT81" s="1082"/>
      <c r="BU81" s="1083"/>
      <c r="BV81" s="1073"/>
      <c r="BW81" s="1136"/>
      <c r="BX81" s="1136"/>
      <c r="BY81" s="1136"/>
      <c r="BZ81" s="1137"/>
      <c r="CA81" s="174"/>
      <c r="CB81" s="177"/>
    </row>
    <row r="82" spans="2:80" ht="9.9499999999999993" customHeight="1">
      <c r="B82" s="1"/>
      <c r="C82" s="174"/>
      <c r="D82" s="1139"/>
      <c r="E82" s="1136"/>
      <c r="F82" s="1136"/>
      <c r="G82" s="1136"/>
      <c r="H82" s="1079" t="s">
        <v>99</v>
      </c>
      <c r="I82" s="1080">
        <f>EBL_Master</f>
        <v>899</v>
      </c>
      <c r="J82" s="1081">
        <v>1</v>
      </c>
      <c r="K82" s="65"/>
      <c r="L82" s="109"/>
      <c r="M82" s="763"/>
      <c r="N82" s="764"/>
      <c r="O82" s="764"/>
      <c r="P82" s="764"/>
      <c r="Q82" s="764"/>
      <c r="R82" s="764"/>
      <c r="S82" s="764"/>
      <c r="T82" s="771"/>
      <c r="U82" s="64"/>
      <c r="V82" s="60"/>
      <c r="W82" s="174"/>
      <c r="X82" s="174"/>
      <c r="Y82" s="64"/>
      <c r="Z82" s="109"/>
      <c r="AA82" s="763"/>
      <c r="AB82" s="764"/>
      <c r="AC82" s="764"/>
      <c r="AD82" s="764"/>
      <c r="AE82" s="764"/>
      <c r="AF82" s="764"/>
      <c r="AG82" s="764"/>
      <c r="AH82" s="771"/>
      <c r="AI82" s="64"/>
      <c r="AJ82" s="60"/>
      <c r="AK82" s="1868">
        <f>BT82</f>
        <v>2</v>
      </c>
      <c r="AL82" s="1222">
        <f>BU82+AX92</f>
        <v>0</v>
      </c>
      <c r="AM82" s="1147" t="s">
        <v>99</v>
      </c>
      <c r="AN82" s="1134"/>
      <c r="AO82" s="1134"/>
      <c r="AP82" s="1134"/>
      <c r="AQ82" s="1135"/>
      <c r="AR82" s="174"/>
      <c r="AS82" s="174"/>
      <c r="AT82" s="64"/>
      <c r="AU82" s="109"/>
      <c r="AV82" s="763"/>
      <c r="AW82" s="764"/>
      <c r="AX82" s="764"/>
      <c r="AY82" s="764"/>
      <c r="AZ82" s="764"/>
      <c r="BA82" s="764"/>
      <c r="BB82" s="764"/>
      <c r="BC82" s="771"/>
      <c r="BD82" s="58"/>
      <c r="BE82" s="60"/>
      <c r="BF82" s="174"/>
      <c r="BG82" s="174"/>
      <c r="BH82" s="64"/>
      <c r="BI82" s="109"/>
      <c r="BJ82" s="763"/>
      <c r="BK82" s="764"/>
      <c r="BL82" s="764"/>
      <c r="BM82" s="764"/>
      <c r="BN82" s="764"/>
      <c r="BO82" s="764"/>
      <c r="BP82" s="764"/>
      <c r="BQ82" s="771"/>
      <c r="BR82" s="64"/>
      <c r="BS82" s="109"/>
      <c r="BT82" s="1082">
        <v>2</v>
      </c>
      <c r="BU82" s="1083">
        <f>WBT_Master</f>
        <v>0</v>
      </c>
      <c r="BV82" s="1073" t="s">
        <v>99</v>
      </c>
      <c r="BW82" s="1136"/>
      <c r="BX82" s="1136"/>
      <c r="BY82" s="1136"/>
      <c r="BZ82" s="1137"/>
      <c r="CA82" s="174"/>
      <c r="CB82" s="177"/>
    </row>
    <row r="83" spans="2:80" ht="9.9499999999999993" customHeight="1">
      <c r="B83" s="1"/>
      <c r="C83" s="174"/>
      <c r="D83" s="1139"/>
      <c r="E83" s="1136"/>
      <c r="F83" s="1136"/>
      <c r="G83" s="1136"/>
      <c r="H83" s="1079"/>
      <c r="I83" s="1080"/>
      <c r="J83" s="1081"/>
      <c r="K83" s="65"/>
      <c r="L83" s="109"/>
      <c r="M83" s="766"/>
      <c r="N83" s="767"/>
      <c r="O83" s="767"/>
      <c r="P83" s="767"/>
      <c r="Q83" s="767"/>
      <c r="R83" s="767"/>
      <c r="S83" s="767"/>
      <c r="T83" s="772"/>
      <c r="U83" s="64"/>
      <c r="V83" s="60"/>
      <c r="W83" s="174"/>
      <c r="X83" s="174"/>
      <c r="Y83" s="64"/>
      <c r="Z83" s="109"/>
      <c r="AA83" s="766"/>
      <c r="AB83" s="767"/>
      <c r="AC83" s="767"/>
      <c r="AD83" s="767"/>
      <c r="AE83" s="767"/>
      <c r="AF83" s="767"/>
      <c r="AG83" s="767"/>
      <c r="AH83" s="772"/>
      <c r="AI83" s="64"/>
      <c r="AJ83" s="60"/>
      <c r="AK83" s="1869"/>
      <c r="AL83" s="1223"/>
      <c r="AM83" s="1148"/>
      <c r="AN83" s="1136"/>
      <c r="AO83" s="1136"/>
      <c r="AP83" s="1136"/>
      <c r="AQ83" s="1137"/>
      <c r="AR83" s="174"/>
      <c r="AS83" s="174"/>
      <c r="AT83" s="64"/>
      <c r="AU83" s="109"/>
      <c r="AV83" s="766"/>
      <c r="AW83" s="767"/>
      <c r="AX83" s="767"/>
      <c r="AY83" s="767"/>
      <c r="AZ83" s="767"/>
      <c r="BA83" s="767"/>
      <c r="BB83" s="767"/>
      <c r="BC83" s="772"/>
      <c r="BD83" s="58"/>
      <c r="BE83" s="60"/>
      <c r="BF83" s="174"/>
      <c r="BG83" s="174"/>
      <c r="BH83" s="64"/>
      <c r="BI83" s="109"/>
      <c r="BJ83" s="766"/>
      <c r="BK83" s="767"/>
      <c r="BL83" s="767"/>
      <c r="BM83" s="767"/>
      <c r="BN83" s="767"/>
      <c r="BO83" s="767"/>
      <c r="BP83" s="767"/>
      <c r="BQ83" s="772"/>
      <c r="BR83" s="64"/>
      <c r="BS83" s="109"/>
      <c r="BT83" s="1082"/>
      <c r="BU83" s="1083"/>
      <c r="BV83" s="1073"/>
      <c r="BW83" s="1136"/>
      <c r="BX83" s="1136"/>
      <c r="BY83" s="1136"/>
      <c r="BZ83" s="1137"/>
      <c r="CA83" s="174"/>
      <c r="CB83" s="177"/>
    </row>
    <row r="84" spans="2:80" ht="9.9499999999999993" customHeight="1" thickBot="1">
      <c r="B84" s="1"/>
      <c r="C84" s="174"/>
      <c r="D84" s="1139"/>
      <c r="E84" s="1136"/>
      <c r="F84" s="1136"/>
      <c r="G84" s="1136"/>
      <c r="H84" s="1079"/>
      <c r="I84" s="1080"/>
      <c r="J84" s="1081"/>
      <c r="K84" s="65"/>
      <c r="L84" s="109"/>
      <c r="M84" s="766"/>
      <c r="N84" s="767"/>
      <c r="O84" s="767"/>
      <c r="P84" s="767"/>
      <c r="Q84" s="767"/>
      <c r="R84" s="767"/>
      <c r="S84" s="767"/>
      <c r="T84" s="772"/>
      <c r="U84" s="64"/>
      <c r="V84" s="60"/>
      <c r="W84" s="174"/>
      <c r="X84" s="174"/>
      <c r="Y84" s="64"/>
      <c r="Z84" s="109"/>
      <c r="AA84" s="766"/>
      <c r="AB84" s="767"/>
      <c r="AC84" s="767"/>
      <c r="AD84" s="767"/>
      <c r="AE84" s="767"/>
      <c r="AF84" s="767"/>
      <c r="AG84" s="767"/>
      <c r="AH84" s="772"/>
      <c r="AI84" s="64"/>
      <c r="AJ84" s="60"/>
      <c r="AK84" s="1870"/>
      <c r="AL84" s="1224"/>
      <c r="AM84" s="1149"/>
      <c r="AN84" s="1150"/>
      <c r="AO84" s="1150"/>
      <c r="AP84" s="1150"/>
      <c r="AQ84" s="1151"/>
      <c r="AR84" s="174"/>
      <c r="AS84" s="174"/>
      <c r="AT84" s="64"/>
      <c r="AU84" s="109"/>
      <c r="AV84" s="766"/>
      <c r="AW84" s="767"/>
      <c r="AX84" s="767"/>
      <c r="AY84" s="767"/>
      <c r="AZ84" s="767"/>
      <c r="BA84" s="767"/>
      <c r="BB84" s="767"/>
      <c r="BC84" s="772"/>
      <c r="BD84" s="58"/>
      <c r="BE84" s="60"/>
      <c r="BF84" s="174"/>
      <c r="BG84" s="174"/>
      <c r="BH84" s="64"/>
      <c r="BI84" s="109"/>
      <c r="BJ84" s="766"/>
      <c r="BK84" s="767"/>
      <c r="BL84" s="767"/>
      <c r="BM84" s="767"/>
      <c r="BN84" s="767"/>
      <c r="BO84" s="767"/>
      <c r="BP84" s="767"/>
      <c r="BQ84" s="772"/>
      <c r="BR84" s="64"/>
      <c r="BS84" s="109"/>
      <c r="BT84" s="1082"/>
      <c r="BU84" s="1083"/>
      <c r="BV84" s="1073"/>
      <c r="BW84" s="1136"/>
      <c r="BX84" s="1136"/>
      <c r="BY84" s="1136"/>
      <c r="BZ84" s="1137"/>
      <c r="CA84" s="174"/>
      <c r="CB84" s="177"/>
    </row>
    <row r="85" spans="2:80" ht="9.9499999999999993" customHeight="1">
      <c r="B85" s="1"/>
      <c r="C85" s="174"/>
      <c r="D85" s="1139"/>
      <c r="E85" s="1136"/>
      <c r="F85" s="1136"/>
      <c r="G85" s="1136"/>
      <c r="H85" s="1079" t="s">
        <v>99</v>
      </c>
      <c r="I85" s="1080">
        <f>EBT_Master</f>
        <v>0</v>
      </c>
      <c r="J85" s="1081">
        <v>2</v>
      </c>
      <c r="K85" s="65"/>
      <c r="L85" s="109"/>
      <c r="M85" s="1833">
        <f>MAX(M77/LTAF/M78, I82/LTAF/J82)+ AL82/AK82</f>
        <v>946.31578947368428</v>
      </c>
      <c r="N85" s="1834"/>
      <c r="O85" s="1834"/>
      <c r="P85" s="1834"/>
      <c r="Q85" s="1834"/>
      <c r="R85" s="1834"/>
      <c r="S85" s="1834"/>
      <c r="T85" s="1835"/>
      <c r="U85" s="64"/>
      <c r="V85" s="60"/>
      <c r="W85" s="174"/>
      <c r="X85" s="174"/>
      <c r="Y85" s="64"/>
      <c r="Z85" s="109"/>
      <c r="AA85" s="1833">
        <f>MAX(AL82/AK82,I85/J85,I82/LTAF/J82)+(AC77/LTAF/AC78)</f>
        <v>1585.2631578947371</v>
      </c>
      <c r="AB85" s="1834"/>
      <c r="AC85" s="1834"/>
      <c r="AD85" s="1834"/>
      <c r="AE85" s="1834"/>
      <c r="AF85" s="1834"/>
      <c r="AG85" s="1834"/>
      <c r="AH85" s="1835"/>
      <c r="AI85" s="64"/>
      <c r="AJ85" s="60"/>
      <c r="AK85" s="174"/>
      <c r="AL85" s="174"/>
      <c r="AM85" s="1138"/>
      <c r="AN85" s="1134"/>
      <c r="AO85" s="1134"/>
      <c r="AP85" s="1134"/>
      <c r="AQ85" s="1158" t="s">
        <v>99</v>
      </c>
      <c r="AR85" s="1280">
        <f>I85+AC77</f>
        <v>607</v>
      </c>
      <c r="AS85" s="1871">
        <f>J85</f>
        <v>2</v>
      </c>
      <c r="AT85" s="64"/>
      <c r="AU85" s="109"/>
      <c r="AV85" s="1833">
        <f>MAX(BU82/BT82,AR85/AS85,BU85/LTAF/BT85)+((AX92/LTAF)+BA92)/AU91</f>
        <v>618.94736842105272</v>
      </c>
      <c r="AW85" s="1834"/>
      <c r="AX85" s="1834"/>
      <c r="AY85" s="1834"/>
      <c r="AZ85" s="1834"/>
      <c r="BA85" s="1834"/>
      <c r="BB85" s="1834"/>
      <c r="BC85" s="1835"/>
      <c r="BD85" s="58"/>
      <c r="BE85" s="60"/>
      <c r="BF85" s="174"/>
      <c r="BG85" s="174"/>
      <c r="BH85" s="64"/>
      <c r="BI85" s="109"/>
      <c r="BJ85" s="1833">
        <f>MAX(BU85/LTAF/BT85,BO92/LTAF/BO91)+ AR85/AS85</f>
        <v>1419.2894736842106</v>
      </c>
      <c r="BK85" s="1834"/>
      <c r="BL85" s="1834"/>
      <c r="BM85" s="1834"/>
      <c r="BN85" s="1834"/>
      <c r="BO85" s="1834"/>
      <c r="BP85" s="1834"/>
      <c r="BQ85" s="1835"/>
      <c r="BR85" s="64"/>
      <c r="BS85" s="109"/>
      <c r="BT85" s="1082">
        <v>1</v>
      </c>
      <c r="BU85" s="1083">
        <f>WBL_Master</f>
        <v>588</v>
      </c>
      <c r="BV85" s="1073" t="s">
        <v>99</v>
      </c>
      <c r="BW85" s="1136"/>
      <c r="BX85" s="1136"/>
      <c r="BY85" s="1136"/>
      <c r="BZ85" s="1137"/>
      <c r="CA85" s="174"/>
      <c r="CB85" s="177"/>
    </row>
    <row r="86" spans="2:80" ht="9.9499999999999993" customHeight="1">
      <c r="B86" s="1"/>
      <c r="C86" s="174"/>
      <c r="D86" s="1139"/>
      <c r="E86" s="1136"/>
      <c r="F86" s="1136"/>
      <c r="G86" s="1136"/>
      <c r="H86" s="1079"/>
      <c r="I86" s="1080"/>
      <c r="J86" s="1081"/>
      <c r="K86" s="65"/>
      <c r="L86" s="109"/>
      <c r="M86" s="1833"/>
      <c r="N86" s="1834"/>
      <c r="O86" s="1834"/>
      <c r="P86" s="1834"/>
      <c r="Q86" s="1834"/>
      <c r="R86" s="1834"/>
      <c r="S86" s="1834"/>
      <c r="T86" s="1835"/>
      <c r="U86" s="64"/>
      <c r="V86" s="60"/>
      <c r="W86" s="174"/>
      <c r="X86" s="174"/>
      <c r="Y86" s="64"/>
      <c r="Z86" s="109"/>
      <c r="AA86" s="1833"/>
      <c r="AB86" s="1834"/>
      <c r="AC86" s="1834"/>
      <c r="AD86" s="1834"/>
      <c r="AE86" s="1834"/>
      <c r="AF86" s="1834"/>
      <c r="AG86" s="1834"/>
      <c r="AH86" s="1835"/>
      <c r="AI86" s="64"/>
      <c r="AJ86" s="60"/>
      <c r="AK86" s="174"/>
      <c r="AL86" s="174"/>
      <c r="AM86" s="1139"/>
      <c r="AN86" s="1136"/>
      <c r="AO86" s="1136"/>
      <c r="AP86" s="1136"/>
      <c r="AQ86" s="1159"/>
      <c r="AR86" s="1281"/>
      <c r="AS86" s="1872"/>
      <c r="AT86" s="64"/>
      <c r="AU86" s="109"/>
      <c r="AV86" s="1833"/>
      <c r="AW86" s="1834"/>
      <c r="AX86" s="1834"/>
      <c r="AY86" s="1834"/>
      <c r="AZ86" s="1834"/>
      <c r="BA86" s="1834"/>
      <c r="BB86" s="1834"/>
      <c r="BC86" s="1835"/>
      <c r="BD86" s="58"/>
      <c r="BE86" s="60"/>
      <c r="BF86" s="174"/>
      <c r="BG86" s="174"/>
      <c r="BH86" s="64"/>
      <c r="BI86" s="109"/>
      <c r="BJ86" s="1833"/>
      <c r="BK86" s="1834"/>
      <c r="BL86" s="1834"/>
      <c r="BM86" s="1834"/>
      <c r="BN86" s="1834"/>
      <c r="BO86" s="1834"/>
      <c r="BP86" s="1834"/>
      <c r="BQ86" s="1835"/>
      <c r="BR86" s="64"/>
      <c r="BS86" s="109"/>
      <c r="BT86" s="1082"/>
      <c r="BU86" s="1083"/>
      <c r="BV86" s="1073"/>
      <c r="BW86" s="1136"/>
      <c r="BX86" s="1136"/>
      <c r="BY86" s="1136"/>
      <c r="BZ86" s="1137"/>
      <c r="CA86" s="174"/>
      <c r="CB86" s="177"/>
    </row>
    <row r="87" spans="2:80" ht="9.9499999999999993" customHeight="1" thickBot="1">
      <c r="B87" s="1"/>
      <c r="C87" s="174"/>
      <c r="D87" s="1139"/>
      <c r="E87" s="1136"/>
      <c r="F87" s="1136"/>
      <c r="G87" s="1136"/>
      <c r="H87" s="1079"/>
      <c r="I87" s="1080"/>
      <c r="J87" s="1081"/>
      <c r="K87" s="65"/>
      <c r="L87" s="109"/>
      <c r="M87" s="1836"/>
      <c r="N87" s="1837"/>
      <c r="O87" s="1837"/>
      <c r="P87" s="1837"/>
      <c r="Q87" s="1837"/>
      <c r="R87" s="1837"/>
      <c r="S87" s="1837"/>
      <c r="T87" s="1838"/>
      <c r="U87" s="64"/>
      <c r="V87" s="60"/>
      <c r="W87" s="174"/>
      <c r="X87" s="174"/>
      <c r="Y87" s="64"/>
      <c r="Z87" s="109"/>
      <c r="AA87" s="1836"/>
      <c r="AB87" s="1837"/>
      <c r="AC87" s="1837"/>
      <c r="AD87" s="1837"/>
      <c r="AE87" s="1837"/>
      <c r="AF87" s="1837"/>
      <c r="AG87" s="1837"/>
      <c r="AH87" s="1838"/>
      <c r="AI87" s="64"/>
      <c r="AJ87" s="60"/>
      <c r="AK87" s="174"/>
      <c r="AL87" s="174"/>
      <c r="AM87" s="1153"/>
      <c r="AN87" s="1150"/>
      <c r="AO87" s="1150"/>
      <c r="AP87" s="1150"/>
      <c r="AQ87" s="1160"/>
      <c r="AR87" s="1282"/>
      <c r="AS87" s="1873"/>
      <c r="AT87" s="64"/>
      <c r="AU87" s="109"/>
      <c r="AV87" s="1836"/>
      <c r="AW87" s="1837"/>
      <c r="AX87" s="1837"/>
      <c r="AY87" s="1837"/>
      <c r="AZ87" s="1837"/>
      <c r="BA87" s="1837"/>
      <c r="BB87" s="1837"/>
      <c r="BC87" s="1838"/>
      <c r="BD87" s="58"/>
      <c r="BE87" s="60"/>
      <c r="BF87" s="174"/>
      <c r="BG87" s="174"/>
      <c r="BH87" s="64"/>
      <c r="BI87" s="109"/>
      <c r="BJ87" s="1836"/>
      <c r="BK87" s="1837"/>
      <c r="BL87" s="1837"/>
      <c r="BM87" s="1837"/>
      <c r="BN87" s="1837"/>
      <c r="BO87" s="1837"/>
      <c r="BP87" s="1837"/>
      <c r="BQ87" s="1838"/>
      <c r="BR87" s="64"/>
      <c r="BS87" s="109"/>
      <c r="BT87" s="1082"/>
      <c r="BU87" s="1083"/>
      <c r="BV87" s="1073"/>
      <c r="BW87" s="1136"/>
      <c r="BX87" s="1136"/>
      <c r="BY87" s="1136"/>
      <c r="BZ87" s="1137"/>
      <c r="CA87" s="174"/>
      <c r="CB87" s="177"/>
    </row>
    <row r="88" spans="2:80" ht="9.9499999999999993" customHeight="1">
      <c r="B88" s="1"/>
      <c r="C88" s="174"/>
      <c r="D88" s="1139"/>
      <c r="E88" s="1136"/>
      <c r="F88" s="1136"/>
      <c r="G88" s="1136"/>
      <c r="H88" s="1079" t="s">
        <v>99</v>
      </c>
      <c r="I88" s="1080">
        <f>EBR_Master</f>
        <v>208</v>
      </c>
      <c r="J88" s="1081">
        <v>1</v>
      </c>
      <c r="K88" s="65"/>
      <c r="L88" s="65"/>
      <c r="M88" s="67"/>
      <c r="N88" s="175"/>
      <c r="O88" s="175"/>
      <c r="P88" s="175"/>
      <c r="Q88" s="175"/>
      <c r="R88" s="175"/>
      <c r="S88" s="175"/>
      <c r="T88" s="175"/>
      <c r="U88" s="109"/>
      <c r="V88" s="60"/>
      <c r="W88" s="174"/>
      <c r="X88" s="174"/>
      <c r="Y88" s="64"/>
      <c r="Z88" s="65"/>
      <c r="AA88" s="67"/>
      <c r="AB88" s="175"/>
      <c r="AC88" s="175"/>
      <c r="AD88" s="175"/>
      <c r="AE88" s="175"/>
      <c r="AF88" s="175"/>
      <c r="AG88" s="175"/>
      <c r="AH88" s="175"/>
      <c r="AI88" s="109"/>
      <c r="AJ88" s="60"/>
      <c r="AK88" s="174"/>
      <c r="AL88" s="174"/>
      <c r="AM88" s="174"/>
      <c r="AN88" s="174"/>
      <c r="AO88" s="174"/>
      <c r="AP88" s="174"/>
      <c r="AQ88" s="174"/>
      <c r="AR88" s="174"/>
      <c r="AS88" s="174"/>
      <c r="AT88" s="64"/>
      <c r="AU88" s="65"/>
      <c r="AV88" s="67"/>
      <c r="AW88" s="175"/>
      <c r="AX88" s="175"/>
      <c r="AY88" s="175"/>
      <c r="AZ88" s="175"/>
      <c r="BA88" s="175"/>
      <c r="BB88" s="175"/>
      <c r="BC88" s="175"/>
      <c r="BD88" s="109"/>
      <c r="BE88" s="60"/>
      <c r="BF88" s="174"/>
      <c r="BG88" s="174"/>
      <c r="BH88" s="64"/>
      <c r="BI88" s="65"/>
      <c r="BJ88" s="67"/>
      <c r="BK88" s="175"/>
      <c r="BL88" s="175"/>
      <c r="BM88" s="175"/>
      <c r="BN88" s="175"/>
      <c r="BO88" s="175"/>
      <c r="BP88" s="175"/>
      <c r="BQ88" s="175"/>
      <c r="BR88" s="109"/>
      <c r="BS88" s="109"/>
      <c r="BT88" s="1111"/>
      <c r="BU88" s="1083">
        <f>WBU_Master</f>
        <v>0</v>
      </c>
      <c r="BV88" s="1293" t="s">
        <v>99</v>
      </c>
      <c r="BW88" s="1136"/>
      <c r="BX88" s="1136"/>
      <c r="BY88" s="1136"/>
      <c r="BZ88" s="1137"/>
      <c r="CA88" s="174"/>
      <c r="CB88" s="177"/>
    </row>
    <row r="89" spans="2:80" ht="9.9499999999999993" customHeight="1">
      <c r="B89" s="1"/>
      <c r="C89" s="174"/>
      <c r="D89" s="1139"/>
      <c r="E89" s="1136"/>
      <c r="F89" s="1136"/>
      <c r="G89" s="1136"/>
      <c r="H89" s="1079"/>
      <c r="I89" s="1080"/>
      <c r="J89" s="1081"/>
      <c r="K89" s="65"/>
      <c r="L89" s="109"/>
      <c r="M89" s="109"/>
      <c r="N89" s="109"/>
      <c r="O89" s="109"/>
      <c r="P89" s="109"/>
      <c r="Q89" s="109"/>
      <c r="R89" s="109"/>
      <c r="S89" s="109"/>
      <c r="T89" s="109"/>
      <c r="U89" s="109"/>
      <c r="V89" s="60"/>
      <c r="W89" s="174"/>
      <c r="X89" s="174"/>
      <c r="Y89" s="64"/>
      <c r="Z89" s="109"/>
      <c r="AA89" s="109"/>
      <c r="AB89" s="109"/>
      <c r="AC89" s="109"/>
      <c r="AD89" s="109"/>
      <c r="AE89" s="109"/>
      <c r="AF89" s="109"/>
      <c r="AG89" s="109"/>
      <c r="AH89" s="109"/>
      <c r="AI89" s="109"/>
      <c r="AJ89" s="60"/>
      <c r="AK89" s="174"/>
      <c r="AL89" s="174"/>
      <c r="AM89" s="174"/>
      <c r="AN89" s="174"/>
      <c r="AO89" s="174"/>
      <c r="AP89" s="174"/>
      <c r="AQ89" s="174"/>
      <c r="AR89" s="174"/>
      <c r="AS89" s="174"/>
      <c r="AT89" s="64"/>
      <c r="AU89" s="109"/>
      <c r="AV89" s="109"/>
      <c r="AW89" s="109"/>
      <c r="AX89" s="109"/>
      <c r="AY89" s="109"/>
      <c r="AZ89" s="109"/>
      <c r="BA89" s="109"/>
      <c r="BB89" s="109"/>
      <c r="BC89" s="109"/>
      <c r="BD89" s="109"/>
      <c r="BE89" s="60"/>
      <c r="BF89" s="174"/>
      <c r="BG89" s="174"/>
      <c r="BH89" s="64"/>
      <c r="BI89" s="109"/>
      <c r="BJ89" s="109"/>
      <c r="BK89" s="109"/>
      <c r="BL89" s="109"/>
      <c r="BM89" s="109"/>
      <c r="BN89" s="109"/>
      <c r="BO89" s="109"/>
      <c r="BP89" s="109"/>
      <c r="BQ89" s="109"/>
      <c r="BR89" s="109"/>
      <c r="BS89" s="109"/>
      <c r="BT89" s="1111"/>
      <c r="BU89" s="1083"/>
      <c r="BV89" s="1293"/>
      <c r="BW89" s="1136"/>
      <c r="BX89" s="1136"/>
      <c r="BY89" s="1136"/>
      <c r="BZ89" s="1137"/>
      <c r="CA89" s="174"/>
      <c r="CB89" s="177"/>
    </row>
    <row r="90" spans="2:80" ht="9.9499999999999993" customHeight="1" thickBot="1">
      <c r="B90" s="1"/>
      <c r="C90" s="174"/>
      <c r="D90" s="1153"/>
      <c r="E90" s="1150"/>
      <c r="F90" s="1150"/>
      <c r="G90" s="1150"/>
      <c r="H90" s="1108"/>
      <c r="I90" s="1109"/>
      <c r="J90" s="1110"/>
      <c r="K90" s="69"/>
      <c r="L90" s="110"/>
      <c r="M90" s="110"/>
      <c r="N90" s="110"/>
      <c r="O90" s="110"/>
      <c r="P90" s="110"/>
      <c r="Q90" s="110"/>
      <c r="R90" s="110"/>
      <c r="S90" s="110"/>
      <c r="T90" s="110"/>
      <c r="U90" s="110"/>
      <c r="V90" s="63"/>
      <c r="W90" s="174"/>
      <c r="X90" s="174"/>
      <c r="Y90" s="74"/>
      <c r="Z90" s="110"/>
      <c r="AA90" s="110"/>
      <c r="AB90" s="109"/>
      <c r="AC90" s="109"/>
      <c r="AD90" s="109"/>
      <c r="AE90" s="109"/>
      <c r="AF90" s="109"/>
      <c r="AG90" s="109"/>
      <c r="AH90" s="109"/>
      <c r="AI90" s="110"/>
      <c r="AJ90" s="63"/>
      <c r="AK90" s="174"/>
      <c r="AL90" s="174"/>
      <c r="AM90" s="174"/>
      <c r="AN90" s="174"/>
      <c r="AO90" s="174"/>
      <c r="AP90" s="174"/>
      <c r="AQ90" s="174"/>
      <c r="AR90" s="174"/>
      <c r="AS90" s="174"/>
      <c r="AT90" s="74"/>
      <c r="AU90" s="110"/>
      <c r="AV90" s="110"/>
      <c r="AW90" s="110"/>
      <c r="AX90" s="110"/>
      <c r="AY90" s="110"/>
      <c r="AZ90" s="110"/>
      <c r="BA90" s="110"/>
      <c r="BB90" s="110"/>
      <c r="BC90" s="110"/>
      <c r="BD90" s="110"/>
      <c r="BE90" s="63"/>
      <c r="BF90" s="174"/>
      <c r="BG90" s="174"/>
      <c r="BH90" s="74"/>
      <c r="BI90" s="110"/>
      <c r="BJ90" s="110"/>
      <c r="BK90" s="110"/>
      <c r="BL90" s="110"/>
      <c r="BM90" s="110"/>
      <c r="BN90" s="110"/>
      <c r="BO90" s="110"/>
      <c r="BP90" s="110"/>
      <c r="BQ90" s="110"/>
      <c r="BR90" s="110"/>
      <c r="BS90" s="110"/>
      <c r="BT90" s="1112"/>
      <c r="BU90" s="1113"/>
      <c r="BV90" s="1300"/>
      <c r="BW90" s="1150"/>
      <c r="BX90" s="1150"/>
      <c r="BY90" s="1150"/>
      <c r="BZ90" s="1151"/>
      <c r="CA90" s="174"/>
      <c r="CB90" s="177"/>
    </row>
    <row r="91" spans="2:80" ht="9.9499999999999993" customHeight="1" thickBot="1">
      <c r="B91" s="1"/>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138"/>
      <c r="AC91" s="1134"/>
      <c r="AD91" s="1134"/>
      <c r="AE91" s="1134"/>
      <c r="AF91" s="1158" t="s">
        <v>99</v>
      </c>
      <c r="AG91" s="1280">
        <f>I85</f>
        <v>0</v>
      </c>
      <c r="AH91" s="1239">
        <v>2</v>
      </c>
      <c r="AI91" s="174"/>
      <c r="AJ91" s="174"/>
      <c r="AK91" s="174"/>
      <c r="AL91" s="174"/>
      <c r="AM91" s="174"/>
      <c r="AN91" s="174"/>
      <c r="AO91" s="174"/>
      <c r="AP91" s="174"/>
      <c r="AQ91" s="174"/>
      <c r="AR91" s="174"/>
      <c r="AS91" s="174"/>
      <c r="AT91" s="174"/>
      <c r="AU91" s="968">
        <v>1</v>
      </c>
      <c r="AV91" s="969"/>
      <c r="AW91" s="969"/>
      <c r="AX91" s="969"/>
      <c r="AY91" s="969"/>
      <c r="AZ91" s="972"/>
      <c r="BA91" s="174"/>
      <c r="BB91" s="174"/>
      <c r="BC91" s="174"/>
      <c r="BD91" s="174"/>
      <c r="BE91" s="174"/>
      <c r="BF91" s="174"/>
      <c r="BG91" s="174"/>
      <c r="BH91" s="174"/>
      <c r="BI91" s="174"/>
      <c r="BJ91" s="174"/>
      <c r="BK91" s="174"/>
      <c r="BL91" s="174"/>
      <c r="BM91" s="174"/>
      <c r="BN91" s="174"/>
      <c r="BO91" s="1039">
        <v>1</v>
      </c>
      <c r="BP91" s="1040"/>
      <c r="BQ91" s="1041"/>
      <c r="BR91" s="174"/>
      <c r="BS91" s="174"/>
      <c r="BT91" s="174"/>
      <c r="BU91" s="174"/>
      <c r="BV91" s="174"/>
      <c r="BW91" s="174"/>
      <c r="BX91" s="174"/>
      <c r="BY91" s="174"/>
      <c r="BZ91" s="174"/>
      <c r="CA91" s="174"/>
      <c r="CB91" s="177"/>
    </row>
    <row r="92" spans="2:80" ht="9.9499999999999993" customHeight="1">
      <c r="B92" s="1"/>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139"/>
      <c r="AC92" s="1136"/>
      <c r="AD92" s="1136"/>
      <c r="AE92" s="1136"/>
      <c r="AF92" s="1159"/>
      <c r="AG92" s="1281"/>
      <c r="AH92" s="1081"/>
      <c r="AI92" s="174"/>
      <c r="AJ92" s="174"/>
      <c r="AK92" s="174"/>
      <c r="AL92" s="174"/>
      <c r="AM92" s="174"/>
      <c r="AN92" s="174"/>
      <c r="AO92" s="174"/>
      <c r="AP92" s="174"/>
      <c r="AQ92" s="174"/>
      <c r="AR92" s="174"/>
      <c r="AS92" s="174"/>
      <c r="AT92" s="174"/>
      <c r="AU92" s="1122">
        <f>NBU_Master</f>
        <v>0</v>
      </c>
      <c r="AV92" s="1123"/>
      <c r="AW92" s="1123"/>
      <c r="AX92" s="1123">
        <f>NBL_Master</f>
        <v>0</v>
      </c>
      <c r="AY92" s="1123"/>
      <c r="AZ92" s="1124"/>
      <c r="BA92" s="1874"/>
      <c r="BB92" s="1875"/>
      <c r="BC92" s="1876"/>
      <c r="BD92" s="174"/>
      <c r="BE92" s="174"/>
      <c r="BF92" s="174"/>
      <c r="BG92" s="174"/>
      <c r="BH92" s="174"/>
      <c r="BI92" s="174"/>
      <c r="BJ92" s="174"/>
      <c r="BK92" s="174"/>
      <c r="BL92" s="174"/>
      <c r="BM92" s="174"/>
      <c r="BN92" s="174"/>
      <c r="BO92" s="1122">
        <f>NBR_Master</f>
        <v>1060</v>
      </c>
      <c r="BP92" s="1123"/>
      <c r="BQ92" s="1124"/>
      <c r="BR92" s="174"/>
      <c r="BS92" s="174"/>
      <c r="BT92" s="174"/>
      <c r="BU92" s="174"/>
      <c r="BV92" s="174"/>
      <c r="BW92" s="174"/>
      <c r="BX92" s="174"/>
      <c r="BY92" s="174"/>
      <c r="BZ92" s="174"/>
      <c r="CA92" s="174"/>
      <c r="CB92" s="177"/>
    </row>
    <row r="93" spans="2:80" ht="9.9499999999999993" customHeight="1" thickBot="1">
      <c r="B93" s="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153"/>
      <c r="AC93" s="1150"/>
      <c r="AD93" s="1150"/>
      <c r="AE93" s="1150"/>
      <c r="AF93" s="1160"/>
      <c r="AG93" s="1282"/>
      <c r="AH93" s="1110"/>
      <c r="AI93" s="174"/>
      <c r="AJ93" s="174"/>
      <c r="AK93" s="174"/>
      <c r="AL93" s="174"/>
      <c r="AM93" s="174"/>
      <c r="AN93" s="174"/>
      <c r="AO93" s="174"/>
      <c r="AP93" s="174"/>
      <c r="AQ93" s="174"/>
      <c r="AR93" s="174"/>
      <c r="AS93" s="174"/>
      <c r="AT93" s="174"/>
      <c r="AU93" s="1045" t="s">
        <v>99</v>
      </c>
      <c r="AV93" s="1046"/>
      <c r="AW93" s="1046"/>
      <c r="AX93" s="1046" t="s">
        <v>99</v>
      </c>
      <c r="AY93" s="1046"/>
      <c r="AZ93" s="1047"/>
      <c r="BA93" s="920" t="s">
        <v>99</v>
      </c>
      <c r="BB93" s="1066"/>
      <c r="BC93" s="1067"/>
      <c r="BD93" s="174"/>
      <c r="BE93" s="174"/>
      <c r="BF93" s="174"/>
      <c r="BG93" s="174"/>
      <c r="BH93" s="174"/>
      <c r="BI93" s="174"/>
      <c r="BJ93" s="174"/>
      <c r="BK93" s="174"/>
      <c r="BL93" s="174"/>
      <c r="BM93" s="174"/>
      <c r="BN93" s="174"/>
      <c r="BO93" s="1045" t="s">
        <v>99</v>
      </c>
      <c r="BP93" s="1046"/>
      <c r="BQ93" s="1047"/>
      <c r="BR93" s="174"/>
      <c r="BS93" s="174"/>
      <c r="BT93" s="174"/>
      <c r="BU93" s="174"/>
      <c r="BV93" s="174"/>
      <c r="BW93" s="174"/>
      <c r="BX93" s="174"/>
      <c r="BY93" s="174"/>
      <c r="BZ93" s="174"/>
      <c r="CA93" s="174"/>
      <c r="CB93" s="177"/>
    </row>
    <row r="94" spans="2:80" ht="9.9499999999999993" customHeigh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766"/>
      <c r="AV94" s="767"/>
      <c r="AW94" s="768"/>
      <c r="AX94" s="770"/>
      <c r="AY94" s="767"/>
      <c r="AZ94" s="772"/>
      <c r="BA94" s="767"/>
      <c r="BB94" s="767"/>
      <c r="BC94" s="772"/>
      <c r="BD94" s="174"/>
      <c r="BE94" s="174"/>
      <c r="BF94" s="174"/>
      <c r="BG94" s="174"/>
      <c r="BH94" s="174"/>
      <c r="BI94" s="174"/>
      <c r="BJ94" s="174"/>
      <c r="BK94" s="174"/>
      <c r="BL94" s="174"/>
      <c r="BM94" s="174"/>
      <c r="BN94" s="174"/>
      <c r="BO94" s="766"/>
      <c r="BP94" s="767"/>
      <c r="BQ94" s="772"/>
      <c r="BR94" s="174"/>
      <c r="BS94" s="174"/>
      <c r="BT94" s="174"/>
      <c r="BU94" s="174"/>
      <c r="BV94" s="174"/>
      <c r="BW94" s="174"/>
      <c r="BX94" s="174"/>
      <c r="BY94" s="174"/>
      <c r="BZ94" s="174"/>
      <c r="CA94" s="174"/>
      <c r="CB94" s="177"/>
    </row>
    <row r="95" spans="2:80" ht="9.9499999999999993" customHeigh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766"/>
      <c r="AV95" s="767"/>
      <c r="AW95" s="768"/>
      <c r="AX95" s="770"/>
      <c r="AY95" s="767"/>
      <c r="AZ95" s="772"/>
      <c r="BA95" s="767"/>
      <c r="BB95" s="767"/>
      <c r="BC95" s="772"/>
      <c r="BD95" s="174"/>
      <c r="BE95" s="174"/>
      <c r="BF95" s="174"/>
      <c r="BG95" s="174"/>
      <c r="BH95" s="174"/>
      <c r="BI95" s="174"/>
      <c r="BJ95" s="174"/>
      <c r="BK95" s="174"/>
      <c r="BL95" s="174"/>
      <c r="BM95" s="174"/>
      <c r="BN95" s="174"/>
      <c r="BO95" s="766"/>
      <c r="BP95" s="767"/>
      <c r="BQ95" s="772"/>
      <c r="BR95" s="174"/>
      <c r="BS95" s="174"/>
      <c r="BT95" s="174"/>
      <c r="BU95" s="174"/>
      <c r="BV95" s="174"/>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766"/>
      <c r="AV96" s="767"/>
      <c r="AW96" s="768"/>
      <c r="AX96" s="770"/>
      <c r="AY96" s="767"/>
      <c r="AZ96" s="772"/>
      <c r="BA96" s="767"/>
      <c r="BB96" s="767"/>
      <c r="BC96" s="772"/>
      <c r="BD96" s="174"/>
      <c r="BE96" s="174"/>
      <c r="BF96" s="174"/>
      <c r="BG96" s="174"/>
      <c r="BH96" s="174"/>
      <c r="BI96" s="174"/>
      <c r="BJ96" s="174"/>
      <c r="BK96" s="16"/>
      <c r="BL96" s="16"/>
      <c r="BM96" s="16"/>
      <c r="BN96" s="174"/>
      <c r="BO96" s="766"/>
      <c r="BP96" s="767"/>
      <c r="BQ96" s="772"/>
      <c r="BR96" s="174"/>
      <c r="BS96" s="174"/>
      <c r="BT96" s="174"/>
      <c r="BU96" s="174"/>
      <c r="BV96" s="174"/>
      <c r="BW96" s="174"/>
      <c r="BX96" s="174"/>
      <c r="BY96" s="174"/>
      <c r="BZ96" s="174"/>
      <c r="CA96" s="174"/>
      <c r="CB96" s="177"/>
    </row>
    <row r="97" spans="2:80" ht="9.9499999999999993" customHeight="1" thickBo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849"/>
      <c r="AV97" s="705"/>
      <c r="AW97" s="850"/>
      <c r="AX97" s="851"/>
      <c r="AY97" s="705"/>
      <c r="AZ97" s="852"/>
      <c r="BA97" s="705"/>
      <c r="BB97" s="705"/>
      <c r="BC97" s="852"/>
      <c r="BD97" s="174"/>
      <c r="BE97" s="174"/>
      <c r="BF97" s="174"/>
      <c r="BG97" s="174"/>
      <c r="BH97" s="174"/>
      <c r="BI97" s="174"/>
      <c r="BJ97" s="174"/>
      <c r="BK97" s="174"/>
      <c r="BL97" s="174"/>
      <c r="BM97" s="174"/>
      <c r="BN97" s="174"/>
      <c r="BO97" s="849"/>
      <c r="BP97" s="705"/>
      <c r="BQ97" s="852"/>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7"/>
    </row>
    <row r="99" spans="2:80" ht="9.9499999999999993" customHeigh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7"/>
    </row>
    <row r="102" spans="2:80" ht="9.9499999999999993" customHeigh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117">
    <mergeCell ref="BO93:BQ93"/>
    <mergeCell ref="AU94:AW97"/>
    <mergeCell ref="AX94:AZ97"/>
    <mergeCell ref="BA94:BC97"/>
    <mergeCell ref="BO94:BQ97"/>
    <mergeCell ref="AB91:AE93"/>
    <mergeCell ref="AF91:AF93"/>
    <mergeCell ref="AG91:AG93"/>
    <mergeCell ref="AH91:AH93"/>
    <mergeCell ref="AU91:AZ91"/>
    <mergeCell ref="BO91:BQ91"/>
    <mergeCell ref="AU92:AW92"/>
    <mergeCell ref="AX92:AZ92"/>
    <mergeCell ref="BA92:BC92"/>
    <mergeCell ref="BO92:BQ92"/>
    <mergeCell ref="AU93:AW93"/>
    <mergeCell ref="AX93:AZ93"/>
    <mergeCell ref="BA93:BC93"/>
    <mergeCell ref="BV85:BV87"/>
    <mergeCell ref="BW85:BZ87"/>
    <mergeCell ref="D88:G90"/>
    <mergeCell ref="H88:H90"/>
    <mergeCell ref="I88:I90"/>
    <mergeCell ref="J88:J90"/>
    <mergeCell ref="BT88:BT90"/>
    <mergeCell ref="BU88:BU90"/>
    <mergeCell ref="BV88:BV90"/>
    <mergeCell ref="BW88:BZ90"/>
    <mergeCell ref="AR85:AR87"/>
    <mergeCell ref="AS85:AS87"/>
    <mergeCell ref="AV85:BC87"/>
    <mergeCell ref="BJ85:BQ87"/>
    <mergeCell ref="BT85:BT87"/>
    <mergeCell ref="BU85:BU87"/>
    <mergeCell ref="D85:G87"/>
    <mergeCell ref="H85:H87"/>
    <mergeCell ref="I85:I87"/>
    <mergeCell ref="J85:J87"/>
    <mergeCell ref="M85:T87"/>
    <mergeCell ref="AA85:AH87"/>
    <mergeCell ref="AM85:AP87"/>
    <mergeCell ref="AQ85:AQ87"/>
    <mergeCell ref="BV79:BV81"/>
    <mergeCell ref="BW79:BZ81"/>
    <mergeCell ref="D82:G84"/>
    <mergeCell ref="H82:H84"/>
    <mergeCell ref="I82:I84"/>
    <mergeCell ref="J82:J84"/>
    <mergeCell ref="M82:T84"/>
    <mergeCell ref="AA82:AH84"/>
    <mergeCell ref="AK82:AK84"/>
    <mergeCell ref="AL82:AL84"/>
    <mergeCell ref="D79:G81"/>
    <mergeCell ref="H79:H81"/>
    <mergeCell ref="I79:I81"/>
    <mergeCell ref="J79:J81"/>
    <mergeCell ref="BT79:BT81"/>
    <mergeCell ref="BU79:BU81"/>
    <mergeCell ref="BV82:BV84"/>
    <mergeCell ref="BW82:BZ84"/>
    <mergeCell ref="AV82:BC84"/>
    <mergeCell ref="BJ82:BQ84"/>
    <mergeCell ref="BT82:BT84"/>
    <mergeCell ref="BU82:BU84"/>
    <mergeCell ref="AM82:AM84"/>
    <mergeCell ref="AN82:AQ84"/>
    <mergeCell ref="AX76:AX78"/>
    <mergeCell ref="AY76:BB78"/>
    <mergeCell ref="M77:O77"/>
    <mergeCell ref="Z77:AB77"/>
    <mergeCell ref="AC77:AE77"/>
    <mergeCell ref="AF77:AH77"/>
    <mergeCell ref="M78:O78"/>
    <mergeCell ref="AC78:AH78"/>
    <mergeCell ref="M76:O76"/>
    <mergeCell ref="Z76:AB76"/>
    <mergeCell ref="AC76:AE76"/>
    <mergeCell ref="AF76:AH76"/>
    <mergeCell ref="AV76:AV78"/>
    <mergeCell ref="AW76:AW78"/>
    <mergeCell ref="T20:X22"/>
    <mergeCell ref="Y20:AC22"/>
    <mergeCell ref="BA20:BE22"/>
    <mergeCell ref="B59:CB60"/>
    <mergeCell ref="AI71:AK71"/>
    <mergeCell ref="M72:O75"/>
    <mergeCell ref="Z72:AB75"/>
    <mergeCell ref="AC72:AE75"/>
    <mergeCell ref="AF72:AH75"/>
    <mergeCell ref="X55:BE55"/>
    <mergeCell ref="BF20:BJ22"/>
    <mergeCell ref="BO20:BS22"/>
    <mergeCell ref="BT20:BX22"/>
    <mergeCell ref="T17:AC19"/>
    <mergeCell ref="F17:O19"/>
    <mergeCell ref="BA17:BJ19"/>
    <mergeCell ref="B1:CB2"/>
    <mergeCell ref="B3:CB4"/>
    <mergeCell ref="C6:J7"/>
    <mergeCell ref="K6:BC7"/>
    <mergeCell ref="B57:CB58"/>
    <mergeCell ref="BO17:BX19"/>
    <mergeCell ref="C8:J9"/>
    <mergeCell ref="K8:BC9"/>
    <mergeCell ref="C10:J11"/>
    <mergeCell ref="K10:BC11"/>
    <mergeCell ref="C12:J13"/>
    <mergeCell ref="K12:BC13"/>
    <mergeCell ref="BD6:CA7"/>
    <mergeCell ref="BD8:BI9"/>
    <mergeCell ref="BJ8:BO9"/>
    <mergeCell ref="BP8:BU9"/>
    <mergeCell ref="BV8:CA9"/>
    <mergeCell ref="BD10:BO13"/>
    <mergeCell ref="BP10:CA13"/>
    <mergeCell ref="F20:J22"/>
    <mergeCell ref="K20:O22"/>
  </mergeCells>
  <conditionalFormatting sqref="F17 T17 BA17 BO17 M85 AA85 AV85 BJ85">
    <cfRule type="cellIs" dxfId="29" priority="35" operator="between">
      <formula>0.75*CLV_Limit</formula>
      <formula>0.875*CLV_Limit-1</formula>
    </cfRule>
    <cfRule type="cellIs" dxfId="28" priority="36" operator="between">
      <formula>0.875*CLV_Limit</formula>
      <formula>CLV_Limit-1</formula>
    </cfRule>
    <cfRule type="cellIs" dxfId="27" priority="37" operator="greaterThanOrEqual">
      <formula>CLV_Limit</formula>
    </cfRule>
  </conditionalFormatting>
  <conditionalFormatting sqref="BP10 F20 T20 BA20 BO20">
    <cfRule type="cellIs" dxfId="26" priority="25" operator="between">
      <formula>0.75</formula>
      <formula>0.875</formula>
    </cfRule>
    <cfRule type="cellIs" dxfId="25" priority="26" operator="between">
      <formula>0.875</formula>
      <formula>1</formula>
    </cfRule>
    <cfRule type="cellIs" dxfId="24" priority="27"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theme="2" tint="-0.249977111117893"/>
  </sheetPr>
  <dimension ref="A1:HL157"/>
  <sheetViews>
    <sheetView showGridLines="0" showRowColHeaders="0" zoomScale="90" zoomScaleNormal="90" zoomScalePageLayoutView="85" workbookViewId="0">
      <selection activeCell="DF18" sqref="DF18:DF20"/>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28515625" customWidth="1"/>
    <col min="125" max="220" width="1.7109375" hidden="1" customWidth="1"/>
    <col min="221" max="16384" width="9.140625" hidden="1"/>
  </cols>
  <sheetData>
    <row r="1" spans="2:123" ht="9.9499999999999993" customHeight="1">
      <c r="B1" s="571" t="s">
        <v>165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165</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096"/>
      <c r="CC6" s="1097"/>
      <c r="CD6" s="1097"/>
      <c r="CE6" s="1097"/>
      <c r="CF6" s="1097"/>
      <c r="CG6" s="1097"/>
      <c r="CH6" s="1097"/>
      <c r="CI6" s="1097"/>
      <c r="CJ6" s="1098"/>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099"/>
      <c r="CC7" s="1068"/>
      <c r="CD7" s="1068"/>
      <c r="CE7" s="1068"/>
      <c r="CF7" s="1068"/>
      <c r="CG7" s="1068"/>
      <c r="CH7" s="1068"/>
      <c r="CI7" s="1068"/>
      <c r="CJ7" s="1069"/>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099"/>
      <c r="CC8" s="1068"/>
      <c r="CD8" s="1068"/>
      <c r="CE8" s="1068"/>
      <c r="CF8" s="1068"/>
      <c r="CG8" s="1068"/>
      <c r="CH8" s="1068"/>
      <c r="CI8" s="1068"/>
      <c r="CJ8" s="1069"/>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099"/>
      <c r="CC9" s="1068"/>
      <c r="CD9" s="1068"/>
      <c r="CE9" s="1068"/>
      <c r="CF9" s="1068"/>
      <c r="CG9" s="1068"/>
      <c r="CH9" s="1068"/>
      <c r="CI9" s="1068"/>
      <c r="CJ9" s="1069"/>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MAX(ROUND(E31/CLV_Limit,2),ROUND(AW24/CLV_Limit,2),ROUND(E47/CLV_Limit,2),ROUND(AW36/CLV_Limit,2),ROUND(E60/CLV_Limit,2),ROUND(AW53/CLV_Limit,2))</f>
        <v>1.32</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045" t="s">
        <v>99</v>
      </c>
      <c r="CC10" s="1046"/>
      <c r="CD10" s="1046"/>
      <c r="CE10" s="1046" t="s">
        <v>99</v>
      </c>
      <c r="CF10" s="1046"/>
      <c r="CG10" s="1046"/>
      <c r="CH10" s="1046" t="s">
        <v>99</v>
      </c>
      <c r="CI10" s="1046"/>
      <c r="CJ10" s="1047"/>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186">
        <f>SBR_Master</f>
        <v>0</v>
      </c>
      <c r="CC11" s="1187"/>
      <c r="CD11" s="1187"/>
      <c r="CE11" s="1187">
        <f>SBT_Master</f>
        <v>1447</v>
      </c>
      <c r="CF11" s="1187"/>
      <c r="CG11" s="1187"/>
      <c r="CH11" s="1187">
        <f>SBL_Master</f>
        <v>607</v>
      </c>
      <c r="CI11" s="1187"/>
      <c r="CJ11" s="1188"/>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thickBo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928">
        <v>1</v>
      </c>
      <c r="CC12" s="929"/>
      <c r="CD12" s="929"/>
      <c r="CE12" s="1037">
        <v>2</v>
      </c>
      <c r="CF12" s="1035"/>
      <c r="CG12" s="1035"/>
      <c r="CH12" s="1035"/>
      <c r="CI12" s="1035"/>
      <c r="CJ12" s="1036"/>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56"/>
      <c r="CF13" s="175"/>
      <c r="CG13" s="175"/>
      <c r="CH13" s="175"/>
      <c r="CI13" s="175"/>
      <c r="CJ13" s="175"/>
      <c r="CK13" s="175"/>
      <c r="CL13" s="175"/>
      <c r="CM13" s="175"/>
      <c r="CN13" s="175"/>
      <c r="CO13" s="175"/>
      <c r="CP13" s="176"/>
      <c r="CQ13" s="174"/>
      <c r="CR13" s="174"/>
      <c r="CS13" s="174"/>
      <c r="CT13" s="56"/>
      <c r="CU13" s="175"/>
      <c r="CV13" s="175"/>
      <c r="CW13" s="175"/>
      <c r="CX13" s="175"/>
      <c r="CY13" s="175"/>
      <c r="CZ13" s="175"/>
      <c r="DA13" s="175"/>
      <c r="DB13" s="175"/>
      <c r="DC13" s="175"/>
      <c r="DD13" s="175"/>
      <c r="DE13" s="176"/>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58"/>
      <c r="CF14" s="109"/>
      <c r="CG14" s="109"/>
      <c r="CH14" s="109"/>
      <c r="CI14" s="109"/>
      <c r="CJ14" s="109"/>
      <c r="CK14" s="109"/>
      <c r="CL14" s="109"/>
      <c r="CM14" s="109"/>
      <c r="CN14" s="109"/>
      <c r="CO14" s="109"/>
      <c r="CP14" s="60"/>
      <c r="CQ14" s="174"/>
      <c r="CR14" s="174"/>
      <c r="CS14" s="174"/>
      <c r="CT14" s="58"/>
      <c r="CU14" s="109"/>
      <c r="CV14" s="109"/>
      <c r="CW14" s="109"/>
      <c r="CX14" s="109"/>
      <c r="CY14" s="109"/>
      <c r="CZ14" s="109"/>
      <c r="DA14" s="109"/>
      <c r="DB14" s="109"/>
      <c r="DC14" s="109"/>
      <c r="DD14" s="109"/>
      <c r="DE14" s="60"/>
      <c r="DF14" s="174"/>
      <c r="DG14" s="174"/>
      <c r="DH14" s="174"/>
      <c r="DI14" s="174"/>
      <c r="DJ14" s="174"/>
      <c r="DK14" s="174"/>
      <c r="DL14" s="174"/>
      <c r="DM14" s="174"/>
      <c r="DN14" s="174"/>
      <c r="DO14" s="174"/>
      <c r="DP14" s="174"/>
      <c r="DQ14" s="174"/>
      <c r="DR14" s="174"/>
      <c r="DS14" s="177"/>
    </row>
    <row r="15" spans="2:123" ht="9.9499999999999993" customHeight="1" thickBo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58"/>
      <c r="CF15" s="109"/>
      <c r="CG15" s="109"/>
      <c r="CH15" s="109"/>
      <c r="CI15" s="109"/>
      <c r="CJ15" s="109"/>
      <c r="CK15" s="109"/>
      <c r="CL15" s="109"/>
      <c r="CM15" s="109"/>
      <c r="CN15" s="109"/>
      <c r="CO15" s="109"/>
      <c r="CP15" s="60"/>
      <c r="CQ15" s="174"/>
      <c r="CR15" s="174"/>
      <c r="CS15" s="174"/>
      <c r="CT15" s="58"/>
      <c r="CU15" s="109"/>
      <c r="CV15" s="109"/>
      <c r="CW15" s="109"/>
      <c r="CX15" s="109"/>
      <c r="CY15" s="109"/>
      <c r="CZ15" s="109"/>
      <c r="DA15" s="109"/>
      <c r="DB15" s="109"/>
      <c r="DC15" s="109"/>
      <c r="DD15" s="109"/>
      <c r="DE15" s="60"/>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74"/>
      <c r="AQ16" s="174"/>
      <c r="AR16" s="174"/>
      <c r="AS16" s="174"/>
      <c r="AT16" s="17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58"/>
      <c r="CF16" s="109"/>
      <c r="CG16" s="763"/>
      <c r="CH16" s="764"/>
      <c r="CI16" s="764"/>
      <c r="CJ16" s="764"/>
      <c r="CK16" s="764"/>
      <c r="CL16" s="764"/>
      <c r="CM16" s="764"/>
      <c r="CN16" s="771"/>
      <c r="CO16" s="109"/>
      <c r="CP16" s="60"/>
      <c r="CQ16" s="1877">
        <f>CU66</f>
        <v>2</v>
      </c>
      <c r="CR16" s="1878"/>
      <c r="CS16" s="1879"/>
      <c r="CT16" s="58"/>
      <c r="CU16" s="109"/>
      <c r="CV16" s="763"/>
      <c r="CW16" s="764"/>
      <c r="CX16" s="764"/>
      <c r="CY16" s="764"/>
      <c r="CZ16" s="764"/>
      <c r="DA16" s="764"/>
      <c r="DB16" s="764"/>
      <c r="DC16" s="771"/>
      <c r="DD16" s="109"/>
      <c r="DE16" s="60"/>
      <c r="DF16" s="174"/>
      <c r="DG16" s="174"/>
      <c r="DH16" s="174"/>
      <c r="DI16" s="174"/>
      <c r="DJ16" s="174"/>
      <c r="DK16" s="174"/>
      <c r="DL16" s="174"/>
      <c r="DM16" s="174"/>
      <c r="DN16" s="174"/>
      <c r="DO16" s="174"/>
      <c r="DP16" s="174"/>
      <c r="DQ16" s="174"/>
      <c r="DR16" s="174"/>
      <c r="DS16" s="177"/>
    </row>
    <row r="17" spans="2:123" ht="9.9499999999999993" customHeight="1" thickBo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74"/>
      <c r="AQ17" s="174"/>
      <c r="AR17" s="174"/>
      <c r="AS17" s="174"/>
      <c r="AT17" s="17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58"/>
      <c r="CF17" s="109"/>
      <c r="CG17" s="766"/>
      <c r="CH17" s="767"/>
      <c r="CI17" s="767"/>
      <c r="CJ17" s="767"/>
      <c r="CK17" s="767"/>
      <c r="CL17" s="767"/>
      <c r="CM17" s="767"/>
      <c r="CN17" s="772"/>
      <c r="CO17" s="109"/>
      <c r="CP17" s="60"/>
      <c r="CQ17" s="1189">
        <f>BX46+CX67</f>
        <v>2159</v>
      </c>
      <c r="CR17" s="1190"/>
      <c r="CS17" s="1191"/>
      <c r="CT17" s="58"/>
      <c r="CU17" s="109"/>
      <c r="CV17" s="766"/>
      <c r="CW17" s="767"/>
      <c r="CX17" s="767"/>
      <c r="CY17" s="767"/>
      <c r="CZ17" s="767"/>
      <c r="DA17" s="767"/>
      <c r="DB17" s="767"/>
      <c r="DC17" s="772"/>
      <c r="DD17" s="109"/>
      <c r="DE17" s="60"/>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74"/>
      <c r="AQ18" s="174"/>
      <c r="AR18" s="174"/>
      <c r="AS18" s="17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58"/>
      <c r="CF18" s="109"/>
      <c r="CG18" s="766"/>
      <c r="CH18" s="767"/>
      <c r="CI18" s="767"/>
      <c r="CJ18" s="767"/>
      <c r="CK18" s="767"/>
      <c r="CL18" s="767"/>
      <c r="CM18" s="767"/>
      <c r="CN18" s="772"/>
      <c r="CO18" s="109"/>
      <c r="CP18" s="60"/>
      <c r="CQ18" s="1065" t="s">
        <v>99</v>
      </c>
      <c r="CR18" s="1066"/>
      <c r="CS18" s="1067"/>
      <c r="CT18" s="58"/>
      <c r="CU18" s="109"/>
      <c r="CV18" s="766"/>
      <c r="CW18" s="767"/>
      <c r="CX18" s="767"/>
      <c r="CY18" s="767"/>
      <c r="CZ18" s="767"/>
      <c r="DA18" s="767"/>
      <c r="DB18" s="767"/>
      <c r="DC18" s="772"/>
      <c r="DD18" s="109"/>
      <c r="DE18" s="60"/>
      <c r="DF18" s="910">
        <v>1</v>
      </c>
      <c r="DG18" s="1091">
        <f>WBR_Master</f>
        <v>625</v>
      </c>
      <c r="DH18" s="1292" t="s">
        <v>99</v>
      </c>
      <c r="DI18" s="1134"/>
      <c r="DJ18" s="1134"/>
      <c r="DK18" s="1134"/>
      <c r="DL18" s="1135"/>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74"/>
      <c r="AQ19" s="174"/>
      <c r="AR19" s="174"/>
      <c r="AS19" s="174"/>
      <c r="AT19" s="174"/>
      <c r="AU19" s="174"/>
      <c r="AV19" s="174"/>
      <c r="AW19" s="174"/>
      <c r="AX19" s="174"/>
      <c r="AY19" s="174"/>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58"/>
      <c r="CF19" s="109"/>
      <c r="CG19" s="1833">
        <f>CQ17/CQ16 + CQ34/CQ35</f>
        <v>2106.5</v>
      </c>
      <c r="CH19" s="1834"/>
      <c r="CI19" s="1834"/>
      <c r="CJ19" s="1834"/>
      <c r="CK19" s="1834"/>
      <c r="CL19" s="1834"/>
      <c r="CM19" s="1834"/>
      <c r="CN19" s="1835"/>
      <c r="CO19" s="109"/>
      <c r="CP19" s="60"/>
      <c r="CQ19" s="1099"/>
      <c r="CR19" s="1068"/>
      <c r="CS19" s="1069"/>
      <c r="CT19" s="58"/>
      <c r="CU19" s="109"/>
      <c r="CV19" s="1833">
        <f>CQ17/CQ16+ DG18/LTAF/DF18</f>
        <v>1737.3947368421054</v>
      </c>
      <c r="CW19" s="1834"/>
      <c r="CX19" s="1834"/>
      <c r="CY19" s="1834"/>
      <c r="CZ19" s="1834"/>
      <c r="DA19" s="1834"/>
      <c r="DB19" s="1834"/>
      <c r="DC19" s="1835"/>
      <c r="DD19" s="109"/>
      <c r="DE19" s="60"/>
      <c r="DF19" s="911"/>
      <c r="DG19" s="1083"/>
      <c r="DH19" s="1293"/>
      <c r="DI19" s="1136"/>
      <c r="DJ19" s="1136"/>
      <c r="DK19" s="1136"/>
      <c r="DL19" s="1137"/>
      <c r="DM19" s="174"/>
      <c r="DN19" s="174"/>
      <c r="DO19" s="174"/>
      <c r="DP19" s="174"/>
      <c r="DQ19" s="174"/>
      <c r="DR19" s="174"/>
      <c r="DS19" s="177"/>
    </row>
    <row r="20" spans="2:123" ht="9.9499999999999993" customHeight="1" thickBo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74"/>
      <c r="AQ20" s="174"/>
      <c r="AR20" s="174"/>
      <c r="AS20" s="174"/>
      <c r="AT20" s="174"/>
      <c r="AU20" s="174"/>
      <c r="AV20" s="174"/>
      <c r="AW20" s="174"/>
      <c r="AX20" s="174"/>
      <c r="AY20" s="174"/>
      <c r="AZ20" s="174"/>
      <c r="BA20" s="174"/>
      <c r="BB20" s="174"/>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58"/>
      <c r="CF20" s="109"/>
      <c r="CG20" s="1833"/>
      <c r="CH20" s="1834"/>
      <c r="CI20" s="1834"/>
      <c r="CJ20" s="1834"/>
      <c r="CK20" s="1834"/>
      <c r="CL20" s="1834"/>
      <c r="CM20" s="1834"/>
      <c r="CN20" s="1835"/>
      <c r="CO20" s="109"/>
      <c r="CP20" s="60"/>
      <c r="CQ20" s="1099"/>
      <c r="CR20" s="1068"/>
      <c r="CS20" s="1069"/>
      <c r="CT20" s="58"/>
      <c r="CU20" s="109"/>
      <c r="CV20" s="1833"/>
      <c r="CW20" s="1834"/>
      <c r="CX20" s="1834"/>
      <c r="CY20" s="1834"/>
      <c r="CZ20" s="1834"/>
      <c r="DA20" s="1834"/>
      <c r="DB20" s="1834"/>
      <c r="DC20" s="1835"/>
      <c r="DD20" s="109"/>
      <c r="DE20" s="60"/>
      <c r="DF20" s="957"/>
      <c r="DG20" s="1113"/>
      <c r="DH20" s="1300"/>
      <c r="DI20" s="1150"/>
      <c r="DJ20" s="1150"/>
      <c r="DK20" s="1150"/>
      <c r="DL20" s="1151"/>
      <c r="DM20" s="174"/>
      <c r="DN20" s="174"/>
      <c r="DO20" s="174"/>
      <c r="DP20" s="174"/>
      <c r="DQ20" s="174"/>
      <c r="DR20" s="174"/>
      <c r="DS20" s="177"/>
    </row>
    <row r="21" spans="2:123" ht="9.9499999999999993" customHeight="1" thickBo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74"/>
      <c r="AQ21" s="174"/>
      <c r="AR21" s="174"/>
      <c r="AS21" s="174"/>
      <c r="AT21" s="174"/>
      <c r="AU21" s="174"/>
      <c r="AV21" s="174"/>
      <c r="AW21" s="174"/>
      <c r="AX21" s="174"/>
      <c r="AY21" s="174"/>
      <c r="AZ21" s="174"/>
      <c r="BA21" s="174"/>
      <c r="BB21" s="174"/>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174"/>
      <c r="CA21" s="174"/>
      <c r="CB21" s="174"/>
      <c r="CC21" s="174"/>
      <c r="CD21" s="174"/>
      <c r="CE21" s="58"/>
      <c r="CF21" s="109"/>
      <c r="CG21" s="1836"/>
      <c r="CH21" s="1837"/>
      <c r="CI21" s="1837"/>
      <c r="CJ21" s="1837"/>
      <c r="CK21" s="1837"/>
      <c r="CL21" s="1837"/>
      <c r="CM21" s="1837"/>
      <c r="CN21" s="1838"/>
      <c r="CO21" s="109"/>
      <c r="CP21" s="60"/>
      <c r="CQ21" s="1099"/>
      <c r="CR21" s="1068"/>
      <c r="CS21" s="1069"/>
      <c r="CT21" s="58"/>
      <c r="CU21" s="109"/>
      <c r="CV21" s="1836"/>
      <c r="CW21" s="1837"/>
      <c r="CX21" s="1837"/>
      <c r="CY21" s="1837"/>
      <c r="CZ21" s="1837"/>
      <c r="DA21" s="1837"/>
      <c r="DB21" s="1837"/>
      <c r="DC21" s="1838"/>
      <c r="DD21" s="109"/>
      <c r="DE21" s="60"/>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74"/>
      <c r="AQ22" s="174"/>
      <c r="AR22" s="174"/>
      <c r="AS22" s="174"/>
      <c r="AT22" s="174"/>
      <c r="AU22" s="174"/>
      <c r="AV22" s="174"/>
      <c r="AW22" s="14"/>
      <c r="AX22" s="14"/>
      <c r="AY22" s="14"/>
      <c r="AZ22" s="14"/>
      <c r="BA22" s="14"/>
      <c r="BB22" s="174"/>
      <c r="BC22" s="174"/>
      <c r="BD22" s="174"/>
      <c r="BE22" s="174"/>
      <c r="BF22" s="174"/>
      <c r="BG22" s="174"/>
      <c r="BH22" s="174"/>
      <c r="BI22" s="177"/>
      <c r="BK22" s="174"/>
      <c r="BL22" s="1"/>
      <c r="BM22" s="174"/>
      <c r="BN22" s="174"/>
      <c r="BO22" s="174"/>
      <c r="BP22" s="174"/>
      <c r="BQ22" s="174"/>
      <c r="BR22" s="174"/>
      <c r="BS22" s="174"/>
      <c r="BT22" s="174"/>
      <c r="BU22" s="174"/>
      <c r="BV22" s="174"/>
      <c r="BW22" s="174"/>
      <c r="BX22" s="174"/>
      <c r="BY22" s="174"/>
      <c r="BZ22" s="174"/>
      <c r="CA22" s="174"/>
      <c r="CB22" s="174"/>
      <c r="CC22" s="174"/>
      <c r="CD22" s="174"/>
      <c r="CE22" s="58"/>
      <c r="CF22" s="109"/>
      <c r="CG22" s="109"/>
      <c r="CH22" s="109"/>
      <c r="CI22" s="109"/>
      <c r="CJ22" s="109"/>
      <c r="CK22" s="109"/>
      <c r="CL22" s="109"/>
      <c r="CM22" s="109"/>
      <c r="CN22" s="109"/>
      <c r="CO22" s="109"/>
      <c r="CP22" s="60"/>
      <c r="CQ22" s="1167"/>
      <c r="CR22" s="1070"/>
      <c r="CS22" s="1071"/>
      <c r="CT22" s="58"/>
      <c r="CU22" s="109"/>
      <c r="CV22" s="109"/>
      <c r="CW22" s="109"/>
      <c r="CX22" s="109"/>
      <c r="CY22" s="109"/>
      <c r="CZ22" s="109"/>
      <c r="DA22" s="109"/>
      <c r="DB22" s="109"/>
      <c r="DC22" s="109"/>
      <c r="DD22" s="109"/>
      <c r="DE22" s="60"/>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74"/>
      <c r="AQ23" s="174"/>
      <c r="AR23" s="174"/>
      <c r="AS23" s="174"/>
      <c r="AT23" s="174"/>
      <c r="AU23" s="174"/>
      <c r="AV23" s="174"/>
      <c r="AW23" s="14"/>
      <c r="AX23" s="14"/>
      <c r="AY23" s="14"/>
      <c r="AZ23" s="14"/>
      <c r="BA23" s="14"/>
      <c r="BB23" s="174"/>
      <c r="BC23" s="174"/>
      <c r="BD23" s="174"/>
      <c r="BE23" s="174"/>
      <c r="BF23" s="174"/>
      <c r="BG23" s="14"/>
      <c r="BH23" s="174"/>
      <c r="BI23" s="177"/>
      <c r="BK23" s="174"/>
      <c r="BL23" s="1"/>
      <c r="BM23" s="174"/>
      <c r="BN23" s="174"/>
      <c r="BO23" s="174"/>
      <c r="BP23" s="174"/>
      <c r="BQ23" s="174"/>
      <c r="BR23" s="174"/>
      <c r="BS23" s="174"/>
      <c r="BT23" s="174"/>
      <c r="BU23" s="174"/>
      <c r="BV23" s="174"/>
      <c r="BW23" s="174"/>
      <c r="BX23" s="174"/>
      <c r="BY23" s="174"/>
      <c r="BZ23" s="174"/>
      <c r="CA23" s="174"/>
      <c r="CB23" s="174"/>
      <c r="CC23" s="174"/>
      <c r="CD23" s="174"/>
      <c r="CE23" s="58"/>
      <c r="CF23" s="109"/>
      <c r="CG23" s="109"/>
      <c r="CH23" s="109"/>
      <c r="CI23" s="109"/>
      <c r="CJ23" s="109"/>
      <c r="CK23" s="109"/>
      <c r="CL23" s="109"/>
      <c r="CM23" s="109"/>
      <c r="CN23" s="109"/>
      <c r="CO23" s="109"/>
      <c r="CP23" s="60"/>
      <c r="CQ23" s="174"/>
      <c r="CR23" s="174"/>
      <c r="CS23" s="174"/>
      <c r="CT23" s="58"/>
      <c r="CU23" s="109"/>
      <c r="CV23" s="109"/>
      <c r="CW23" s="109"/>
      <c r="CX23" s="109"/>
      <c r="CY23" s="109"/>
      <c r="CZ23" s="109"/>
      <c r="DA23" s="109"/>
      <c r="DB23" s="109"/>
      <c r="DC23" s="109"/>
      <c r="DD23" s="109"/>
      <c r="DE23" s="60"/>
      <c r="DF23" s="174"/>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74"/>
      <c r="AN24" s="174"/>
      <c r="AO24" s="174"/>
      <c r="AP24" s="174"/>
      <c r="AQ24" s="174"/>
      <c r="AR24" s="174"/>
      <c r="AS24" s="174"/>
      <c r="AT24" s="174"/>
      <c r="AU24" s="174"/>
      <c r="AV24" s="174"/>
      <c r="AW24" s="728">
        <f>CV19</f>
        <v>1737.3947368421054</v>
      </c>
      <c r="AX24" s="861"/>
      <c r="AY24" s="861"/>
      <c r="AZ24" s="861"/>
      <c r="BA24" s="861"/>
      <c r="BB24" s="861"/>
      <c r="BC24" s="861"/>
      <c r="BD24" s="861"/>
      <c r="BE24" s="861"/>
      <c r="BF24" s="862"/>
      <c r="BG24" s="14"/>
      <c r="BH24" s="174"/>
      <c r="BI24" s="177"/>
      <c r="BK24" s="174"/>
      <c r="BL24" s="1"/>
      <c r="BM24" s="174"/>
      <c r="BN24" s="174"/>
      <c r="BO24" s="174"/>
      <c r="BP24" s="174"/>
      <c r="BQ24" s="174"/>
      <c r="BR24" s="174"/>
      <c r="BS24" s="174"/>
      <c r="BT24" s="174"/>
      <c r="BU24" s="174"/>
      <c r="BV24" s="174"/>
      <c r="BW24" s="174"/>
      <c r="BX24" s="174"/>
      <c r="BY24" s="174"/>
      <c r="BZ24" s="174"/>
      <c r="CA24" s="174"/>
      <c r="CB24" s="174"/>
      <c r="CC24" s="174"/>
      <c r="CD24" s="174"/>
      <c r="CE24" s="61"/>
      <c r="CF24" s="110"/>
      <c r="CG24" s="110"/>
      <c r="CH24" s="110"/>
      <c r="CI24" s="110"/>
      <c r="CJ24" s="110"/>
      <c r="CK24" s="110"/>
      <c r="CL24" s="110"/>
      <c r="CM24" s="110"/>
      <c r="CN24" s="110"/>
      <c r="CO24" s="110"/>
      <c r="CP24" s="63"/>
      <c r="CQ24" s="174"/>
      <c r="CR24" s="174"/>
      <c r="CS24" s="174"/>
      <c r="CT24" s="61"/>
      <c r="CU24" s="110"/>
      <c r="CV24" s="110"/>
      <c r="CW24" s="110"/>
      <c r="CX24" s="110"/>
      <c r="CY24" s="110"/>
      <c r="CZ24" s="110"/>
      <c r="DA24" s="110"/>
      <c r="DB24" s="110"/>
      <c r="DC24" s="110"/>
      <c r="DD24" s="110"/>
      <c r="DE24" s="63"/>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74"/>
      <c r="AN25" s="174"/>
      <c r="AO25" s="174"/>
      <c r="AP25" s="174"/>
      <c r="AQ25" s="174"/>
      <c r="AR25" s="174"/>
      <c r="AS25" s="174"/>
      <c r="AT25" s="174"/>
      <c r="AU25" s="174"/>
      <c r="AV25" s="174"/>
      <c r="AW25" s="863"/>
      <c r="AX25" s="864"/>
      <c r="AY25" s="864"/>
      <c r="AZ25" s="864"/>
      <c r="BA25" s="864"/>
      <c r="BB25" s="864"/>
      <c r="BC25" s="864"/>
      <c r="BD25" s="864"/>
      <c r="BE25" s="864"/>
      <c r="BF25" s="865"/>
      <c r="BG25" s="174"/>
      <c r="BH25" s="174"/>
      <c r="BI25" s="177"/>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74"/>
      <c r="AN26" s="174"/>
      <c r="AO26" s="174"/>
      <c r="AP26" s="174"/>
      <c r="AQ26" s="174"/>
      <c r="AR26" s="174"/>
      <c r="AS26" s="174"/>
      <c r="AT26" s="174"/>
      <c r="AU26" s="174"/>
      <c r="AV26" s="174"/>
      <c r="AW26" s="866"/>
      <c r="AX26" s="867"/>
      <c r="AY26" s="867"/>
      <c r="AZ26" s="867"/>
      <c r="BA26" s="867"/>
      <c r="BB26" s="867"/>
      <c r="BC26" s="867"/>
      <c r="BD26" s="867"/>
      <c r="BE26" s="867"/>
      <c r="BF26" s="868"/>
      <c r="BG26" s="174"/>
      <c r="BH26" s="174"/>
      <c r="BI26" s="177"/>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74"/>
      <c r="AN27" s="174"/>
      <c r="AO27" s="174"/>
      <c r="AP27" s="174"/>
      <c r="AQ27" s="174"/>
      <c r="AR27" s="174"/>
      <c r="AS27" s="174"/>
      <c r="AT27" s="174"/>
      <c r="AU27" s="174"/>
      <c r="AV27" s="174"/>
      <c r="AW27" s="713">
        <f>ROUND(AW24/CLV_Limit,2)</f>
        <v>1.0900000000000001</v>
      </c>
      <c r="AX27" s="714"/>
      <c r="AY27" s="714"/>
      <c r="AZ27" s="714"/>
      <c r="BA27" s="715"/>
      <c r="BB27" s="722" t="s">
        <v>100</v>
      </c>
      <c r="BC27" s="722"/>
      <c r="BD27" s="722"/>
      <c r="BE27" s="722"/>
      <c r="BF27" s="723"/>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56"/>
      <c r="CU27" s="175"/>
      <c r="CV27" s="175"/>
      <c r="CW27" s="175"/>
      <c r="CX27" s="175"/>
      <c r="CY27" s="175"/>
      <c r="CZ27" s="175"/>
      <c r="DA27" s="175"/>
      <c r="DB27" s="175"/>
      <c r="DC27" s="175"/>
      <c r="DD27" s="175"/>
      <c r="DE27" s="176"/>
      <c r="DF27" s="174"/>
      <c r="DG27" s="174"/>
      <c r="DH27" s="174"/>
      <c r="DI27" s="174"/>
      <c r="DJ27" s="174"/>
      <c r="DK27" s="174"/>
      <c r="DL27" s="174"/>
      <c r="DM27" s="174"/>
      <c r="DN27" s="174"/>
      <c r="DO27" s="174"/>
      <c r="DP27" s="174"/>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74"/>
      <c r="AN28" s="174"/>
      <c r="AO28" s="174"/>
      <c r="AP28" s="174"/>
      <c r="AQ28" s="174"/>
      <c r="AR28" s="174"/>
      <c r="AS28" s="174"/>
      <c r="AT28" s="174"/>
      <c r="AU28" s="174"/>
      <c r="AV28" s="174"/>
      <c r="AW28" s="716"/>
      <c r="AX28" s="717"/>
      <c r="AY28" s="717"/>
      <c r="AZ28" s="717"/>
      <c r="BA28" s="718"/>
      <c r="BB28" s="724"/>
      <c r="BC28" s="724"/>
      <c r="BD28" s="724"/>
      <c r="BE28" s="724"/>
      <c r="BF28" s="725"/>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58"/>
      <c r="CU28" s="109"/>
      <c r="CV28" s="109"/>
      <c r="CW28" s="109"/>
      <c r="CX28" s="109"/>
      <c r="CY28" s="109"/>
      <c r="CZ28" s="109"/>
      <c r="DA28" s="109"/>
      <c r="DB28" s="109"/>
      <c r="DC28" s="109"/>
      <c r="DD28" s="109"/>
      <c r="DE28" s="60"/>
      <c r="DF28" s="174"/>
      <c r="DG28" s="174"/>
      <c r="DH28" s="174"/>
      <c r="DI28" s="174"/>
      <c r="DJ28" s="174"/>
      <c r="DK28" s="174"/>
      <c r="DL28" s="174"/>
      <c r="DM28" s="174"/>
      <c r="DN28" s="174"/>
      <c r="DO28" s="174"/>
      <c r="DP28" s="174"/>
      <c r="DQ28" s="174"/>
      <c r="DR28" s="174"/>
      <c r="DS28" s="177"/>
    </row>
    <row r="29" spans="2:123" ht="9.9499999999999993" customHeight="1" thickBo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74"/>
      <c r="AN29" s="174"/>
      <c r="AO29" s="174"/>
      <c r="AP29" s="174"/>
      <c r="AQ29" s="174"/>
      <c r="AR29" s="174"/>
      <c r="AS29" s="174"/>
      <c r="AT29" s="174"/>
      <c r="AU29" s="174"/>
      <c r="AV29" s="174"/>
      <c r="AW29" s="719"/>
      <c r="AX29" s="720"/>
      <c r="AY29" s="720"/>
      <c r="AZ29" s="720"/>
      <c r="BA29" s="721"/>
      <c r="BB29" s="726"/>
      <c r="BC29" s="726"/>
      <c r="BD29" s="726"/>
      <c r="BE29" s="726"/>
      <c r="BF29" s="727"/>
      <c r="BG29" s="174"/>
      <c r="BH29" s="174"/>
      <c r="BI29" s="177"/>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096"/>
      <c r="CR29" s="1097"/>
      <c r="CS29" s="1098"/>
      <c r="CT29" s="58"/>
      <c r="CU29" s="109"/>
      <c r="CV29" s="109"/>
      <c r="CW29" s="109"/>
      <c r="CX29" s="109"/>
      <c r="CY29" s="109"/>
      <c r="CZ29" s="109"/>
      <c r="DA29" s="109"/>
      <c r="DB29" s="109"/>
      <c r="DC29" s="109"/>
      <c r="DD29" s="109"/>
      <c r="DE29" s="60"/>
      <c r="DF29" s="174"/>
      <c r="DG29" s="174"/>
      <c r="DH29" s="174"/>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099"/>
      <c r="CR30" s="1068"/>
      <c r="CS30" s="1069"/>
      <c r="CT30" s="58"/>
      <c r="CU30" s="109"/>
      <c r="CV30" s="763"/>
      <c r="CW30" s="764"/>
      <c r="CX30" s="764"/>
      <c r="CY30" s="764"/>
      <c r="CZ30" s="764"/>
      <c r="DA30" s="764"/>
      <c r="DB30" s="764"/>
      <c r="DC30" s="771"/>
      <c r="DD30" s="109"/>
      <c r="DE30" s="60"/>
      <c r="DF30" s="910">
        <v>1</v>
      </c>
      <c r="DG30" s="1091">
        <f>WBL_Master</f>
        <v>588</v>
      </c>
      <c r="DH30" s="1292" t="s">
        <v>99</v>
      </c>
      <c r="DI30" s="1134"/>
      <c r="DJ30" s="1134"/>
      <c r="DK30" s="1134"/>
      <c r="DL30" s="1135"/>
      <c r="DM30" s="174"/>
      <c r="DN30" s="174"/>
      <c r="DO30" s="174"/>
      <c r="DP30" s="174"/>
      <c r="DQ30" s="174"/>
      <c r="DR30" s="174"/>
      <c r="DS30" s="177"/>
    </row>
    <row r="31" spans="2:123" ht="9.9499999999999993" customHeight="1">
      <c r="B31" s="1"/>
      <c r="C31" s="174"/>
      <c r="D31" s="174"/>
      <c r="E31" s="728">
        <f>CG19</f>
        <v>2106.5</v>
      </c>
      <c r="F31" s="861"/>
      <c r="G31" s="861"/>
      <c r="H31" s="861"/>
      <c r="I31" s="861"/>
      <c r="J31" s="861"/>
      <c r="K31" s="861"/>
      <c r="L31" s="861"/>
      <c r="M31" s="861"/>
      <c r="N31" s="862"/>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74"/>
      <c r="AQ31" s="174"/>
      <c r="AR31" s="174"/>
      <c r="AS31" s="174"/>
      <c r="AT31" s="174"/>
      <c r="AU31" s="174"/>
      <c r="AV31" s="174"/>
      <c r="AW31" s="174"/>
      <c r="AX31" s="174"/>
      <c r="AY31" s="174"/>
      <c r="AZ31" s="174"/>
      <c r="BA31" s="174"/>
      <c r="BB31" s="174"/>
      <c r="BC31" s="174"/>
      <c r="BD31" s="174"/>
      <c r="BE31" s="174"/>
      <c r="BF31" s="17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099"/>
      <c r="CR31" s="1068"/>
      <c r="CS31" s="1069"/>
      <c r="CT31" s="58"/>
      <c r="CU31" s="109"/>
      <c r="CV31" s="766"/>
      <c r="CW31" s="767"/>
      <c r="CX31" s="767"/>
      <c r="CY31" s="767"/>
      <c r="CZ31" s="767"/>
      <c r="DA31" s="767"/>
      <c r="DB31" s="767"/>
      <c r="DC31" s="772"/>
      <c r="DD31" s="109"/>
      <c r="DE31" s="60"/>
      <c r="DF31" s="911"/>
      <c r="DG31" s="1083"/>
      <c r="DH31" s="1293"/>
      <c r="DI31" s="1136"/>
      <c r="DJ31" s="1136"/>
      <c r="DK31" s="1136"/>
      <c r="DL31" s="1137"/>
      <c r="DM31" s="174"/>
      <c r="DN31" s="174"/>
      <c r="DO31" s="174"/>
      <c r="DP31" s="174"/>
      <c r="DQ31" s="174"/>
      <c r="DR31" s="174"/>
      <c r="DS31" s="177"/>
    </row>
    <row r="32" spans="2:123" ht="9.9499999999999993" customHeight="1">
      <c r="B32" s="1"/>
      <c r="C32" s="174"/>
      <c r="D32" s="174"/>
      <c r="E32" s="863"/>
      <c r="F32" s="864"/>
      <c r="G32" s="864"/>
      <c r="H32" s="864"/>
      <c r="I32" s="864"/>
      <c r="J32" s="864"/>
      <c r="K32" s="864"/>
      <c r="L32" s="864"/>
      <c r="M32" s="864"/>
      <c r="N32" s="865"/>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74"/>
      <c r="AQ32" s="174"/>
      <c r="AR32" s="174"/>
      <c r="AS32" s="17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099"/>
      <c r="CR32" s="1068"/>
      <c r="CS32" s="1069"/>
      <c r="CT32" s="58"/>
      <c r="CU32" s="109"/>
      <c r="CV32" s="766"/>
      <c r="CW32" s="767"/>
      <c r="CX32" s="767"/>
      <c r="CY32" s="767"/>
      <c r="CZ32" s="767"/>
      <c r="DA32" s="767"/>
      <c r="DB32" s="767"/>
      <c r="DC32" s="772"/>
      <c r="DD32" s="109"/>
      <c r="DE32" s="60"/>
      <c r="DF32" s="911"/>
      <c r="DG32" s="1083"/>
      <c r="DH32" s="1293"/>
      <c r="DI32" s="1136"/>
      <c r="DJ32" s="1136"/>
      <c r="DK32" s="1136"/>
      <c r="DL32" s="1137"/>
      <c r="DM32" s="174"/>
      <c r="DN32" s="174"/>
      <c r="DO32" s="174"/>
      <c r="DP32" s="174"/>
      <c r="DQ32" s="174"/>
      <c r="DR32" s="174"/>
      <c r="DS32" s="177"/>
    </row>
    <row r="33" spans="2:123" ht="9.9499999999999993" customHeight="1" thickBot="1">
      <c r="B33" s="1"/>
      <c r="C33" s="174"/>
      <c r="D33" s="174"/>
      <c r="E33" s="866"/>
      <c r="F33" s="867"/>
      <c r="G33" s="867"/>
      <c r="H33" s="867"/>
      <c r="I33" s="867"/>
      <c r="J33" s="867"/>
      <c r="K33" s="867"/>
      <c r="L33" s="867"/>
      <c r="M33" s="867"/>
      <c r="N33" s="868"/>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065" t="s">
        <v>99</v>
      </c>
      <c r="CR33" s="1066"/>
      <c r="CS33" s="1067"/>
      <c r="CT33" s="58"/>
      <c r="CU33" s="109"/>
      <c r="CV33" s="1833">
        <f>(DG30/LTAF +DG33/UTAF)/DF30 +CQ34/CQ35</f>
        <v>1645.9473684210527</v>
      </c>
      <c r="CW33" s="1834"/>
      <c r="CX33" s="1834"/>
      <c r="CY33" s="1834"/>
      <c r="CZ33" s="1834"/>
      <c r="DA33" s="1834"/>
      <c r="DB33" s="1834"/>
      <c r="DC33" s="1835"/>
      <c r="DD33" s="109"/>
      <c r="DE33" s="60"/>
      <c r="DF33" s="911"/>
      <c r="DG33" s="1083">
        <f>WBU_Master</f>
        <v>0</v>
      </c>
      <c r="DH33" s="1293" t="s">
        <v>99</v>
      </c>
      <c r="DI33" s="1136"/>
      <c r="DJ33" s="1136"/>
      <c r="DK33" s="1136"/>
      <c r="DL33" s="1137"/>
      <c r="DM33" s="174"/>
      <c r="DN33" s="174"/>
      <c r="DO33" s="174"/>
      <c r="DP33" s="174"/>
      <c r="DQ33" s="174"/>
      <c r="DR33" s="174"/>
      <c r="DS33" s="177"/>
    </row>
    <row r="34" spans="2:123" ht="9.9499999999999993" customHeight="1">
      <c r="B34" s="1"/>
      <c r="C34" s="174"/>
      <c r="D34" s="174"/>
      <c r="E34" s="713">
        <f>ROUND(E31/CLV_Limit,2)</f>
        <v>1.32</v>
      </c>
      <c r="F34" s="714"/>
      <c r="G34" s="714"/>
      <c r="H34" s="714"/>
      <c r="I34" s="715"/>
      <c r="J34" s="722" t="s">
        <v>100</v>
      </c>
      <c r="K34" s="722"/>
      <c r="L34" s="722"/>
      <c r="M34" s="722"/>
      <c r="N34" s="723"/>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203">
        <f>CE11+CH11</f>
        <v>2054</v>
      </c>
      <c r="CR34" s="1204"/>
      <c r="CS34" s="1205"/>
      <c r="CT34" s="58"/>
      <c r="CU34" s="109"/>
      <c r="CV34" s="1833"/>
      <c r="CW34" s="1834"/>
      <c r="CX34" s="1834"/>
      <c r="CY34" s="1834"/>
      <c r="CZ34" s="1834"/>
      <c r="DA34" s="1834"/>
      <c r="DB34" s="1834"/>
      <c r="DC34" s="1835"/>
      <c r="DD34" s="109"/>
      <c r="DE34" s="60"/>
      <c r="DF34" s="911"/>
      <c r="DG34" s="1083"/>
      <c r="DH34" s="1293"/>
      <c r="DI34" s="1136"/>
      <c r="DJ34" s="1136"/>
      <c r="DK34" s="1136"/>
      <c r="DL34" s="1137"/>
      <c r="DM34" s="174"/>
      <c r="DN34" s="174"/>
      <c r="DO34" s="174"/>
      <c r="DP34" s="174"/>
      <c r="DQ34" s="174"/>
      <c r="DR34" s="174"/>
      <c r="DS34" s="177"/>
    </row>
    <row r="35" spans="2:123" ht="9.9499999999999993" customHeight="1" thickBot="1">
      <c r="B35" s="1"/>
      <c r="C35" s="174"/>
      <c r="D35" s="174"/>
      <c r="E35" s="716"/>
      <c r="F35" s="717"/>
      <c r="G35" s="717"/>
      <c r="H35" s="717"/>
      <c r="I35" s="718"/>
      <c r="J35" s="724"/>
      <c r="K35" s="724"/>
      <c r="L35" s="724"/>
      <c r="M35" s="724"/>
      <c r="N35" s="725"/>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880">
        <f>CE12</f>
        <v>2</v>
      </c>
      <c r="CR35" s="1881"/>
      <c r="CS35" s="1882"/>
      <c r="CT35" s="58"/>
      <c r="CU35" s="109"/>
      <c r="CV35" s="1836"/>
      <c r="CW35" s="1837"/>
      <c r="CX35" s="1837"/>
      <c r="CY35" s="1837"/>
      <c r="CZ35" s="1837"/>
      <c r="DA35" s="1837"/>
      <c r="DB35" s="1837"/>
      <c r="DC35" s="1838"/>
      <c r="DD35" s="109"/>
      <c r="DE35" s="60"/>
      <c r="DF35" s="957"/>
      <c r="DG35" s="1113"/>
      <c r="DH35" s="1300"/>
      <c r="DI35" s="1150"/>
      <c r="DJ35" s="1150"/>
      <c r="DK35" s="1150"/>
      <c r="DL35" s="1151"/>
      <c r="DM35" s="174"/>
      <c r="DN35" s="174"/>
      <c r="DO35" s="174"/>
      <c r="DP35" s="174"/>
      <c r="DQ35" s="174"/>
      <c r="DR35" s="174"/>
      <c r="DS35" s="177"/>
    </row>
    <row r="36" spans="2:123" ht="9.9499999999999993" customHeight="1" thickBot="1">
      <c r="B36" s="1"/>
      <c r="C36" s="174"/>
      <c r="D36" s="174"/>
      <c r="E36" s="719"/>
      <c r="F36" s="720"/>
      <c r="G36" s="720"/>
      <c r="H36" s="720"/>
      <c r="I36" s="721"/>
      <c r="J36" s="726"/>
      <c r="K36" s="726"/>
      <c r="L36" s="726"/>
      <c r="M36" s="726"/>
      <c r="N36" s="727"/>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728">
        <f>CV33</f>
        <v>1645.9473684210527</v>
      </c>
      <c r="AX36" s="861"/>
      <c r="AY36" s="861"/>
      <c r="AZ36" s="861"/>
      <c r="BA36" s="861"/>
      <c r="BB36" s="861"/>
      <c r="BC36" s="861"/>
      <c r="BD36" s="861"/>
      <c r="BE36" s="861"/>
      <c r="BF36" s="862"/>
      <c r="BG36" s="174"/>
      <c r="BH36" s="174"/>
      <c r="BI36" s="177"/>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58"/>
      <c r="CU36" s="109"/>
      <c r="CV36" s="109"/>
      <c r="CW36" s="109"/>
      <c r="CX36" s="109"/>
      <c r="CY36" s="109"/>
      <c r="CZ36" s="109"/>
      <c r="DA36" s="109"/>
      <c r="DB36" s="109"/>
      <c r="DC36" s="109"/>
      <c r="DD36" s="109"/>
      <c r="DE36" s="60"/>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863"/>
      <c r="AX37" s="864"/>
      <c r="AY37" s="864"/>
      <c r="AZ37" s="864"/>
      <c r="BA37" s="864"/>
      <c r="BB37" s="864"/>
      <c r="BC37" s="864"/>
      <c r="BD37" s="864"/>
      <c r="BE37" s="864"/>
      <c r="BF37" s="865"/>
      <c r="BG37" s="174"/>
      <c r="BH37" s="174"/>
      <c r="BI37" s="177"/>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58"/>
      <c r="CU37" s="109"/>
      <c r="CV37" s="109"/>
      <c r="CW37" s="109"/>
      <c r="CX37" s="109"/>
      <c r="CY37" s="109"/>
      <c r="CZ37" s="109"/>
      <c r="DA37" s="109"/>
      <c r="DB37" s="109"/>
      <c r="DC37" s="109"/>
      <c r="DD37" s="109"/>
      <c r="DE37" s="60"/>
      <c r="DF37" s="174"/>
      <c r="DG37" s="174"/>
      <c r="DH37" s="174"/>
      <c r="DI37" s="174"/>
      <c r="DJ37" s="174"/>
      <c r="DK37" s="174"/>
      <c r="DL37" s="174"/>
      <c r="DM37" s="174"/>
      <c r="DN37" s="174"/>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866"/>
      <c r="AX38" s="867"/>
      <c r="AY38" s="867"/>
      <c r="AZ38" s="867"/>
      <c r="BA38" s="867"/>
      <c r="BB38" s="867"/>
      <c r="BC38" s="867"/>
      <c r="BD38" s="867"/>
      <c r="BE38" s="867"/>
      <c r="BF38" s="868"/>
      <c r="BG38" s="174"/>
      <c r="BH38" s="174"/>
      <c r="BI38" s="177"/>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61"/>
      <c r="CU38" s="110"/>
      <c r="CV38" s="110"/>
      <c r="CW38" s="110"/>
      <c r="CX38" s="110"/>
      <c r="CY38" s="110"/>
      <c r="CZ38" s="110"/>
      <c r="DA38" s="110"/>
      <c r="DB38" s="110"/>
      <c r="DC38" s="110"/>
      <c r="DD38" s="110"/>
      <c r="DE38" s="63"/>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713">
        <f>ROUND(AW36/CLV_Limit,2)</f>
        <v>1.03</v>
      </c>
      <c r="AX39" s="714"/>
      <c r="AY39" s="714"/>
      <c r="AZ39" s="714"/>
      <c r="BA39" s="715"/>
      <c r="BB39" s="722" t="s">
        <v>100</v>
      </c>
      <c r="BC39" s="722"/>
      <c r="BD39" s="722"/>
      <c r="BE39" s="722"/>
      <c r="BF39" s="723"/>
      <c r="BG39" s="174"/>
      <c r="BH39" s="174"/>
      <c r="BI39" s="177"/>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716"/>
      <c r="AX40" s="717"/>
      <c r="AY40" s="717"/>
      <c r="AZ40" s="717"/>
      <c r="BA40" s="718"/>
      <c r="BB40" s="724"/>
      <c r="BC40" s="724"/>
      <c r="BD40" s="724"/>
      <c r="BE40" s="724"/>
      <c r="BF40" s="725"/>
      <c r="BG40" s="174"/>
      <c r="BH40" s="174"/>
      <c r="BI40" s="177"/>
      <c r="BK40" s="174"/>
      <c r="BL40" s="1"/>
      <c r="BM40" s="174"/>
      <c r="BN40" s="174"/>
      <c r="BO40" s="174"/>
      <c r="BP40" s="174"/>
      <c r="BQ40" s="174"/>
      <c r="BR40" s="174"/>
      <c r="BS40" s="174"/>
      <c r="BT40" s="174"/>
      <c r="BU40" s="174"/>
      <c r="BV40" s="174"/>
      <c r="BW40" s="174"/>
      <c r="BX40" s="174"/>
      <c r="BY40" s="174"/>
      <c r="BZ40" s="56"/>
      <c r="CA40" s="175"/>
      <c r="CB40" s="175"/>
      <c r="CC40" s="175"/>
      <c r="CD40" s="175"/>
      <c r="CE40" s="175"/>
      <c r="CF40" s="175"/>
      <c r="CG40" s="175"/>
      <c r="CH40" s="175"/>
      <c r="CI40" s="175"/>
      <c r="CJ40" s="175"/>
      <c r="CK40" s="176"/>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thickBo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719"/>
      <c r="AX41" s="720"/>
      <c r="AY41" s="720"/>
      <c r="AZ41" s="720"/>
      <c r="BA41" s="721"/>
      <c r="BB41" s="726"/>
      <c r="BC41" s="726"/>
      <c r="BD41" s="726"/>
      <c r="BE41" s="726"/>
      <c r="BF41" s="727"/>
      <c r="BG41" s="174"/>
      <c r="BH41" s="174"/>
      <c r="BI41" s="177"/>
      <c r="BK41" s="174"/>
      <c r="BL41" s="1"/>
      <c r="BM41" s="174"/>
      <c r="BN41" s="174"/>
      <c r="BO41" s="174"/>
      <c r="BP41" s="174"/>
      <c r="BQ41" s="174"/>
      <c r="BR41" s="174"/>
      <c r="BS41" s="174"/>
      <c r="BT41" s="174"/>
      <c r="BU41" s="174"/>
      <c r="BV41" s="174"/>
      <c r="BW41" s="174"/>
      <c r="BX41" s="174"/>
      <c r="BY41" s="174"/>
      <c r="BZ41" s="58"/>
      <c r="CA41" s="109"/>
      <c r="CB41" s="109"/>
      <c r="CC41" s="109"/>
      <c r="CD41" s="109"/>
      <c r="CE41" s="109"/>
      <c r="CF41" s="109"/>
      <c r="CG41" s="109"/>
      <c r="CH41" s="109"/>
      <c r="CI41" s="109"/>
      <c r="CJ41" s="109"/>
      <c r="CK41" s="60"/>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K42" s="174"/>
      <c r="BL42" s="1"/>
      <c r="BM42" s="174"/>
      <c r="BN42" s="174"/>
      <c r="BO42" s="174"/>
      <c r="BP42" s="174"/>
      <c r="BQ42" s="174"/>
      <c r="BR42" s="174"/>
      <c r="BS42" s="174"/>
      <c r="BT42" s="174"/>
      <c r="BU42" s="174"/>
      <c r="BV42" s="174"/>
      <c r="BW42" s="174"/>
      <c r="BX42" s="174"/>
      <c r="BY42" s="174"/>
      <c r="BZ42" s="58"/>
      <c r="CA42" s="109"/>
      <c r="CB42" s="109"/>
      <c r="CC42" s="109"/>
      <c r="CD42" s="109"/>
      <c r="CE42" s="109"/>
      <c r="CF42" s="109"/>
      <c r="CG42" s="109"/>
      <c r="CH42" s="109"/>
      <c r="CI42" s="109"/>
      <c r="CJ42" s="109"/>
      <c r="CK42" s="60"/>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K43" s="174"/>
      <c r="BL43" s="1"/>
      <c r="BM43" s="174"/>
      <c r="BN43" s="174"/>
      <c r="BO43" s="174"/>
      <c r="BP43" s="174"/>
      <c r="BQ43" s="174"/>
      <c r="BR43" s="174"/>
      <c r="BS43" s="1138"/>
      <c r="BT43" s="1134"/>
      <c r="BU43" s="1134"/>
      <c r="BV43" s="1134"/>
      <c r="BW43" s="1295" t="s">
        <v>99</v>
      </c>
      <c r="BX43" s="1087">
        <f>EBU_Master</f>
        <v>0</v>
      </c>
      <c r="BY43" s="950">
        <v>1</v>
      </c>
      <c r="BZ43" s="58"/>
      <c r="CA43" s="109"/>
      <c r="CB43" s="763"/>
      <c r="CC43" s="764"/>
      <c r="CD43" s="764"/>
      <c r="CE43" s="764"/>
      <c r="CF43" s="764"/>
      <c r="CG43" s="764"/>
      <c r="CH43" s="764"/>
      <c r="CI43" s="771"/>
      <c r="CJ43" s="109"/>
      <c r="CK43" s="60"/>
      <c r="CL43" s="1883">
        <f>CU66</f>
        <v>2</v>
      </c>
      <c r="CM43" s="1878"/>
      <c r="CN43" s="1879"/>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K44" s="174"/>
      <c r="BL44" s="1"/>
      <c r="BM44" s="174"/>
      <c r="BN44" s="174"/>
      <c r="BO44" s="174"/>
      <c r="BP44" s="174"/>
      <c r="BQ44" s="174"/>
      <c r="BR44" s="174"/>
      <c r="BS44" s="1139"/>
      <c r="BT44" s="1136"/>
      <c r="BU44" s="1136"/>
      <c r="BV44" s="1136"/>
      <c r="BW44" s="1294"/>
      <c r="BX44" s="1080"/>
      <c r="BY44" s="938"/>
      <c r="BZ44" s="58"/>
      <c r="CA44" s="109"/>
      <c r="CB44" s="766"/>
      <c r="CC44" s="767"/>
      <c r="CD44" s="767"/>
      <c r="CE44" s="767"/>
      <c r="CF44" s="767"/>
      <c r="CG44" s="767"/>
      <c r="CH44" s="767"/>
      <c r="CI44" s="772"/>
      <c r="CJ44" s="109"/>
      <c r="CK44" s="60"/>
      <c r="CL44" s="1189">
        <f>CX67+CU67</f>
        <v>1260</v>
      </c>
      <c r="CM44" s="1190"/>
      <c r="CN44" s="1191"/>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K45" s="174"/>
      <c r="BL45" s="1"/>
      <c r="BM45" s="174"/>
      <c r="BN45" s="174"/>
      <c r="BO45" s="174"/>
      <c r="BP45" s="174"/>
      <c r="BQ45" s="174"/>
      <c r="BR45" s="174"/>
      <c r="BS45" s="1139"/>
      <c r="BT45" s="1136"/>
      <c r="BU45" s="1136"/>
      <c r="BV45" s="1136"/>
      <c r="BW45" s="1294"/>
      <c r="BX45" s="1080"/>
      <c r="BY45" s="938"/>
      <c r="BZ45" s="58"/>
      <c r="CA45" s="109"/>
      <c r="CB45" s="766"/>
      <c r="CC45" s="767"/>
      <c r="CD45" s="767"/>
      <c r="CE45" s="767"/>
      <c r="CF45" s="767"/>
      <c r="CG45" s="767"/>
      <c r="CH45" s="767"/>
      <c r="CI45" s="772"/>
      <c r="CJ45" s="109"/>
      <c r="CK45" s="60"/>
      <c r="CL45" s="1065" t="s">
        <v>99</v>
      </c>
      <c r="CM45" s="1066"/>
      <c r="CN45" s="1067"/>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174"/>
      <c r="BR46" s="174"/>
      <c r="BS46" s="1139"/>
      <c r="BT46" s="1136"/>
      <c r="BU46" s="1136"/>
      <c r="BV46" s="1136"/>
      <c r="BW46" s="1294" t="s">
        <v>99</v>
      </c>
      <c r="BX46" s="1080">
        <f>EBL_Master</f>
        <v>899</v>
      </c>
      <c r="BY46" s="938"/>
      <c r="BZ46" s="58"/>
      <c r="CA46" s="109"/>
      <c r="CB46" s="1833">
        <f>CL44/CL43+((BX46/LTAF)+(BX43/UTAF)/BY43)</f>
        <v>1576.3157894736842</v>
      </c>
      <c r="CC46" s="1834"/>
      <c r="CD46" s="1834"/>
      <c r="CE46" s="1834"/>
      <c r="CF46" s="1834"/>
      <c r="CG46" s="1834"/>
      <c r="CH46" s="1834"/>
      <c r="CI46" s="1835"/>
      <c r="CJ46" s="109"/>
      <c r="CK46" s="60"/>
      <c r="CL46" s="1099"/>
      <c r="CM46" s="1068"/>
      <c r="CN46" s="1069"/>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728">
        <f>CB46</f>
        <v>1576.3157894736842</v>
      </c>
      <c r="F47" s="861"/>
      <c r="G47" s="861"/>
      <c r="H47" s="861"/>
      <c r="I47" s="861"/>
      <c r="J47" s="861"/>
      <c r="K47" s="861"/>
      <c r="L47" s="861"/>
      <c r="M47" s="861"/>
      <c r="N47" s="862"/>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139"/>
      <c r="BT47" s="1136"/>
      <c r="BU47" s="1136"/>
      <c r="BV47" s="1136"/>
      <c r="BW47" s="1294"/>
      <c r="BX47" s="1080"/>
      <c r="BY47" s="938"/>
      <c r="BZ47" s="58"/>
      <c r="CA47" s="109"/>
      <c r="CB47" s="1833"/>
      <c r="CC47" s="1834"/>
      <c r="CD47" s="1834"/>
      <c r="CE47" s="1834"/>
      <c r="CF47" s="1834"/>
      <c r="CG47" s="1834"/>
      <c r="CH47" s="1834"/>
      <c r="CI47" s="1835"/>
      <c r="CJ47" s="109"/>
      <c r="CK47" s="60"/>
      <c r="CL47" s="1099"/>
      <c r="CM47" s="1068"/>
      <c r="CN47" s="1069"/>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863"/>
      <c r="F48" s="864"/>
      <c r="G48" s="864"/>
      <c r="H48" s="864"/>
      <c r="I48" s="864"/>
      <c r="J48" s="864"/>
      <c r="K48" s="864"/>
      <c r="L48" s="864"/>
      <c r="M48" s="864"/>
      <c r="N48" s="865"/>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153"/>
      <c r="BT48" s="1150"/>
      <c r="BU48" s="1150"/>
      <c r="BV48" s="1150"/>
      <c r="BW48" s="1299"/>
      <c r="BX48" s="1109"/>
      <c r="BY48" s="965"/>
      <c r="BZ48" s="58"/>
      <c r="CA48" s="109"/>
      <c r="CB48" s="1836"/>
      <c r="CC48" s="1837"/>
      <c r="CD48" s="1837"/>
      <c r="CE48" s="1837"/>
      <c r="CF48" s="1837"/>
      <c r="CG48" s="1837"/>
      <c r="CH48" s="1837"/>
      <c r="CI48" s="1838"/>
      <c r="CJ48" s="109"/>
      <c r="CK48" s="60"/>
      <c r="CL48" s="1099"/>
      <c r="CM48" s="1068"/>
      <c r="CN48" s="1069"/>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866"/>
      <c r="F49" s="867"/>
      <c r="G49" s="867"/>
      <c r="H49" s="867"/>
      <c r="I49" s="867"/>
      <c r="J49" s="867"/>
      <c r="K49" s="867"/>
      <c r="L49" s="867"/>
      <c r="M49" s="867"/>
      <c r="N49" s="868"/>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174"/>
      <c r="BX49" s="174"/>
      <c r="BY49" s="174"/>
      <c r="BZ49" s="58"/>
      <c r="CA49" s="109"/>
      <c r="CB49" s="109"/>
      <c r="CC49" s="109"/>
      <c r="CD49" s="109"/>
      <c r="CE49" s="109"/>
      <c r="CF49" s="109"/>
      <c r="CG49" s="109"/>
      <c r="CH49" s="109"/>
      <c r="CI49" s="109"/>
      <c r="CJ49" s="109"/>
      <c r="CK49" s="60"/>
      <c r="CL49" s="1167"/>
      <c r="CM49" s="1070"/>
      <c r="CN49" s="1071"/>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713">
        <f>ROUND(E47/CLV_Limit,2)</f>
        <v>0.99</v>
      </c>
      <c r="F50" s="714"/>
      <c r="G50" s="714"/>
      <c r="H50" s="714"/>
      <c r="I50" s="715"/>
      <c r="J50" s="722" t="s">
        <v>100</v>
      </c>
      <c r="K50" s="722"/>
      <c r="L50" s="722"/>
      <c r="M50" s="722"/>
      <c r="N50" s="723"/>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174"/>
      <c r="BX50" s="174"/>
      <c r="BY50" s="174"/>
      <c r="BZ50" s="58"/>
      <c r="CA50" s="109"/>
      <c r="CB50" s="109"/>
      <c r="CC50" s="109"/>
      <c r="CD50" s="109"/>
      <c r="CE50" s="109"/>
      <c r="CF50" s="109"/>
      <c r="CG50" s="109"/>
      <c r="CH50" s="109"/>
      <c r="CI50" s="109"/>
      <c r="CJ50" s="80"/>
      <c r="CK50" s="81"/>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thickBot="1">
      <c r="B51" s="1"/>
      <c r="C51" s="174"/>
      <c r="D51" s="174"/>
      <c r="E51" s="716"/>
      <c r="F51" s="717"/>
      <c r="G51" s="717"/>
      <c r="H51" s="717"/>
      <c r="I51" s="718"/>
      <c r="J51" s="724"/>
      <c r="K51" s="724"/>
      <c r="L51" s="724"/>
      <c r="M51" s="724"/>
      <c r="N51" s="725"/>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174"/>
      <c r="BX51" s="174"/>
      <c r="BY51" s="174"/>
      <c r="BZ51" s="61"/>
      <c r="CA51" s="110"/>
      <c r="CB51" s="110"/>
      <c r="CC51" s="110"/>
      <c r="CD51" s="110"/>
      <c r="CE51" s="110"/>
      <c r="CF51" s="110"/>
      <c r="CG51" s="110"/>
      <c r="CH51" s="110"/>
      <c r="CI51" s="110"/>
      <c r="CJ51" s="82"/>
      <c r="CK51" s="83"/>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thickBot="1">
      <c r="B52" s="1"/>
      <c r="C52" s="174"/>
      <c r="D52" s="174"/>
      <c r="E52" s="719"/>
      <c r="F52" s="720"/>
      <c r="G52" s="720"/>
      <c r="H52" s="720"/>
      <c r="I52" s="721"/>
      <c r="J52" s="726"/>
      <c r="K52" s="726"/>
      <c r="L52" s="726"/>
      <c r="M52" s="726"/>
      <c r="N52" s="727"/>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728">
        <f>CQ60</f>
        <v>1647.5</v>
      </c>
      <c r="AX53" s="861"/>
      <c r="AY53" s="861"/>
      <c r="AZ53" s="861"/>
      <c r="BA53" s="861"/>
      <c r="BB53" s="861"/>
      <c r="BC53" s="861"/>
      <c r="BD53" s="861"/>
      <c r="BE53" s="861"/>
      <c r="BF53" s="862"/>
      <c r="BG53" s="174"/>
      <c r="BH53" s="174"/>
      <c r="BI53" s="177"/>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863"/>
      <c r="AX54" s="864"/>
      <c r="AY54" s="864"/>
      <c r="AZ54" s="864"/>
      <c r="BA54" s="864"/>
      <c r="BB54" s="864"/>
      <c r="BC54" s="864"/>
      <c r="BD54" s="864"/>
      <c r="BE54" s="864"/>
      <c r="BF54" s="865"/>
      <c r="BG54" s="174"/>
      <c r="BH54" s="174"/>
      <c r="BI54" s="177"/>
      <c r="BK54" s="174"/>
      <c r="BL54" s="1"/>
      <c r="BM54" s="174"/>
      <c r="BN54" s="174"/>
      <c r="BO54" s="174"/>
      <c r="BP54" s="174"/>
      <c r="BQ54" s="174"/>
      <c r="BR54" s="174"/>
      <c r="BS54" s="174"/>
      <c r="BT54" s="174"/>
      <c r="BU54" s="174"/>
      <c r="BV54" s="174"/>
      <c r="BW54" s="174"/>
      <c r="BX54" s="174"/>
      <c r="BY54" s="174"/>
      <c r="BZ54" s="56"/>
      <c r="CA54" s="175"/>
      <c r="CB54" s="175"/>
      <c r="CC54" s="175"/>
      <c r="CD54" s="175"/>
      <c r="CE54" s="175"/>
      <c r="CF54" s="175"/>
      <c r="CG54" s="175"/>
      <c r="CH54" s="175"/>
      <c r="CI54" s="175"/>
      <c r="CJ54" s="175"/>
      <c r="CK54" s="176"/>
      <c r="CL54" s="174"/>
      <c r="CM54" s="174"/>
      <c r="CN54" s="174"/>
      <c r="CO54" s="56"/>
      <c r="CP54" s="175"/>
      <c r="CQ54" s="175"/>
      <c r="CR54" s="175"/>
      <c r="CS54" s="175"/>
      <c r="CT54" s="175"/>
      <c r="CU54" s="175"/>
      <c r="CV54" s="175"/>
      <c r="CW54" s="175"/>
      <c r="CX54" s="175"/>
      <c r="CY54" s="175"/>
      <c r="CZ54" s="176"/>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866"/>
      <c r="AX55" s="867"/>
      <c r="AY55" s="867"/>
      <c r="AZ55" s="867"/>
      <c r="BA55" s="867"/>
      <c r="BB55" s="867"/>
      <c r="BC55" s="867"/>
      <c r="BD55" s="867"/>
      <c r="BE55" s="867"/>
      <c r="BF55" s="868"/>
      <c r="BG55" s="174"/>
      <c r="BH55" s="174"/>
      <c r="BI55" s="177"/>
      <c r="BK55" s="174"/>
      <c r="BL55" s="1"/>
      <c r="BM55" s="174"/>
      <c r="BN55" s="174"/>
      <c r="BO55" s="174"/>
      <c r="BP55" s="174"/>
      <c r="BQ55" s="174"/>
      <c r="BR55" s="174"/>
      <c r="BS55" s="174"/>
      <c r="BT55" s="174"/>
      <c r="BU55" s="174"/>
      <c r="BV55" s="174"/>
      <c r="BW55" s="174"/>
      <c r="BX55" s="174"/>
      <c r="BY55" s="174"/>
      <c r="BZ55" s="58"/>
      <c r="CA55" s="109"/>
      <c r="CB55" s="109"/>
      <c r="CC55" s="109"/>
      <c r="CD55" s="109"/>
      <c r="CE55" s="109"/>
      <c r="CF55" s="109"/>
      <c r="CG55" s="109"/>
      <c r="CH55" s="109"/>
      <c r="CI55" s="109"/>
      <c r="CJ55" s="109"/>
      <c r="CK55" s="60"/>
      <c r="CL55" s="174"/>
      <c r="CM55" s="174"/>
      <c r="CN55" s="174"/>
      <c r="CO55" s="58"/>
      <c r="CP55" s="109"/>
      <c r="CQ55" s="109"/>
      <c r="CR55" s="109"/>
      <c r="CS55" s="109"/>
      <c r="CT55" s="109"/>
      <c r="CU55" s="109"/>
      <c r="CV55" s="109"/>
      <c r="CW55" s="109"/>
      <c r="CX55" s="109"/>
      <c r="CY55" s="109"/>
      <c r="CZ55" s="60"/>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713">
        <f>ROUND(AW53/CLV_Limit,2)</f>
        <v>1.03</v>
      </c>
      <c r="AX56" s="714"/>
      <c r="AY56" s="714"/>
      <c r="AZ56" s="714"/>
      <c r="BA56" s="715"/>
      <c r="BB56" s="722" t="s">
        <v>100</v>
      </c>
      <c r="BC56" s="722"/>
      <c r="BD56" s="722"/>
      <c r="BE56" s="722"/>
      <c r="BF56" s="723"/>
      <c r="BG56" s="174"/>
      <c r="BH56" s="174"/>
      <c r="BI56" s="177"/>
      <c r="BK56" s="174"/>
      <c r="BL56" s="1"/>
      <c r="BM56" s="174"/>
      <c r="BN56" s="174"/>
      <c r="BO56" s="174"/>
      <c r="BP56" s="174"/>
      <c r="BQ56" s="174"/>
      <c r="BR56" s="174"/>
      <c r="BS56" s="174"/>
      <c r="BT56" s="174"/>
      <c r="BU56" s="174"/>
      <c r="BV56" s="174"/>
      <c r="BW56" s="174"/>
      <c r="BX56" s="174"/>
      <c r="BY56" s="174"/>
      <c r="BZ56" s="58"/>
      <c r="CA56" s="109"/>
      <c r="CB56" s="109"/>
      <c r="CC56" s="109"/>
      <c r="CD56" s="109"/>
      <c r="CE56" s="109"/>
      <c r="CF56" s="109"/>
      <c r="CG56" s="109"/>
      <c r="CH56" s="109"/>
      <c r="CI56" s="109"/>
      <c r="CJ56" s="109"/>
      <c r="CK56" s="60"/>
      <c r="CL56" s="1096"/>
      <c r="CM56" s="1097"/>
      <c r="CN56" s="1098"/>
      <c r="CO56" s="58"/>
      <c r="CP56" s="109"/>
      <c r="CQ56" s="109"/>
      <c r="CR56" s="109"/>
      <c r="CS56" s="109"/>
      <c r="CT56" s="109"/>
      <c r="CU56" s="109"/>
      <c r="CV56" s="109"/>
      <c r="CW56" s="109"/>
      <c r="CX56" s="109"/>
      <c r="CY56" s="109"/>
      <c r="CZ56" s="60"/>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716"/>
      <c r="AX57" s="717"/>
      <c r="AY57" s="717"/>
      <c r="AZ57" s="717"/>
      <c r="BA57" s="718"/>
      <c r="BB57" s="724"/>
      <c r="BC57" s="724"/>
      <c r="BD57" s="724"/>
      <c r="BE57" s="724"/>
      <c r="BF57" s="725"/>
      <c r="BG57" s="174"/>
      <c r="BH57" s="174"/>
      <c r="BI57" s="177"/>
      <c r="BK57" s="174"/>
      <c r="BL57" s="1"/>
      <c r="BM57" s="174"/>
      <c r="BN57" s="174"/>
      <c r="BO57" s="174"/>
      <c r="BP57" s="174"/>
      <c r="BQ57" s="174"/>
      <c r="BR57" s="174"/>
      <c r="BS57" s="174"/>
      <c r="BT57" s="174"/>
      <c r="BU57" s="174"/>
      <c r="BV57" s="174"/>
      <c r="BW57" s="174"/>
      <c r="BX57" s="30"/>
      <c r="BY57" s="174"/>
      <c r="BZ57" s="58"/>
      <c r="CA57" s="109"/>
      <c r="CB57" s="763"/>
      <c r="CC57" s="764"/>
      <c r="CD57" s="764"/>
      <c r="CE57" s="764"/>
      <c r="CF57" s="764"/>
      <c r="CG57" s="764"/>
      <c r="CH57" s="764"/>
      <c r="CI57" s="771"/>
      <c r="CJ57" s="109"/>
      <c r="CK57" s="60"/>
      <c r="CL57" s="1099"/>
      <c r="CM57" s="1068"/>
      <c r="CN57" s="1069"/>
      <c r="CO57" s="58"/>
      <c r="CP57" s="109"/>
      <c r="CQ57" s="763"/>
      <c r="CR57" s="764"/>
      <c r="CS57" s="764"/>
      <c r="CT57" s="764"/>
      <c r="CU57" s="764"/>
      <c r="CV57" s="764"/>
      <c r="CW57" s="764"/>
      <c r="CX57" s="771"/>
      <c r="CY57" s="109"/>
      <c r="CZ57" s="60"/>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719"/>
      <c r="AX58" s="720"/>
      <c r="AY58" s="720"/>
      <c r="AZ58" s="720"/>
      <c r="BA58" s="721"/>
      <c r="BB58" s="726"/>
      <c r="BC58" s="726"/>
      <c r="BD58" s="726"/>
      <c r="BE58" s="726"/>
      <c r="BF58" s="727"/>
      <c r="BG58" s="174"/>
      <c r="BH58" s="174"/>
      <c r="BI58" s="177"/>
      <c r="BK58" s="174"/>
      <c r="BL58" s="1"/>
      <c r="BM58" s="174"/>
      <c r="BN58" s="174"/>
      <c r="BO58" s="174"/>
      <c r="BP58" s="174"/>
      <c r="BQ58" s="174"/>
      <c r="BR58" s="174"/>
      <c r="BS58" s="174"/>
      <c r="BT58" s="174"/>
      <c r="BU58" s="174"/>
      <c r="BV58" s="174"/>
      <c r="BW58" s="174"/>
      <c r="BX58" s="174"/>
      <c r="BY58" s="174"/>
      <c r="BZ58" s="58"/>
      <c r="CA58" s="109"/>
      <c r="CB58" s="766"/>
      <c r="CC58" s="767"/>
      <c r="CD58" s="767"/>
      <c r="CE58" s="767"/>
      <c r="CF58" s="767"/>
      <c r="CG58" s="767"/>
      <c r="CH58" s="767"/>
      <c r="CI58" s="772"/>
      <c r="CJ58" s="109"/>
      <c r="CK58" s="60"/>
      <c r="CL58" s="1099"/>
      <c r="CM58" s="1068"/>
      <c r="CN58" s="1069"/>
      <c r="CO58" s="58"/>
      <c r="CP58" s="109"/>
      <c r="CQ58" s="766"/>
      <c r="CR58" s="767"/>
      <c r="CS58" s="767"/>
      <c r="CT58" s="767"/>
      <c r="CU58" s="767"/>
      <c r="CV58" s="767"/>
      <c r="CW58" s="767"/>
      <c r="CX58" s="772"/>
      <c r="CY58" s="109"/>
      <c r="CZ58" s="60"/>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58"/>
      <c r="CA59" s="109"/>
      <c r="CB59" s="766"/>
      <c r="CC59" s="767"/>
      <c r="CD59" s="767"/>
      <c r="CE59" s="767"/>
      <c r="CF59" s="767"/>
      <c r="CG59" s="767"/>
      <c r="CH59" s="767"/>
      <c r="CI59" s="772"/>
      <c r="CJ59" s="109"/>
      <c r="CK59" s="60"/>
      <c r="CL59" s="1099"/>
      <c r="CM59" s="1068"/>
      <c r="CN59" s="1069"/>
      <c r="CO59" s="58"/>
      <c r="CP59" s="109"/>
      <c r="CQ59" s="766"/>
      <c r="CR59" s="767"/>
      <c r="CS59" s="767"/>
      <c r="CT59" s="767"/>
      <c r="CU59" s="767"/>
      <c r="CV59" s="767"/>
      <c r="CW59" s="767"/>
      <c r="CX59" s="772"/>
      <c r="CY59" s="109"/>
      <c r="CZ59" s="60"/>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728">
        <f>CB60</f>
        <v>1236.4473684210527</v>
      </c>
      <c r="F60" s="861"/>
      <c r="G60" s="861"/>
      <c r="H60" s="861"/>
      <c r="I60" s="861"/>
      <c r="J60" s="861"/>
      <c r="K60" s="861"/>
      <c r="L60" s="861"/>
      <c r="M60" s="861"/>
      <c r="N60" s="862"/>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138"/>
      <c r="BT60" s="1134"/>
      <c r="BU60" s="1134"/>
      <c r="BV60" s="1134"/>
      <c r="BW60" s="1295" t="s">
        <v>99</v>
      </c>
      <c r="BX60" s="1087">
        <f>EBR_Master</f>
        <v>208</v>
      </c>
      <c r="BY60" s="1239">
        <v>1</v>
      </c>
      <c r="BZ60" s="58"/>
      <c r="CA60" s="109"/>
      <c r="CB60" s="1833">
        <f>CL61/CL62+BX60/LTAF/BY60</f>
        <v>1236.4473684210527</v>
      </c>
      <c r="CC60" s="1834"/>
      <c r="CD60" s="1834"/>
      <c r="CE60" s="1834"/>
      <c r="CF60" s="1834"/>
      <c r="CG60" s="1834"/>
      <c r="CH60" s="1834"/>
      <c r="CI60" s="1835"/>
      <c r="CJ60" s="109"/>
      <c r="CK60" s="60"/>
      <c r="CL60" s="1065" t="s">
        <v>99</v>
      </c>
      <c r="CM60" s="1066"/>
      <c r="CN60" s="1067"/>
      <c r="CO60" s="58"/>
      <c r="CP60" s="109"/>
      <c r="CQ60" s="1833">
        <f>CL61/CL62 +CL44/CL43</f>
        <v>1647.5</v>
      </c>
      <c r="CR60" s="1834"/>
      <c r="CS60" s="1834"/>
      <c r="CT60" s="1834"/>
      <c r="CU60" s="1834"/>
      <c r="CV60" s="1834"/>
      <c r="CW60" s="1834"/>
      <c r="CX60" s="1835"/>
      <c r="CY60" s="109"/>
      <c r="CZ60" s="60"/>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863"/>
      <c r="F61" s="864"/>
      <c r="G61" s="864"/>
      <c r="H61" s="864"/>
      <c r="I61" s="864"/>
      <c r="J61" s="864"/>
      <c r="K61" s="864"/>
      <c r="L61" s="864"/>
      <c r="M61" s="864"/>
      <c r="N61" s="865"/>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139"/>
      <c r="BT61" s="1136"/>
      <c r="BU61" s="1136"/>
      <c r="BV61" s="1136"/>
      <c r="BW61" s="1294"/>
      <c r="BX61" s="1080"/>
      <c r="BY61" s="1081"/>
      <c r="BZ61" s="58"/>
      <c r="CA61" s="109"/>
      <c r="CB61" s="1833"/>
      <c r="CC61" s="1834"/>
      <c r="CD61" s="1834"/>
      <c r="CE61" s="1834"/>
      <c r="CF61" s="1834"/>
      <c r="CG61" s="1834"/>
      <c r="CH61" s="1834"/>
      <c r="CI61" s="1835"/>
      <c r="CJ61" s="109"/>
      <c r="CK61" s="60"/>
      <c r="CL61" s="1203">
        <f>CE11+DG30</f>
        <v>2035</v>
      </c>
      <c r="CM61" s="1204"/>
      <c r="CN61" s="1205"/>
      <c r="CO61" s="58"/>
      <c r="CP61" s="109"/>
      <c r="CQ61" s="1833"/>
      <c r="CR61" s="1834"/>
      <c r="CS61" s="1834"/>
      <c r="CT61" s="1834"/>
      <c r="CU61" s="1834"/>
      <c r="CV61" s="1834"/>
      <c r="CW61" s="1834"/>
      <c r="CX61" s="1835"/>
      <c r="CY61" s="109"/>
      <c r="CZ61" s="60"/>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thickBot="1">
      <c r="B62" s="1"/>
      <c r="C62" s="174"/>
      <c r="D62" s="174"/>
      <c r="E62" s="866"/>
      <c r="F62" s="867"/>
      <c r="G62" s="867"/>
      <c r="H62" s="867"/>
      <c r="I62" s="867"/>
      <c r="J62" s="867"/>
      <c r="K62" s="867"/>
      <c r="L62" s="867"/>
      <c r="M62" s="867"/>
      <c r="N62" s="868"/>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153"/>
      <c r="BT62" s="1150"/>
      <c r="BU62" s="1150"/>
      <c r="BV62" s="1150"/>
      <c r="BW62" s="1299"/>
      <c r="BX62" s="1109"/>
      <c r="BY62" s="1110"/>
      <c r="BZ62" s="58"/>
      <c r="CA62" s="109"/>
      <c r="CB62" s="1836"/>
      <c r="CC62" s="1837"/>
      <c r="CD62" s="1837"/>
      <c r="CE62" s="1837"/>
      <c r="CF62" s="1837"/>
      <c r="CG62" s="1837"/>
      <c r="CH62" s="1837"/>
      <c r="CI62" s="1838"/>
      <c r="CJ62" s="109"/>
      <c r="CK62" s="60"/>
      <c r="CL62" s="1880">
        <f>CE12</f>
        <v>2</v>
      </c>
      <c r="CM62" s="1881"/>
      <c r="CN62" s="1882"/>
      <c r="CO62" s="58"/>
      <c r="CP62" s="109"/>
      <c r="CQ62" s="1836"/>
      <c r="CR62" s="1837"/>
      <c r="CS62" s="1837"/>
      <c r="CT62" s="1837"/>
      <c r="CU62" s="1837"/>
      <c r="CV62" s="1837"/>
      <c r="CW62" s="1837"/>
      <c r="CX62" s="1838"/>
      <c r="CY62" s="109"/>
      <c r="CZ62" s="60"/>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713">
        <f>ROUND(E60/CLV_Limit,2)</f>
        <v>0.77</v>
      </c>
      <c r="F63" s="714"/>
      <c r="G63" s="714"/>
      <c r="H63" s="714"/>
      <c r="I63" s="715"/>
      <c r="J63" s="722" t="s">
        <v>100</v>
      </c>
      <c r="K63" s="722"/>
      <c r="L63" s="722"/>
      <c r="M63" s="722"/>
      <c r="N63" s="723"/>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58"/>
      <c r="CA63" s="109"/>
      <c r="CB63" s="109"/>
      <c r="CC63" s="109"/>
      <c r="CD63" s="109"/>
      <c r="CE63" s="109"/>
      <c r="CF63" s="109"/>
      <c r="CG63" s="109"/>
      <c r="CH63" s="109"/>
      <c r="CI63" s="109"/>
      <c r="CJ63" s="109"/>
      <c r="CK63" s="60"/>
      <c r="CL63" s="174"/>
      <c r="CM63" s="174"/>
      <c r="CN63" s="174"/>
      <c r="CO63" s="58"/>
      <c r="CP63" s="109"/>
      <c r="CQ63" s="109"/>
      <c r="CR63" s="109"/>
      <c r="CS63" s="109"/>
      <c r="CT63" s="109"/>
      <c r="CU63" s="109"/>
      <c r="CV63" s="109"/>
      <c r="CW63" s="109"/>
      <c r="CX63" s="109"/>
      <c r="CY63" s="109"/>
      <c r="CZ63" s="60"/>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716"/>
      <c r="F64" s="717"/>
      <c r="G64" s="717"/>
      <c r="H64" s="717"/>
      <c r="I64" s="718"/>
      <c r="J64" s="724"/>
      <c r="K64" s="724"/>
      <c r="L64" s="724"/>
      <c r="M64" s="724"/>
      <c r="N64" s="725"/>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58"/>
      <c r="CA64" s="109"/>
      <c r="CB64" s="109"/>
      <c r="CC64" s="109"/>
      <c r="CD64" s="109"/>
      <c r="CE64" s="109"/>
      <c r="CF64" s="109"/>
      <c r="CG64" s="109"/>
      <c r="CH64" s="109"/>
      <c r="CI64" s="109"/>
      <c r="CJ64" s="109"/>
      <c r="CK64" s="60"/>
      <c r="CL64" s="174"/>
      <c r="CM64" s="174"/>
      <c r="CN64" s="174"/>
      <c r="CO64" s="58"/>
      <c r="CP64" s="109"/>
      <c r="CQ64" s="109"/>
      <c r="CR64" s="109"/>
      <c r="CS64" s="109"/>
      <c r="CT64" s="109"/>
      <c r="CU64" s="109"/>
      <c r="CV64" s="109"/>
      <c r="CW64" s="109"/>
      <c r="CX64" s="109"/>
      <c r="CY64" s="109"/>
      <c r="CZ64" s="60"/>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719"/>
      <c r="F65" s="720"/>
      <c r="G65" s="720"/>
      <c r="H65" s="720"/>
      <c r="I65" s="721"/>
      <c r="J65" s="726"/>
      <c r="K65" s="726"/>
      <c r="L65" s="726"/>
      <c r="M65" s="726"/>
      <c r="N65" s="727"/>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61"/>
      <c r="CA65" s="110"/>
      <c r="CB65" s="110"/>
      <c r="CC65" s="110"/>
      <c r="CD65" s="110"/>
      <c r="CE65" s="110"/>
      <c r="CF65" s="110"/>
      <c r="CG65" s="110"/>
      <c r="CH65" s="110"/>
      <c r="CI65" s="110"/>
      <c r="CJ65" s="110"/>
      <c r="CK65" s="63"/>
      <c r="CL65" s="174"/>
      <c r="CM65" s="174"/>
      <c r="CN65" s="174"/>
      <c r="CO65" s="61"/>
      <c r="CP65" s="110"/>
      <c r="CQ65" s="110"/>
      <c r="CR65" s="110"/>
      <c r="CS65" s="110"/>
      <c r="CT65" s="110"/>
      <c r="CU65" s="110"/>
      <c r="CV65" s="110"/>
      <c r="CW65" s="110"/>
      <c r="CX65" s="110"/>
      <c r="CY65" s="110"/>
      <c r="CZ65" s="63"/>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28"/>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968">
        <v>2</v>
      </c>
      <c r="CV66" s="969"/>
      <c r="CW66" s="969"/>
      <c r="CX66" s="969"/>
      <c r="CY66" s="969"/>
      <c r="CZ66" s="970"/>
      <c r="DA66" s="970">
        <v>1</v>
      </c>
      <c r="DB66" s="1040"/>
      <c r="DC66" s="1041"/>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045">
        <f>NBL_Master</f>
        <v>0</v>
      </c>
      <c r="CV67" s="1046"/>
      <c r="CW67" s="1046"/>
      <c r="CX67" s="1046">
        <f>NBT_Master</f>
        <v>1260</v>
      </c>
      <c r="CY67" s="1046"/>
      <c r="CZ67" s="1046"/>
      <c r="DA67" s="1123">
        <f>NBR_Master</f>
        <v>1060</v>
      </c>
      <c r="DB67" s="1123"/>
      <c r="DC67" s="112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045" t="s">
        <v>99</v>
      </c>
      <c r="CV68" s="1046"/>
      <c r="CW68" s="1046"/>
      <c r="CX68" s="1046" t="s">
        <v>99</v>
      </c>
      <c r="CY68" s="1046"/>
      <c r="CZ68" s="1046"/>
      <c r="DA68" s="1046" t="s">
        <v>99</v>
      </c>
      <c r="DB68" s="1046"/>
      <c r="DC68" s="1047"/>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099"/>
      <c r="CV69" s="1068"/>
      <c r="CW69" s="1068"/>
      <c r="CX69" s="1068"/>
      <c r="CY69" s="1068"/>
      <c r="CZ69" s="1068"/>
      <c r="DA69" s="1068"/>
      <c r="DB69" s="1068"/>
      <c r="DC69" s="1069"/>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099"/>
      <c r="CV70" s="1068"/>
      <c r="CW70" s="1068"/>
      <c r="CX70" s="1068"/>
      <c r="CY70" s="1068"/>
      <c r="CZ70" s="1068"/>
      <c r="DA70" s="1068"/>
      <c r="DB70" s="1068"/>
      <c r="DC70" s="1069"/>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27"/>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099"/>
      <c r="CV71" s="1068"/>
      <c r="CW71" s="1068"/>
      <c r="CX71" s="1068"/>
      <c r="CY71" s="1068"/>
      <c r="CZ71" s="1068"/>
      <c r="DA71" s="1068"/>
      <c r="DB71" s="1068"/>
      <c r="DC71" s="1069"/>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27"/>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167"/>
      <c r="CV72" s="1070"/>
      <c r="CW72" s="1070"/>
      <c r="CX72" s="1070"/>
      <c r="CY72" s="1070"/>
      <c r="CZ72" s="1070"/>
      <c r="DA72" s="1070"/>
      <c r="DB72" s="1070"/>
      <c r="DC72" s="1071"/>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10">
    <mergeCell ref="BX60:BX62"/>
    <mergeCell ref="BY60:BY62"/>
    <mergeCell ref="CB60:CI62"/>
    <mergeCell ref="CL60:CN60"/>
    <mergeCell ref="CQ60:CX62"/>
    <mergeCell ref="CU68:CW68"/>
    <mergeCell ref="CX68:CZ68"/>
    <mergeCell ref="DA68:DC68"/>
    <mergeCell ref="CU69:CW72"/>
    <mergeCell ref="CX69:CZ72"/>
    <mergeCell ref="DA69:DC72"/>
    <mergeCell ref="CL61:CN61"/>
    <mergeCell ref="CL62:CN62"/>
    <mergeCell ref="DA66:DC66"/>
    <mergeCell ref="CU67:CW67"/>
    <mergeCell ref="CX67:CZ67"/>
    <mergeCell ref="DA67:DC67"/>
    <mergeCell ref="CU66:CZ66"/>
    <mergeCell ref="DI30:DL32"/>
    <mergeCell ref="CQ33:CS33"/>
    <mergeCell ref="CV33:DC35"/>
    <mergeCell ref="DG33:DG35"/>
    <mergeCell ref="DH33:DH35"/>
    <mergeCell ref="CL45:CN45"/>
    <mergeCell ref="BS46:BV48"/>
    <mergeCell ref="BW46:BW48"/>
    <mergeCell ref="BX46:BX48"/>
    <mergeCell ref="CB46:CI48"/>
    <mergeCell ref="CL46:CN49"/>
    <mergeCell ref="DI33:DL35"/>
    <mergeCell ref="CQ34:CS34"/>
    <mergeCell ref="CQ35:CS35"/>
    <mergeCell ref="BS43:BV45"/>
    <mergeCell ref="BW43:BW45"/>
    <mergeCell ref="BX43:BX45"/>
    <mergeCell ref="BY43:BY48"/>
    <mergeCell ref="CB43:CI45"/>
    <mergeCell ref="CL43:CN43"/>
    <mergeCell ref="CL44:CN44"/>
    <mergeCell ref="DI18:DL20"/>
    <mergeCell ref="CG19:CN21"/>
    <mergeCell ref="CQ19:CS22"/>
    <mergeCell ref="CV19:DC21"/>
    <mergeCell ref="CG16:CN18"/>
    <mergeCell ref="CQ16:CS16"/>
    <mergeCell ref="CV16:DC18"/>
    <mergeCell ref="CQ17:CS17"/>
    <mergeCell ref="CQ18:CS18"/>
    <mergeCell ref="DF18:DF20"/>
    <mergeCell ref="BB39:BF41"/>
    <mergeCell ref="AW27:BA29"/>
    <mergeCell ref="BB27:BF29"/>
    <mergeCell ref="N74:AW74"/>
    <mergeCell ref="AW53:BF55"/>
    <mergeCell ref="E60:N62"/>
    <mergeCell ref="E50:I52"/>
    <mergeCell ref="DG18:DG20"/>
    <mergeCell ref="DH18:DH20"/>
    <mergeCell ref="J50:N52"/>
    <mergeCell ref="E63:I65"/>
    <mergeCell ref="J63:N65"/>
    <mergeCell ref="AW56:BA58"/>
    <mergeCell ref="BB56:BF58"/>
    <mergeCell ref="CQ29:CS32"/>
    <mergeCell ref="CV30:DC32"/>
    <mergeCell ref="DF30:DF35"/>
    <mergeCell ref="DG30:DG32"/>
    <mergeCell ref="DH30:DH32"/>
    <mergeCell ref="CL56:CN59"/>
    <mergeCell ref="CB57:CI59"/>
    <mergeCell ref="CQ57:CX59"/>
    <mergeCell ref="BS60:BV62"/>
    <mergeCell ref="BW60:BW62"/>
    <mergeCell ref="CB11:CD11"/>
    <mergeCell ref="CE11:CG11"/>
    <mergeCell ref="CH11:CJ11"/>
    <mergeCell ref="CB12:CD12"/>
    <mergeCell ref="BL1:DS2"/>
    <mergeCell ref="BL3:DS4"/>
    <mergeCell ref="CB6:CD9"/>
    <mergeCell ref="CE6:CG9"/>
    <mergeCell ref="CH6:CJ9"/>
    <mergeCell ref="CB10:CD10"/>
    <mergeCell ref="CE10:CG10"/>
    <mergeCell ref="CH10:CJ10"/>
    <mergeCell ref="CE12:CJ12"/>
    <mergeCell ref="B1:BI2"/>
    <mergeCell ref="B3:BI4"/>
    <mergeCell ref="C6:J7"/>
    <mergeCell ref="K6:AJ7"/>
    <mergeCell ref="E47:N49"/>
    <mergeCell ref="AW24:BF26"/>
    <mergeCell ref="E31:N33"/>
    <mergeCell ref="AW36:BF38"/>
    <mergeCell ref="AK6:BH7"/>
    <mergeCell ref="C8:J9"/>
    <mergeCell ref="K8:AJ9"/>
    <mergeCell ref="C10:J11"/>
    <mergeCell ref="K10:AJ11"/>
    <mergeCell ref="C12:J13"/>
    <mergeCell ref="K12:AJ13"/>
    <mergeCell ref="AK8:AP9"/>
    <mergeCell ref="AQ8:AV9"/>
    <mergeCell ref="AW8:BB9"/>
    <mergeCell ref="BC8:BH9"/>
    <mergeCell ref="AK10:AV13"/>
    <mergeCell ref="AW10:BH13"/>
    <mergeCell ref="E34:I36"/>
    <mergeCell ref="J34:N36"/>
    <mergeCell ref="AW39:BA41"/>
  </mergeCells>
  <conditionalFormatting sqref="AW10 AW27 E34 AW39 E50 AW56 E63">
    <cfRule type="cellIs" dxfId="23" priority="37" operator="between">
      <formula>0.75</formula>
      <formula>0.875</formula>
    </cfRule>
    <cfRule type="cellIs" dxfId="22" priority="38" operator="between">
      <formula>0.875</formula>
      <formula>1</formula>
    </cfRule>
    <cfRule type="cellIs" dxfId="21" priority="39" operator="greaterThan">
      <formula>1</formula>
    </cfRule>
  </conditionalFormatting>
  <conditionalFormatting sqref="CG19 CV19 AW24 E31 CV33 AW36 CB46 E47 AW53 E60 CB60 CQ60">
    <cfRule type="cellIs" dxfId="20" priority="46" operator="between">
      <formula>0.75*CLV_Limit</formula>
      <formula>0.875*CLV_Limit-1</formula>
    </cfRule>
    <cfRule type="cellIs" dxfId="19" priority="48" operator="between">
      <formula>0.875*CLV_Limit</formula>
      <formula>CLV_Limit-1</formula>
    </cfRule>
    <cfRule type="cellIs" dxfId="18" priority="49" operator="greaterThanOrEqual">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theme="2" tint="-0.249977111117893"/>
  </sheetPr>
  <dimension ref="B1:FE484"/>
  <sheetViews>
    <sheetView showGridLines="0" showRowColHeaders="0" zoomScale="90" zoomScaleNormal="90" workbookViewId="0">
      <selection activeCell="D73" sqref="D73:F73"/>
    </sheetView>
  </sheetViews>
  <sheetFormatPr defaultColWidth="0" defaultRowHeight="12.75"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0" width="1.7109375" hidden="1" customWidth="1"/>
    <col min="161" max="161" width="0.28515625" hidden="1" customWidth="1"/>
  </cols>
  <sheetData>
    <row r="1" spans="2:80" ht="9.9499999999999993" customHeight="1">
      <c r="B1" s="571" t="s">
        <v>166</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MAX(ROUND(D17/CLV_Limit,2),ROUND(Q17/CLV_Limit,2),ROUND(AD17/CLV_Limit,2),ROUND(AQ17/CLV_Limit,2),ROUND(BD17/CLV_Limit,2),ROUND(BQ17/CLV_Limit,2))</f>
        <v>0.97</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728">
        <f>I73</f>
        <v>0</v>
      </c>
      <c r="E17" s="861"/>
      <c r="F17" s="861"/>
      <c r="G17" s="861"/>
      <c r="H17" s="861"/>
      <c r="I17" s="861"/>
      <c r="J17" s="861"/>
      <c r="K17" s="861"/>
      <c r="L17" s="861"/>
      <c r="M17" s="862"/>
      <c r="N17" s="174"/>
      <c r="O17" s="174"/>
      <c r="P17" s="174"/>
      <c r="Q17" s="728">
        <f>U85</f>
        <v>449.5</v>
      </c>
      <c r="R17" s="861"/>
      <c r="S17" s="861"/>
      <c r="T17" s="861"/>
      <c r="U17" s="861"/>
      <c r="V17" s="861"/>
      <c r="W17" s="861"/>
      <c r="X17" s="861"/>
      <c r="Y17" s="861"/>
      <c r="Z17" s="862"/>
      <c r="AA17" s="174"/>
      <c r="AB17" s="174"/>
      <c r="AC17" s="174"/>
      <c r="AD17" s="728">
        <f>AG73</f>
        <v>1088.4473684210527</v>
      </c>
      <c r="AE17" s="861"/>
      <c r="AF17" s="861"/>
      <c r="AG17" s="861"/>
      <c r="AH17" s="861"/>
      <c r="AI17" s="861"/>
      <c r="AJ17" s="861"/>
      <c r="AK17" s="861"/>
      <c r="AL17" s="861"/>
      <c r="AM17" s="862"/>
      <c r="AN17" s="174"/>
      <c r="AO17" s="174"/>
      <c r="AP17" s="174"/>
      <c r="AQ17" s="728">
        <f>AO97</f>
        <v>294</v>
      </c>
      <c r="AR17" s="861"/>
      <c r="AS17" s="861"/>
      <c r="AT17" s="861"/>
      <c r="AU17" s="861"/>
      <c r="AV17" s="861"/>
      <c r="AW17" s="861"/>
      <c r="AX17" s="861"/>
      <c r="AY17" s="861"/>
      <c r="AZ17" s="862"/>
      <c r="BA17" s="174"/>
      <c r="BB17" s="174"/>
      <c r="BC17" s="174"/>
      <c r="BD17" s="728">
        <f>BA85</f>
        <v>597.5</v>
      </c>
      <c r="BE17" s="861"/>
      <c r="BF17" s="861"/>
      <c r="BG17" s="861"/>
      <c r="BH17" s="861"/>
      <c r="BI17" s="861"/>
      <c r="BJ17" s="861"/>
      <c r="BK17" s="861"/>
      <c r="BL17" s="861"/>
      <c r="BM17" s="862"/>
      <c r="BN17" s="174"/>
      <c r="BO17" s="174"/>
      <c r="BP17" s="174"/>
      <c r="BQ17" s="728">
        <f>BM97</f>
        <v>1550.5588235294117</v>
      </c>
      <c r="BR17" s="861"/>
      <c r="BS17" s="861"/>
      <c r="BT17" s="861"/>
      <c r="BU17" s="861"/>
      <c r="BV17" s="861"/>
      <c r="BW17" s="861"/>
      <c r="BX17" s="861"/>
      <c r="BY17" s="861"/>
      <c r="BZ17" s="862"/>
      <c r="CA17" s="174"/>
      <c r="CB17" s="177"/>
    </row>
    <row r="18" spans="2:80" ht="9.9499999999999993" customHeight="1">
      <c r="B18" s="1"/>
      <c r="C18" s="174"/>
      <c r="D18" s="863"/>
      <c r="E18" s="864"/>
      <c r="F18" s="864"/>
      <c r="G18" s="864"/>
      <c r="H18" s="864"/>
      <c r="I18" s="864"/>
      <c r="J18" s="864"/>
      <c r="K18" s="864"/>
      <c r="L18" s="864"/>
      <c r="M18" s="865"/>
      <c r="N18" s="174"/>
      <c r="O18" s="174"/>
      <c r="P18" s="174"/>
      <c r="Q18" s="863"/>
      <c r="R18" s="864"/>
      <c r="S18" s="864"/>
      <c r="T18" s="864"/>
      <c r="U18" s="864"/>
      <c r="V18" s="864"/>
      <c r="W18" s="864"/>
      <c r="X18" s="864"/>
      <c r="Y18" s="864"/>
      <c r="Z18" s="865"/>
      <c r="AA18" s="174"/>
      <c r="AB18" s="174"/>
      <c r="AC18" s="174"/>
      <c r="AD18" s="863"/>
      <c r="AE18" s="864"/>
      <c r="AF18" s="864"/>
      <c r="AG18" s="864"/>
      <c r="AH18" s="864"/>
      <c r="AI18" s="864"/>
      <c r="AJ18" s="864"/>
      <c r="AK18" s="864"/>
      <c r="AL18" s="864"/>
      <c r="AM18" s="865"/>
      <c r="AN18" s="174"/>
      <c r="AO18" s="174"/>
      <c r="AP18" s="174"/>
      <c r="AQ18" s="863"/>
      <c r="AR18" s="864"/>
      <c r="AS18" s="864"/>
      <c r="AT18" s="864"/>
      <c r="AU18" s="864"/>
      <c r="AV18" s="864"/>
      <c r="AW18" s="864"/>
      <c r="AX18" s="864"/>
      <c r="AY18" s="864"/>
      <c r="AZ18" s="865"/>
      <c r="BA18" s="174"/>
      <c r="BB18" s="174"/>
      <c r="BC18" s="174"/>
      <c r="BD18" s="863"/>
      <c r="BE18" s="864"/>
      <c r="BF18" s="864"/>
      <c r="BG18" s="864"/>
      <c r="BH18" s="864"/>
      <c r="BI18" s="864"/>
      <c r="BJ18" s="864"/>
      <c r="BK18" s="864"/>
      <c r="BL18" s="864"/>
      <c r="BM18" s="865"/>
      <c r="BN18" s="174"/>
      <c r="BO18" s="174"/>
      <c r="BP18" s="174"/>
      <c r="BQ18" s="863"/>
      <c r="BR18" s="864"/>
      <c r="BS18" s="864"/>
      <c r="BT18" s="864"/>
      <c r="BU18" s="864"/>
      <c r="BV18" s="864"/>
      <c r="BW18" s="864"/>
      <c r="BX18" s="864"/>
      <c r="BY18" s="864"/>
      <c r="BZ18" s="865"/>
      <c r="CA18" s="174"/>
      <c r="CB18" s="177"/>
    </row>
    <row r="19" spans="2:80" ht="9.9499999999999993" customHeight="1" thickBot="1">
      <c r="B19" s="1"/>
      <c r="C19" s="174"/>
      <c r="D19" s="866"/>
      <c r="E19" s="867"/>
      <c r="F19" s="867"/>
      <c r="G19" s="867"/>
      <c r="H19" s="867"/>
      <c r="I19" s="867"/>
      <c r="J19" s="867"/>
      <c r="K19" s="867"/>
      <c r="L19" s="867"/>
      <c r="M19" s="868"/>
      <c r="N19" s="174"/>
      <c r="O19" s="174"/>
      <c r="P19" s="174"/>
      <c r="Q19" s="866"/>
      <c r="R19" s="867"/>
      <c r="S19" s="867"/>
      <c r="T19" s="867"/>
      <c r="U19" s="867"/>
      <c r="V19" s="867"/>
      <c r="W19" s="867"/>
      <c r="X19" s="867"/>
      <c r="Y19" s="867"/>
      <c r="Z19" s="868"/>
      <c r="AA19" s="174"/>
      <c r="AB19" s="174"/>
      <c r="AC19" s="174"/>
      <c r="AD19" s="866"/>
      <c r="AE19" s="867"/>
      <c r="AF19" s="867"/>
      <c r="AG19" s="867"/>
      <c r="AH19" s="867"/>
      <c r="AI19" s="867"/>
      <c r="AJ19" s="867"/>
      <c r="AK19" s="867"/>
      <c r="AL19" s="867"/>
      <c r="AM19" s="868"/>
      <c r="AN19" s="174"/>
      <c r="AO19" s="174"/>
      <c r="AP19" s="174"/>
      <c r="AQ19" s="866"/>
      <c r="AR19" s="867"/>
      <c r="AS19" s="867"/>
      <c r="AT19" s="867"/>
      <c r="AU19" s="867"/>
      <c r="AV19" s="867"/>
      <c r="AW19" s="867"/>
      <c r="AX19" s="867"/>
      <c r="AY19" s="867"/>
      <c r="AZ19" s="868"/>
      <c r="BA19" s="174"/>
      <c r="BB19" s="174"/>
      <c r="BC19" s="174"/>
      <c r="BD19" s="866"/>
      <c r="BE19" s="867"/>
      <c r="BF19" s="867"/>
      <c r="BG19" s="867"/>
      <c r="BH19" s="867"/>
      <c r="BI19" s="867"/>
      <c r="BJ19" s="867"/>
      <c r="BK19" s="867"/>
      <c r="BL19" s="867"/>
      <c r="BM19" s="868"/>
      <c r="BN19" s="174"/>
      <c r="BO19" s="174"/>
      <c r="BP19" s="174"/>
      <c r="BQ19" s="866"/>
      <c r="BR19" s="867"/>
      <c r="BS19" s="867"/>
      <c r="BT19" s="867"/>
      <c r="BU19" s="867"/>
      <c r="BV19" s="867"/>
      <c r="BW19" s="867"/>
      <c r="BX19" s="867"/>
      <c r="BY19" s="867"/>
      <c r="BZ19" s="868"/>
      <c r="CA19" s="174"/>
      <c r="CB19" s="177"/>
    </row>
    <row r="20" spans="2:80" ht="9.9499999999999993" customHeight="1">
      <c r="B20" s="1"/>
      <c r="C20" s="174"/>
      <c r="D20" s="713">
        <f>ROUND(D17/CLV_Limit,2)</f>
        <v>0</v>
      </c>
      <c r="E20" s="714"/>
      <c r="F20" s="714"/>
      <c r="G20" s="714"/>
      <c r="H20" s="715"/>
      <c r="I20" s="722" t="s">
        <v>100</v>
      </c>
      <c r="J20" s="722"/>
      <c r="K20" s="722"/>
      <c r="L20" s="722"/>
      <c r="M20" s="723"/>
      <c r="N20" s="174"/>
      <c r="O20" s="174"/>
      <c r="P20" s="174"/>
      <c r="Q20" s="713">
        <f>ROUND(Q17/CLV_Limit,2)</f>
        <v>0.28000000000000003</v>
      </c>
      <c r="R20" s="714"/>
      <c r="S20" s="714"/>
      <c r="T20" s="714"/>
      <c r="U20" s="715"/>
      <c r="V20" s="722" t="s">
        <v>100</v>
      </c>
      <c r="W20" s="722"/>
      <c r="X20" s="722"/>
      <c r="Y20" s="722"/>
      <c r="Z20" s="723"/>
      <c r="AA20" s="174"/>
      <c r="AB20" s="174"/>
      <c r="AC20" s="174"/>
      <c r="AD20" s="713">
        <f>ROUND(AD17/CLV_Limit,2)</f>
        <v>0.68</v>
      </c>
      <c r="AE20" s="714"/>
      <c r="AF20" s="714"/>
      <c r="AG20" s="714"/>
      <c r="AH20" s="715"/>
      <c r="AI20" s="722" t="s">
        <v>100</v>
      </c>
      <c r="AJ20" s="722"/>
      <c r="AK20" s="722"/>
      <c r="AL20" s="722"/>
      <c r="AM20" s="723"/>
      <c r="AN20" s="174"/>
      <c r="AO20" s="174"/>
      <c r="AP20" s="174"/>
      <c r="AQ20" s="713">
        <f>ROUND(AQ17/CLV_Limit,2)</f>
        <v>0.18</v>
      </c>
      <c r="AR20" s="714"/>
      <c r="AS20" s="714"/>
      <c r="AT20" s="714"/>
      <c r="AU20" s="715"/>
      <c r="AV20" s="722" t="s">
        <v>100</v>
      </c>
      <c r="AW20" s="722"/>
      <c r="AX20" s="722"/>
      <c r="AY20" s="722"/>
      <c r="AZ20" s="723"/>
      <c r="BA20" s="174"/>
      <c r="BB20" s="174"/>
      <c r="BC20" s="174"/>
      <c r="BD20" s="713">
        <f>ROUND(BD17/CLV_Limit,2)</f>
        <v>0.37</v>
      </c>
      <c r="BE20" s="714"/>
      <c r="BF20" s="714"/>
      <c r="BG20" s="714"/>
      <c r="BH20" s="715"/>
      <c r="BI20" s="722" t="s">
        <v>100</v>
      </c>
      <c r="BJ20" s="722"/>
      <c r="BK20" s="722"/>
      <c r="BL20" s="722"/>
      <c r="BM20" s="723"/>
      <c r="BN20" s="174"/>
      <c r="BO20" s="174"/>
      <c r="BP20" s="174"/>
      <c r="BQ20" s="713">
        <f>ROUND(BQ17/CLV_Limit,2)</f>
        <v>0.97</v>
      </c>
      <c r="BR20" s="714"/>
      <c r="BS20" s="714"/>
      <c r="BT20" s="714"/>
      <c r="BU20" s="715"/>
      <c r="BV20" s="722" t="s">
        <v>100</v>
      </c>
      <c r="BW20" s="722"/>
      <c r="BX20" s="722"/>
      <c r="BY20" s="722"/>
      <c r="BZ20" s="723"/>
      <c r="CA20" s="174"/>
      <c r="CB20" s="177"/>
    </row>
    <row r="21" spans="2:80" ht="9.9499999999999993" customHeight="1">
      <c r="B21" s="1"/>
      <c r="C21" s="174"/>
      <c r="D21" s="716"/>
      <c r="E21" s="717"/>
      <c r="F21" s="717"/>
      <c r="G21" s="717"/>
      <c r="H21" s="718"/>
      <c r="I21" s="724"/>
      <c r="J21" s="724"/>
      <c r="K21" s="724"/>
      <c r="L21" s="724"/>
      <c r="M21" s="725"/>
      <c r="N21" s="174"/>
      <c r="O21" s="174"/>
      <c r="P21" s="174"/>
      <c r="Q21" s="716"/>
      <c r="R21" s="717"/>
      <c r="S21" s="717"/>
      <c r="T21" s="717"/>
      <c r="U21" s="718"/>
      <c r="V21" s="724"/>
      <c r="W21" s="724"/>
      <c r="X21" s="724"/>
      <c r="Y21" s="724"/>
      <c r="Z21" s="725"/>
      <c r="AA21" s="174"/>
      <c r="AB21" s="174"/>
      <c r="AC21" s="174"/>
      <c r="AD21" s="716"/>
      <c r="AE21" s="717"/>
      <c r="AF21" s="717"/>
      <c r="AG21" s="717"/>
      <c r="AH21" s="718"/>
      <c r="AI21" s="724"/>
      <c r="AJ21" s="724"/>
      <c r="AK21" s="724"/>
      <c r="AL21" s="724"/>
      <c r="AM21" s="725"/>
      <c r="AN21" s="174"/>
      <c r="AO21" s="174"/>
      <c r="AP21" s="174"/>
      <c r="AQ21" s="716"/>
      <c r="AR21" s="717"/>
      <c r="AS21" s="717"/>
      <c r="AT21" s="717"/>
      <c r="AU21" s="718"/>
      <c r="AV21" s="724"/>
      <c r="AW21" s="724"/>
      <c r="AX21" s="724"/>
      <c r="AY21" s="724"/>
      <c r="AZ21" s="725"/>
      <c r="BA21" s="174"/>
      <c r="BB21" s="174"/>
      <c r="BC21" s="174"/>
      <c r="BD21" s="716"/>
      <c r="BE21" s="717"/>
      <c r="BF21" s="717"/>
      <c r="BG21" s="717"/>
      <c r="BH21" s="718"/>
      <c r="BI21" s="724"/>
      <c r="BJ21" s="724"/>
      <c r="BK21" s="724"/>
      <c r="BL21" s="724"/>
      <c r="BM21" s="725"/>
      <c r="BN21" s="174"/>
      <c r="BO21" s="174"/>
      <c r="BP21" s="174"/>
      <c r="BQ21" s="716"/>
      <c r="BR21" s="717"/>
      <c r="BS21" s="717"/>
      <c r="BT21" s="717"/>
      <c r="BU21" s="718"/>
      <c r="BV21" s="724"/>
      <c r="BW21" s="724"/>
      <c r="BX21" s="724"/>
      <c r="BY21" s="724"/>
      <c r="BZ21" s="725"/>
      <c r="CA21" s="174"/>
      <c r="CB21" s="177"/>
    </row>
    <row r="22" spans="2:80" ht="9.9499999999999993" customHeight="1" thickBot="1">
      <c r="B22" s="1"/>
      <c r="C22" s="174"/>
      <c r="D22" s="719"/>
      <c r="E22" s="720"/>
      <c r="F22" s="720"/>
      <c r="G22" s="720"/>
      <c r="H22" s="721"/>
      <c r="I22" s="726"/>
      <c r="J22" s="726"/>
      <c r="K22" s="726"/>
      <c r="L22" s="726"/>
      <c r="M22" s="727"/>
      <c r="N22" s="174"/>
      <c r="O22" s="174"/>
      <c r="P22" s="174"/>
      <c r="Q22" s="719"/>
      <c r="R22" s="720"/>
      <c r="S22" s="720"/>
      <c r="T22" s="720"/>
      <c r="U22" s="721"/>
      <c r="V22" s="726"/>
      <c r="W22" s="726"/>
      <c r="X22" s="726"/>
      <c r="Y22" s="726"/>
      <c r="Z22" s="727"/>
      <c r="AA22" s="174"/>
      <c r="AB22" s="174"/>
      <c r="AC22" s="174"/>
      <c r="AD22" s="719"/>
      <c r="AE22" s="720"/>
      <c r="AF22" s="720"/>
      <c r="AG22" s="720"/>
      <c r="AH22" s="721"/>
      <c r="AI22" s="726"/>
      <c r="AJ22" s="726"/>
      <c r="AK22" s="726"/>
      <c r="AL22" s="726"/>
      <c r="AM22" s="727"/>
      <c r="AN22" s="174"/>
      <c r="AO22" s="174"/>
      <c r="AP22" s="174"/>
      <c r="AQ22" s="719"/>
      <c r="AR22" s="720"/>
      <c r="AS22" s="720"/>
      <c r="AT22" s="720"/>
      <c r="AU22" s="721"/>
      <c r="AV22" s="726"/>
      <c r="AW22" s="726"/>
      <c r="AX22" s="726"/>
      <c r="AY22" s="726"/>
      <c r="AZ22" s="727"/>
      <c r="BA22" s="174"/>
      <c r="BB22" s="174"/>
      <c r="BC22" s="174"/>
      <c r="BD22" s="719"/>
      <c r="BE22" s="720"/>
      <c r="BF22" s="720"/>
      <c r="BG22" s="720"/>
      <c r="BH22" s="721"/>
      <c r="BI22" s="726"/>
      <c r="BJ22" s="726"/>
      <c r="BK22" s="726"/>
      <c r="BL22" s="726"/>
      <c r="BM22" s="727"/>
      <c r="BN22" s="174"/>
      <c r="BO22" s="174"/>
      <c r="BP22" s="174"/>
      <c r="BQ22" s="719"/>
      <c r="BR22" s="720"/>
      <c r="BS22" s="720"/>
      <c r="BT22" s="720"/>
      <c r="BU22" s="721"/>
      <c r="BV22" s="726"/>
      <c r="BW22" s="726"/>
      <c r="BX22" s="726"/>
      <c r="BY22" s="726"/>
      <c r="BZ22" s="727"/>
      <c r="CA22" s="174"/>
      <c r="CB22" s="177"/>
    </row>
    <row r="23" spans="2:80"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7"/>
    </row>
    <row r="24" spans="2:80"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7"/>
    </row>
    <row r="25" spans="2:80"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7"/>
    </row>
    <row r="26" spans="2:80"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7"/>
    </row>
    <row r="27" spans="2:80"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705" t="s">
        <v>101</v>
      </c>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705"/>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row>
    <row r="57" spans="2:80" ht="9.9499999999999993" customHeight="1">
      <c r="B57" s="571" t="s">
        <v>166</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869" t="s">
        <v>97</v>
      </c>
      <c r="C59" s="870"/>
      <c r="D59" s="870"/>
      <c r="E59" s="870"/>
      <c r="F59" s="870"/>
      <c r="G59" s="870"/>
      <c r="H59" s="870"/>
      <c r="I59" s="870"/>
      <c r="J59" s="870"/>
      <c r="K59" s="870"/>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0"/>
      <c r="BT59" s="870"/>
      <c r="BU59" s="870"/>
      <c r="BV59" s="870"/>
      <c r="BW59" s="870"/>
      <c r="BX59" s="870"/>
      <c r="BY59" s="870"/>
      <c r="BZ59" s="870"/>
      <c r="CA59" s="870"/>
      <c r="CB59" s="871"/>
    </row>
    <row r="60" spans="2:80" ht="9.9499999999999993" customHeight="1">
      <c r="B60" s="869"/>
      <c r="C60" s="870"/>
      <c r="D60" s="870"/>
      <c r="E60" s="870"/>
      <c r="F60" s="870"/>
      <c r="G60" s="870"/>
      <c r="H60" s="870"/>
      <c r="I60" s="870"/>
      <c r="J60" s="870"/>
      <c r="K60" s="870"/>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1"/>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thickBo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096"/>
      <c r="E67" s="1097"/>
      <c r="F67" s="1098"/>
      <c r="G67" s="75"/>
      <c r="H67" s="76"/>
      <c r="I67" s="175"/>
      <c r="J67" s="175"/>
      <c r="K67" s="175"/>
      <c r="L67" s="175"/>
      <c r="M67" s="175"/>
      <c r="N67" s="175"/>
      <c r="O67" s="175"/>
      <c r="P67" s="175"/>
      <c r="Q67" s="175"/>
      <c r="R67" s="176"/>
      <c r="S67" s="174"/>
      <c r="T67" s="174"/>
      <c r="U67" s="174"/>
      <c r="V67" s="174"/>
      <c r="W67" s="174"/>
      <c r="X67" s="174"/>
      <c r="Y67" s="174"/>
      <c r="Z67" s="174"/>
      <c r="AA67" s="174"/>
      <c r="AB67" s="174"/>
      <c r="AC67" s="174"/>
      <c r="AD67" s="174"/>
      <c r="AE67" s="75"/>
      <c r="AF67" s="76"/>
      <c r="AG67" s="175"/>
      <c r="AH67" s="175"/>
      <c r="AI67" s="175"/>
      <c r="AJ67" s="175"/>
      <c r="AK67" s="175"/>
      <c r="AL67" s="175"/>
      <c r="AM67" s="175"/>
      <c r="AN67" s="175"/>
      <c r="AO67" s="175"/>
      <c r="AP67" s="176"/>
      <c r="AQ67" s="1096"/>
      <c r="AR67" s="1097"/>
      <c r="AS67" s="1097"/>
      <c r="AT67" s="1097"/>
      <c r="AU67" s="1097"/>
      <c r="AV67" s="1098"/>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c r="B68" s="1"/>
      <c r="C68" s="174"/>
      <c r="D68" s="1099"/>
      <c r="E68" s="1068"/>
      <c r="F68" s="1069"/>
      <c r="G68" s="77"/>
      <c r="H68" s="78"/>
      <c r="I68" s="109"/>
      <c r="J68" s="109"/>
      <c r="K68" s="109"/>
      <c r="L68" s="109"/>
      <c r="M68" s="109"/>
      <c r="N68" s="109"/>
      <c r="O68" s="109"/>
      <c r="P68" s="109"/>
      <c r="Q68" s="109"/>
      <c r="R68" s="60"/>
      <c r="S68" s="174"/>
      <c r="T68" s="174"/>
      <c r="U68" s="174"/>
      <c r="V68" s="174"/>
      <c r="W68" s="174"/>
      <c r="X68" s="174"/>
      <c r="Y68" s="174"/>
      <c r="Z68" s="174"/>
      <c r="AA68" s="174"/>
      <c r="AB68" s="174"/>
      <c r="AC68" s="174"/>
      <c r="AD68" s="174"/>
      <c r="AE68" s="77"/>
      <c r="AF68" s="78"/>
      <c r="AG68" s="109"/>
      <c r="AH68" s="109"/>
      <c r="AI68" s="109"/>
      <c r="AJ68" s="109"/>
      <c r="AK68" s="109"/>
      <c r="AL68" s="109"/>
      <c r="AM68" s="109"/>
      <c r="AN68" s="109"/>
      <c r="AO68" s="109"/>
      <c r="AP68" s="60"/>
      <c r="AQ68" s="1099"/>
      <c r="AR68" s="1068"/>
      <c r="AS68" s="1068"/>
      <c r="AT68" s="1068"/>
      <c r="AU68" s="1068"/>
      <c r="AV68" s="1069"/>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thickBot="1">
      <c r="B69" s="1"/>
      <c r="C69" s="174"/>
      <c r="D69" s="1099"/>
      <c r="E69" s="1068"/>
      <c r="F69" s="1069"/>
      <c r="G69" s="77"/>
      <c r="H69" s="78"/>
      <c r="I69" s="109"/>
      <c r="J69" s="109"/>
      <c r="K69" s="109"/>
      <c r="L69" s="109"/>
      <c r="M69" s="109"/>
      <c r="N69" s="109"/>
      <c r="O69" s="109"/>
      <c r="P69" s="109"/>
      <c r="Q69" s="109"/>
      <c r="R69" s="60"/>
      <c r="S69" s="174"/>
      <c r="T69" s="174"/>
      <c r="U69" s="174"/>
      <c r="V69" s="174"/>
      <c r="W69" s="174"/>
      <c r="X69" s="174"/>
      <c r="Y69" s="174"/>
      <c r="Z69" s="174"/>
      <c r="AA69" s="174"/>
      <c r="AB69" s="174"/>
      <c r="AC69" s="174"/>
      <c r="AD69" s="174"/>
      <c r="AE69" s="77"/>
      <c r="AF69" s="78"/>
      <c r="AG69" s="109"/>
      <c r="AH69" s="109"/>
      <c r="AI69" s="109"/>
      <c r="AJ69" s="109"/>
      <c r="AK69" s="109"/>
      <c r="AL69" s="109"/>
      <c r="AM69" s="109"/>
      <c r="AN69" s="109"/>
      <c r="AO69" s="109"/>
      <c r="AP69" s="60"/>
      <c r="AQ69" s="1099"/>
      <c r="AR69" s="1068"/>
      <c r="AS69" s="1068"/>
      <c r="AT69" s="1068"/>
      <c r="AU69" s="1068"/>
      <c r="AV69" s="1069"/>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c r="B70" s="1"/>
      <c r="C70" s="174"/>
      <c r="D70" s="1099"/>
      <c r="E70" s="1068"/>
      <c r="F70" s="1069"/>
      <c r="G70" s="77"/>
      <c r="H70" s="78"/>
      <c r="I70" s="763"/>
      <c r="J70" s="764"/>
      <c r="K70" s="764"/>
      <c r="L70" s="764"/>
      <c r="M70" s="764"/>
      <c r="N70" s="764"/>
      <c r="O70" s="764"/>
      <c r="P70" s="771"/>
      <c r="Q70" s="77"/>
      <c r="R70" s="79"/>
      <c r="S70" s="174"/>
      <c r="T70" s="174"/>
      <c r="U70" s="174"/>
      <c r="V70" s="174"/>
      <c r="W70" s="174"/>
      <c r="X70" s="174"/>
      <c r="Y70" s="174"/>
      <c r="Z70" s="174"/>
      <c r="AA70" s="174"/>
      <c r="AB70" s="174"/>
      <c r="AC70" s="174"/>
      <c r="AD70" s="174"/>
      <c r="AE70" s="77"/>
      <c r="AF70" s="78"/>
      <c r="AG70" s="763"/>
      <c r="AH70" s="764"/>
      <c r="AI70" s="764"/>
      <c r="AJ70" s="764"/>
      <c r="AK70" s="764"/>
      <c r="AL70" s="764"/>
      <c r="AM70" s="764"/>
      <c r="AN70" s="771"/>
      <c r="AO70" s="77"/>
      <c r="AP70" s="79"/>
      <c r="AQ70" s="1099"/>
      <c r="AR70" s="1068"/>
      <c r="AS70" s="1068"/>
      <c r="AT70" s="1068"/>
      <c r="AU70" s="1068"/>
      <c r="AV70" s="1069"/>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c r="B71" s="1"/>
      <c r="C71" s="174"/>
      <c r="D71" s="1045" t="s">
        <v>99</v>
      </c>
      <c r="E71" s="1046"/>
      <c r="F71" s="1047"/>
      <c r="G71" s="58"/>
      <c r="H71" s="109"/>
      <c r="I71" s="766"/>
      <c r="J71" s="767"/>
      <c r="K71" s="767"/>
      <c r="L71" s="767"/>
      <c r="M71" s="767"/>
      <c r="N71" s="767"/>
      <c r="O71" s="767"/>
      <c r="P71" s="772"/>
      <c r="Q71" s="58"/>
      <c r="R71" s="60"/>
      <c r="S71" s="174"/>
      <c r="T71" s="174"/>
      <c r="U71" s="174"/>
      <c r="V71" s="174"/>
      <c r="W71" s="174"/>
      <c r="X71" s="174"/>
      <c r="Y71" s="174"/>
      <c r="Z71" s="174"/>
      <c r="AA71" s="174"/>
      <c r="AB71" s="174"/>
      <c r="AC71" s="174"/>
      <c r="AD71" s="174"/>
      <c r="AE71" s="58"/>
      <c r="AF71" s="109"/>
      <c r="AG71" s="766"/>
      <c r="AH71" s="767"/>
      <c r="AI71" s="767"/>
      <c r="AJ71" s="767"/>
      <c r="AK71" s="767"/>
      <c r="AL71" s="767"/>
      <c r="AM71" s="767"/>
      <c r="AN71" s="772"/>
      <c r="AO71" s="58"/>
      <c r="AP71" s="60"/>
      <c r="AQ71" s="1045" t="s">
        <v>99</v>
      </c>
      <c r="AR71" s="1046"/>
      <c r="AS71" s="1046"/>
      <c r="AT71" s="1046" t="s">
        <v>99</v>
      </c>
      <c r="AU71" s="1046"/>
      <c r="AV71" s="1047"/>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186">
        <f>SBR_Master</f>
        <v>0</v>
      </c>
      <c r="E72" s="1187"/>
      <c r="F72" s="1188"/>
      <c r="G72" s="58"/>
      <c r="H72" s="109"/>
      <c r="I72" s="766"/>
      <c r="J72" s="767"/>
      <c r="K72" s="767"/>
      <c r="L72" s="767"/>
      <c r="M72" s="767"/>
      <c r="N72" s="767"/>
      <c r="O72" s="767"/>
      <c r="P72" s="772"/>
      <c r="Q72" s="58"/>
      <c r="R72" s="60"/>
      <c r="S72" s="174"/>
      <c r="T72" s="174"/>
      <c r="U72" s="174"/>
      <c r="V72" s="174"/>
      <c r="W72" s="174"/>
      <c r="X72" s="174"/>
      <c r="Y72" s="174"/>
      <c r="Z72" s="174"/>
      <c r="AA72" s="174"/>
      <c r="AB72" s="174"/>
      <c r="AC72" s="174"/>
      <c r="AD72" s="174"/>
      <c r="AE72" s="58"/>
      <c r="AF72" s="109"/>
      <c r="AG72" s="766"/>
      <c r="AH72" s="767"/>
      <c r="AI72" s="767"/>
      <c r="AJ72" s="767"/>
      <c r="AK72" s="767"/>
      <c r="AL72" s="767"/>
      <c r="AM72" s="767"/>
      <c r="AN72" s="772"/>
      <c r="AO72" s="58"/>
      <c r="AP72" s="60"/>
      <c r="AQ72" s="1186">
        <f>SBL_Master</f>
        <v>607</v>
      </c>
      <c r="AR72" s="1187"/>
      <c r="AS72" s="1187"/>
      <c r="AT72" s="1187">
        <f>SBU_Master</f>
        <v>0</v>
      </c>
      <c r="AU72" s="1187"/>
      <c r="AV72" s="1188"/>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thickBot="1">
      <c r="B73" s="1"/>
      <c r="C73" s="174"/>
      <c r="D73" s="928">
        <v>1</v>
      </c>
      <c r="E73" s="929"/>
      <c r="F73" s="930"/>
      <c r="G73" s="58"/>
      <c r="H73" s="109"/>
      <c r="I73" s="1833">
        <f>J79/I79+D72/RTAF/D73</f>
        <v>0</v>
      </c>
      <c r="J73" s="1834"/>
      <c r="K73" s="1834"/>
      <c r="L73" s="1834"/>
      <c r="M73" s="1834"/>
      <c r="N73" s="1834"/>
      <c r="O73" s="1834"/>
      <c r="P73" s="1835"/>
      <c r="Q73" s="58"/>
      <c r="R73" s="60"/>
      <c r="S73" s="174"/>
      <c r="T73" s="174"/>
      <c r="U73" s="174"/>
      <c r="V73" s="174"/>
      <c r="W73" s="174"/>
      <c r="X73" s="174"/>
      <c r="Y73" s="174"/>
      <c r="Z73" s="174"/>
      <c r="AA73" s="174"/>
      <c r="AB73" s="174"/>
      <c r="AC73" s="174"/>
      <c r="AD73" s="174"/>
      <c r="AE73" s="58"/>
      <c r="AF73" s="109"/>
      <c r="AG73" s="1833">
        <f>(AQ72/LTAF +AT72/UTAF)/AQ73 +AM79/AN79</f>
        <v>1088.4473684210527</v>
      </c>
      <c r="AH73" s="1834"/>
      <c r="AI73" s="1834"/>
      <c r="AJ73" s="1834"/>
      <c r="AK73" s="1834"/>
      <c r="AL73" s="1834"/>
      <c r="AM73" s="1834"/>
      <c r="AN73" s="1835"/>
      <c r="AO73" s="58"/>
      <c r="AP73" s="60"/>
      <c r="AQ73" s="1034">
        <v>1</v>
      </c>
      <c r="AR73" s="1035"/>
      <c r="AS73" s="1035"/>
      <c r="AT73" s="1035"/>
      <c r="AU73" s="1035"/>
      <c r="AV73" s="1038"/>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58"/>
      <c r="H74" s="109"/>
      <c r="I74" s="1833"/>
      <c r="J74" s="1834"/>
      <c r="K74" s="1834"/>
      <c r="L74" s="1834"/>
      <c r="M74" s="1834"/>
      <c r="N74" s="1834"/>
      <c r="O74" s="1834"/>
      <c r="P74" s="1835"/>
      <c r="Q74" s="58"/>
      <c r="R74" s="60"/>
      <c r="S74" s="174"/>
      <c r="T74" s="174"/>
      <c r="U74" s="174"/>
      <c r="V74" s="174"/>
      <c r="W74" s="174"/>
      <c r="X74" s="174"/>
      <c r="Y74" s="174"/>
      <c r="Z74" s="174"/>
      <c r="AA74" s="174"/>
      <c r="AB74" s="174"/>
      <c r="AC74" s="174"/>
      <c r="AD74" s="174"/>
      <c r="AE74" s="58"/>
      <c r="AF74" s="109"/>
      <c r="AG74" s="1833"/>
      <c r="AH74" s="1834"/>
      <c r="AI74" s="1834"/>
      <c r="AJ74" s="1834"/>
      <c r="AK74" s="1834"/>
      <c r="AL74" s="1834"/>
      <c r="AM74" s="1834"/>
      <c r="AN74" s="1835"/>
      <c r="AO74" s="58"/>
      <c r="AP74" s="60"/>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thickBot="1">
      <c r="B75" s="1"/>
      <c r="C75" s="174"/>
      <c r="D75" s="174"/>
      <c r="E75" s="174"/>
      <c r="F75" s="174"/>
      <c r="G75" s="58"/>
      <c r="H75" s="109"/>
      <c r="I75" s="1836"/>
      <c r="J75" s="1837"/>
      <c r="K75" s="1837"/>
      <c r="L75" s="1837"/>
      <c r="M75" s="1837"/>
      <c r="N75" s="1837"/>
      <c r="O75" s="1837"/>
      <c r="P75" s="1838"/>
      <c r="Q75" s="58"/>
      <c r="R75" s="60"/>
      <c r="S75" s="174"/>
      <c r="T75" s="174"/>
      <c r="U75" s="174"/>
      <c r="V75" s="174"/>
      <c r="W75" s="174"/>
      <c r="X75" s="174"/>
      <c r="Y75" s="174"/>
      <c r="Z75" s="174"/>
      <c r="AA75" s="174"/>
      <c r="AB75" s="174"/>
      <c r="AC75" s="174"/>
      <c r="AD75" s="174"/>
      <c r="AE75" s="58"/>
      <c r="AF75" s="109"/>
      <c r="AG75" s="1836"/>
      <c r="AH75" s="1837"/>
      <c r="AI75" s="1837"/>
      <c r="AJ75" s="1837"/>
      <c r="AK75" s="1837"/>
      <c r="AL75" s="1837"/>
      <c r="AM75" s="1837"/>
      <c r="AN75" s="1838"/>
      <c r="AO75" s="58"/>
      <c r="AP75" s="60"/>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c r="B76" s="1"/>
      <c r="C76" s="174"/>
      <c r="D76" s="174"/>
      <c r="E76" s="174"/>
      <c r="F76" s="174"/>
      <c r="G76" s="58"/>
      <c r="H76" s="109"/>
      <c r="I76" s="109"/>
      <c r="J76" s="109"/>
      <c r="K76" s="109"/>
      <c r="L76" s="109"/>
      <c r="M76" s="109"/>
      <c r="N76" s="109"/>
      <c r="O76" s="109"/>
      <c r="P76" s="109"/>
      <c r="Q76" s="109"/>
      <c r="R76" s="60"/>
      <c r="S76" s="174"/>
      <c r="T76" s="174"/>
      <c r="U76" s="174"/>
      <c r="V76" s="174"/>
      <c r="W76" s="174"/>
      <c r="X76" s="174"/>
      <c r="Y76" s="174"/>
      <c r="Z76" s="174"/>
      <c r="AA76" s="174"/>
      <c r="AB76" s="174"/>
      <c r="AC76" s="174"/>
      <c r="AD76" s="174"/>
      <c r="AE76" s="58"/>
      <c r="AF76" s="109"/>
      <c r="AG76" s="109"/>
      <c r="AH76" s="109"/>
      <c r="AI76" s="109"/>
      <c r="AJ76" s="109"/>
      <c r="AK76" s="109"/>
      <c r="AL76" s="109"/>
      <c r="AM76" s="109"/>
      <c r="AN76" s="109"/>
      <c r="AO76" s="109"/>
      <c r="AP76" s="60"/>
      <c r="AQ76" s="174"/>
      <c r="AR76" s="174"/>
      <c r="AS76" s="174"/>
      <c r="AT76" s="174"/>
      <c r="AU76" s="174"/>
      <c r="AV76" s="174"/>
      <c r="AW76" s="174"/>
      <c r="AX76" s="174"/>
      <c r="AY76" s="174"/>
      <c r="AZ76" s="174"/>
      <c r="BA76" s="174"/>
      <c r="BB76" s="174"/>
      <c r="BC76" s="174"/>
      <c r="BD76" s="174"/>
      <c r="BE76" s="174"/>
      <c r="BF76" s="174"/>
      <c r="BG76" s="174"/>
      <c r="BH76" s="174"/>
      <c r="BI76" s="174"/>
      <c r="BJ76" s="174"/>
      <c r="BK76" s="1090">
        <v>1</v>
      </c>
      <c r="BL76" s="1091">
        <f>WBR_Master</f>
        <v>625</v>
      </c>
      <c r="BM76" s="1072" t="s">
        <v>99</v>
      </c>
      <c r="BN76" s="1134"/>
      <c r="BO76" s="1134"/>
      <c r="BP76" s="1134"/>
      <c r="BQ76" s="1135"/>
      <c r="BR76" s="174"/>
      <c r="BS76" s="174"/>
      <c r="BT76" s="174"/>
      <c r="BU76" s="174"/>
      <c r="BV76" s="174"/>
      <c r="BW76" s="174"/>
      <c r="BX76" s="174"/>
      <c r="BY76" s="174"/>
      <c r="BZ76" s="174"/>
      <c r="CA76" s="174"/>
      <c r="CB76" s="177"/>
    </row>
    <row r="77" spans="2:80" ht="9.9499999999999993" customHeight="1">
      <c r="B77" s="1"/>
      <c r="C77" s="174"/>
      <c r="D77" s="174"/>
      <c r="E77" s="174"/>
      <c r="F77" s="174"/>
      <c r="G77" s="58"/>
      <c r="H77" s="109"/>
      <c r="I77" s="109"/>
      <c r="J77" s="109"/>
      <c r="K77" s="109"/>
      <c r="L77" s="109"/>
      <c r="M77" s="109"/>
      <c r="N77" s="109"/>
      <c r="O77" s="109"/>
      <c r="P77" s="109"/>
      <c r="Q77" s="109"/>
      <c r="R77" s="60"/>
      <c r="S77" s="174"/>
      <c r="T77" s="174"/>
      <c r="U77" s="174"/>
      <c r="V77" s="174"/>
      <c r="W77" s="174"/>
      <c r="X77" s="174"/>
      <c r="Y77" s="174"/>
      <c r="Z77" s="174"/>
      <c r="AA77" s="174"/>
      <c r="AB77" s="174"/>
      <c r="AC77" s="174"/>
      <c r="AD77" s="174"/>
      <c r="AE77" s="58"/>
      <c r="AF77" s="109"/>
      <c r="AG77" s="109"/>
      <c r="AH77" s="109"/>
      <c r="AI77" s="109"/>
      <c r="AJ77" s="109"/>
      <c r="AK77" s="109"/>
      <c r="AL77" s="109"/>
      <c r="AM77" s="109"/>
      <c r="AN77" s="109"/>
      <c r="AO77" s="109"/>
      <c r="AP77" s="60"/>
      <c r="AQ77" s="174"/>
      <c r="AR77" s="174"/>
      <c r="AS77" s="174"/>
      <c r="AT77" s="174"/>
      <c r="AU77" s="174"/>
      <c r="AV77" s="174"/>
      <c r="AW77" s="174"/>
      <c r="AX77" s="174"/>
      <c r="AY77" s="174"/>
      <c r="AZ77" s="174"/>
      <c r="BA77" s="174"/>
      <c r="BB77" s="174"/>
      <c r="BC77" s="174"/>
      <c r="BD77" s="174"/>
      <c r="BE77" s="174"/>
      <c r="BF77" s="174"/>
      <c r="BG77" s="174"/>
      <c r="BH77" s="174"/>
      <c r="BI77" s="174"/>
      <c r="BJ77" s="174"/>
      <c r="BK77" s="1082"/>
      <c r="BL77" s="1083"/>
      <c r="BM77" s="1073"/>
      <c r="BN77" s="1136"/>
      <c r="BO77" s="1136"/>
      <c r="BP77" s="1136"/>
      <c r="BQ77" s="1137"/>
      <c r="BR77" s="174"/>
      <c r="BS77" s="174"/>
      <c r="BT77" s="174"/>
      <c r="BU77" s="174"/>
      <c r="BV77" s="174"/>
      <c r="BW77" s="174"/>
      <c r="BX77" s="174"/>
      <c r="BY77" s="174"/>
      <c r="BZ77" s="174"/>
      <c r="CA77" s="174"/>
      <c r="CB77" s="177"/>
    </row>
    <row r="78" spans="2:80" ht="9.9499999999999993" customHeight="1" thickBot="1">
      <c r="B78" s="1"/>
      <c r="C78" s="174"/>
      <c r="D78" s="174"/>
      <c r="E78" s="174"/>
      <c r="F78" s="174"/>
      <c r="G78" s="61"/>
      <c r="H78" s="110"/>
      <c r="I78" s="110"/>
      <c r="J78" s="110"/>
      <c r="K78" s="110"/>
      <c r="L78" s="110"/>
      <c r="M78" s="110"/>
      <c r="N78" s="110"/>
      <c r="O78" s="110"/>
      <c r="P78" s="110"/>
      <c r="Q78" s="110"/>
      <c r="R78" s="63"/>
      <c r="S78" s="174"/>
      <c r="T78" s="174"/>
      <c r="U78" s="174"/>
      <c r="V78" s="174"/>
      <c r="W78" s="174"/>
      <c r="X78" s="174"/>
      <c r="Y78" s="174"/>
      <c r="Z78" s="174"/>
      <c r="AA78" s="174"/>
      <c r="AB78" s="174"/>
      <c r="AC78" s="174"/>
      <c r="AD78" s="174"/>
      <c r="AE78" s="61"/>
      <c r="AF78" s="110"/>
      <c r="AG78" s="110"/>
      <c r="AH78" s="110"/>
      <c r="AI78" s="110"/>
      <c r="AJ78" s="110"/>
      <c r="AK78" s="110"/>
      <c r="AL78" s="110"/>
      <c r="AM78" s="110"/>
      <c r="AN78" s="110"/>
      <c r="AO78" s="110"/>
      <c r="AP78" s="63"/>
      <c r="AQ78" s="174"/>
      <c r="AR78" s="174"/>
      <c r="AS78" s="174"/>
      <c r="AT78" s="174"/>
      <c r="AU78" s="174"/>
      <c r="AV78" s="174"/>
      <c r="AW78" s="174"/>
      <c r="AX78" s="174"/>
      <c r="AY78" s="174"/>
      <c r="AZ78" s="174"/>
      <c r="BA78" s="174"/>
      <c r="BB78" s="174"/>
      <c r="BC78" s="174"/>
      <c r="BD78" s="174"/>
      <c r="BE78" s="174"/>
      <c r="BF78" s="174"/>
      <c r="BG78" s="174"/>
      <c r="BH78" s="174"/>
      <c r="BI78" s="174"/>
      <c r="BJ78" s="174"/>
      <c r="BK78" s="1082"/>
      <c r="BL78" s="1083"/>
      <c r="BM78" s="1073"/>
      <c r="BN78" s="1136"/>
      <c r="BO78" s="1136"/>
      <c r="BP78" s="1136"/>
      <c r="BQ78" s="1137"/>
      <c r="BR78" s="174"/>
      <c r="BS78" s="174"/>
      <c r="BT78" s="174"/>
      <c r="BU78" s="174"/>
      <c r="BV78" s="174"/>
      <c r="BW78" s="174"/>
      <c r="BX78" s="174"/>
      <c r="BY78" s="174"/>
      <c r="BZ78" s="174"/>
      <c r="CA78" s="174"/>
      <c r="CB78" s="177"/>
    </row>
    <row r="79" spans="2:80" ht="9.9499999999999993" customHeight="1">
      <c r="B79" s="1"/>
      <c r="C79" s="174"/>
      <c r="D79" s="174"/>
      <c r="E79" s="174"/>
      <c r="F79" s="174"/>
      <c r="G79" s="174"/>
      <c r="H79" s="174"/>
      <c r="I79" s="1884">
        <f>BK79</f>
        <v>2</v>
      </c>
      <c r="J79" s="1147">
        <f>BL79+AJ97</f>
        <v>0</v>
      </c>
      <c r="K79" s="1147" t="s">
        <v>99</v>
      </c>
      <c r="L79" s="1134"/>
      <c r="M79" s="1134"/>
      <c r="N79" s="1134"/>
      <c r="O79" s="1135"/>
      <c r="P79" s="174"/>
      <c r="Q79" s="174"/>
      <c r="R79" s="174"/>
      <c r="S79" s="75"/>
      <c r="T79" s="76"/>
      <c r="U79" s="175"/>
      <c r="V79" s="175"/>
      <c r="W79" s="175"/>
      <c r="X79" s="175"/>
      <c r="Y79" s="175"/>
      <c r="Z79" s="175"/>
      <c r="AA79" s="175"/>
      <c r="AB79" s="175"/>
      <c r="AC79" s="175"/>
      <c r="AD79" s="176"/>
      <c r="AE79" s="174"/>
      <c r="AF79" s="174"/>
      <c r="AG79" s="174"/>
      <c r="AH79" s="1138"/>
      <c r="AI79" s="1134"/>
      <c r="AJ79" s="1134"/>
      <c r="AK79" s="1134"/>
      <c r="AL79" s="1158" t="s">
        <v>99</v>
      </c>
      <c r="AM79" s="1161">
        <f>Q88+Q85</f>
        <v>899</v>
      </c>
      <c r="AN79" s="1887">
        <f>R85</f>
        <v>2</v>
      </c>
      <c r="AO79" s="174"/>
      <c r="AP79" s="174"/>
      <c r="AQ79" s="174"/>
      <c r="AR79" s="174"/>
      <c r="AS79" s="174"/>
      <c r="AT79" s="174"/>
      <c r="AU79" s="174"/>
      <c r="AV79" s="174"/>
      <c r="AW79" s="174"/>
      <c r="AX79" s="174"/>
      <c r="AY79" s="75"/>
      <c r="AZ79" s="76"/>
      <c r="BA79" s="175"/>
      <c r="BB79" s="175"/>
      <c r="BC79" s="175"/>
      <c r="BD79" s="175"/>
      <c r="BE79" s="175"/>
      <c r="BF79" s="175"/>
      <c r="BG79" s="175"/>
      <c r="BH79" s="175"/>
      <c r="BI79" s="175"/>
      <c r="BJ79" s="175"/>
      <c r="BK79" s="951">
        <v>2</v>
      </c>
      <c r="BL79" s="1083">
        <f>WBT_Master</f>
        <v>0</v>
      </c>
      <c r="BM79" s="1073" t="s">
        <v>99</v>
      </c>
      <c r="BN79" s="1136"/>
      <c r="BO79" s="1136"/>
      <c r="BP79" s="1136"/>
      <c r="BQ79" s="1137"/>
      <c r="BR79" s="174"/>
      <c r="BS79" s="174"/>
      <c r="BT79" s="174"/>
      <c r="BU79" s="174"/>
      <c r="BV79" s="174"/>
      <c r="BW79" s="174"/>
      <c r="BX79" s="174"/>
      <c r="BY79" s="174"/>
      <c r="BZ79" s="174"/>
      <c r="CA79" s="174"/>
      <c r="CB79" s="177"/>
    </row>
    <row r="80" spans="2:80" ht="9.9499999999999993" customHeight="1">
      <c r="B80" s="1"/>
      <c r="C80" s="174"/>
      <c r="D80" s="174"/>
      <c r="E80" s="174"/>
      <c r="F80" s="174"/>
      <c r="G80" s="174"/>
      <c r="H80" s="174"/>
      <c r="I80" s="1885"/>
      <c r="J80" s="1148"/>
      <c r="K80" s="1148"/>
      <c r="L80" s="1136"/>
      <c r="M80" s="1136"/>
      <c r="N80" s="1136"/>
      <c r="O80" s="1137"/>
      <c r="P80" s="174"/>
      <c r="Q80" s="174"/>
      <c r="R80" s="174"/>
      <c r="S80" s="77"/>
      <c r="T80" s="78"/>
      <c r="U80" s="109"/>
      <c r="V80" s="109"/>
      <c r="W80" s="109"/>
      <c r="X80" s="109"/>
      <c r="Y80" s="109"/>
      <c r="Z80" s="109"/>
      <c r="AA80" s="109"/>
      <c r="AB80" s="109"/>
      <c r="AC80" s="109"/>
      <c r="AD80" s="60"/>
      <c r="AE80" s="174"/>
      <c r="AF80" s="174"/>
      <c r="AG80" s="174"/>
      <c r="AH80" s="1139"/>
      <c r="AI80" s="1136"/>
      <c r="AJ80" s="1136"/>
      <c r="AK80" s="1136"/>
      <c r="AL80" s="1159"/>
      <c r="AM80" s="1162"/>
      <c r="AN80" s="1888"/>
      <c r="AO80" s="174"/>
      <c r="AP80" s="174"/>
      <c r="AQ80" s="174"/>
      <c r="AR80" s="174"/>
      <c r="AS80" s="174"/>
      <c r="AT80" s="174"/>
      <c r="AU80" s="174"/>
      <c r="AV80" s="174"/>
      <c r="AW80" s="174"/>
      <c r="AX80" s="174"/>
      <c r="AY80" s="77"/>
      <c r="AZ80" s="78"/>
      <c r="BA80" s="109"/>
      <c r="BB80" s="109"/>
      <c r="BC80" s="109"/>
      <c r="BD80" s="109"/>
      <c r="BE80" s="109"/>
      <c r="BF80" s="109"/>
      <c r="BG80" s="109"/>
      <c r="BH80" s="109"/>
      <c r="BI80" s="109"/>
      <c r="BJ80" s="109"/>
      <c r="BK80" s="911"/>
      <c r="BL80" s="1083"/>
      <c r="BM80" s="1073"/>
      <c r="BN80" s="1136"/>
      <c r="BO80" s="1136"/>
      <c r="BP80" s="1136"/>
      <c r="BQ80" s="1137"/>
      <c r="BR80" s="174"/>
      <c r="BS80" s="174"/>
      <c r="BT80" s="174"/>
      <c r="BU80" s="174"/>
      <c r="BV80" s="174"/>
      <c r="BW80" s="174"/>
      <c r="BX80" s="174"/>
      <c r="BY80" s="174"/>
      <c r="BZ80" s="174"/>
      <c r="CA80" s="174"/>
      <c r="CB80" s="177"/>
    </row>
    <row r="81" spans="2:80" ht="9.9499999999999993" customHeight="1" thickBot="1">
      <c r="B81" s="1"/>
      <c r="C81" s="174"/>
      <c r="D81" s="174"/>
      <c r="E81" s="174"/>
      <c r="F81" s="174"/>
      <c r="G81" s="174"/>
      <c r="H81" s="174"/>
      <c r="I81" s="1886"/>
      <c r="J81" s="1149"/>
      <c r="K81" s="1149"/>
      <c r="L81" s="1150"/>
      <c r="M81" s="1150"/>
      <c r="N81" s="1150"/>
      <c r="O81" s="1151"/>
      <c r="P81" s="174"/>
      <c r="Q81" s="174"/>
      <c r="R81" s="174"/>
      <c r="S81" s="77"/>
      <c r="T81" s="78"/>
      <c r="U81" s="109"/>
      <c r="V81" s="109"/>
      <c r="W81" s="109"/>
      <c r="X81" s="109"/>
      <c r="Y81" s="109"/>
      <c r="Z81" s="109"/>
      <c r="AA81" s="109"/>
      <c r="AB81" s="109"/>
      <c r="AC81" s="109"/>
      <c r="AD81" s="60"/>
      <c r="AE81" s="174"/>
      <c r="AF81" s="174"/>
      <c r="AG81" s="174"/>
      <c r="AH81" s="1153"/>
      <c r="AI81" s="1150"/>
      <c r="AJ81" s="1150"/>
      <c r="AK81" s="1150"/>
      <c r="AL81" s="1160"/>
      <c r="AM81" s="1163"/>
      <c r="AN81" s="1889"/>
      <c r="AO81" s="174"/>
      <c r="AP81" s="174"/>
      <c r="AQ81" s="174"/>
      <c r="AR81" s="174"/>
      <c r="AS81" s="174"/>
      <c r="AT81" s="174"/>
      <c r="AU81" s="174"/>
      <c r="AV81" s="174"/>
      <c r="AW81" s="174"/>
      <c r="AX81" s="174"/>
      <c r="AY81" s="77"/>
      <c r="AZ81" s="78"/>
      <c r="BA81" s="109"/>
      <c r="BB81" s="109"/>
      <c r="BC81" s="109"/>
      <c r="BD81" s="109"/>
      <c r="BE81" s="109"/>
      <c r="BF81" s="109"/>
      <c r="BG81" s="109"/>
      <c r="BH81" s="109"/>
      <c r="BI81" s="109"/>
      <c r="BJ81" s="109"/>
      <c r="BK81" s="911"/>
      <c r="BL81" s="1083"/>
      <c r="BM81" s="1073"/>
      <c r="BN81" s="1136"/>
      <c r="BO81" s="1136"/>
      <c r="BP81" s="1136"/>
      <c r="BQ81" s="1137"/>
      <c r="BR81" s="174"/>
      <c r="BS81" s="174"/>
      <c r="BT81" s="174"/>
      <c r="BU81" s="174"/>
      <c r="BV81" s="174"/>
      <c r="BW81" s="174"/>
      <c r="BX81" s="174"/>
      <c r="BY81" s="174"/>
      <c r="BZ81" s="174"/>
      <c r="CA81" s="174"/>
      <c r="CB81" s="177"/>
    </row>
    <row r="82" spans="2:80" ht="9.9499999999999993" customHeight="1">
      <c r="B82" s="1"/>
      <c r="C82" s="174"/>
      <c r="D82" s="174"/>
      <c r="E82" s="174"/>
      <c r="F82" s="174"/>
      <c r="G82" s="174"/>
      <c r="H82" s="174"/>
      <c r="I82" s="174"/>
      <c r="J82" s="174"/>
      <c r="K82" s="174"/>
      <c r="L82" s="174"/>
      <c r="M82" s="174"/>
      <c r="N82" s="174"/>
      <c r="O82" s="174"/>
      <c r="P82" s="174"/>
      <c r="Q82" s="174"/>
      <c r="R82" s="174"/>
      <c r="S82" s="77"/>
      <c r="T82" s="78"/>
      <c r="U82" s="763"/>
      <c r="V82" s="764"/>
      <c r="W82" s="764"/>
      <c r="X82" s="764"/>
      <c r="Y82" s="764"/>
      <c r="Z82" s="764"/>
      <c r="AA82" s="764"/>
      <c r="AB82" s="771"/>
      <c r="AC82" s="77"/>
      <c r="AD82" s="79"/>
      <c r="AE82" s="174"/>
      <c r="AF82" s="174"/>
      <c r="AG82" s="174"/>
      <c r="AH82" s="174"/>
      <c r="AI82" s="174"/>
      <c r="AJ82" s="174"/>
      <c r="AK82" s="174"/>
      <c r="AL82" s="174"/>
      <c r="AM82" s="174"/>
      <c r="AN82" s="174"/>
      <c r="AO82" s="174"/>
      <c r="AP82" s="174"/>
      <c r="AQ82" s="174"/>
      <c r="AR82" s="174"/>
      <c r="AS82" s="174"/>
      <c r="AT82" s="174"/>
      <c r="AU82" s="174"/>
      <c r="AV82" s="174"/>
      <c r="AW82" s="174"/>
      <c r="AX82" s="174"/>
      <c r="AY82" s="77"/>
      <c r="AZ82" s="78"/>
      <c r="BA82" s="763"/>
      <c r="BB82" s="764"/>
      <c r="BC82" s="764"/>
      <c r="BD82" s="764"/>
      <c r="BE82" s="764"/>
      <c r="BF82" s="764"/>
      <c r="BG82" s="764"/>
      <c r="BH82" s="771"/>
      <c r="BI82" s="77"/>
      <c r="BJ82" s="78"/>
      <c r="BK82" s="911"/>
      <c r="BL82" s="1083">
        <f>WBL_Master</f>
        <v>588</v>
      </c>
      <c r="BM82" s="1073" t="s">
        <v>99</v>
      </c>
      <c r="BN82" s="1136"/>
      <c r="BO82" s="1136"/>
      <c r="BP82" s="1136"/>
      <c r="BQ82" s="1137"/>
      <c r="BR82" s="174"/>
      <c r="BS82" s="174"/>
      <c r="BT82" s="174"/>
      <c r="BU82" s="174"/>
      <c r="BV82" s="174"/>
      <c r="BW82" s="174"/>
      <c r="BX82" s="174"/>
      <c r="BY82" s="174"/>
      <c r="BZ82" s="174"/>
      <c r="CA82" s="174"/>
      <c r="CB82" s="177"/>
    </row>
    <row r="83" spans="2:80" ht="9.9499999999999993" customHeight="1">
      <c r="B83" s="1"/>
      <c r="C83" s="174"/>
      <c r="D83" s="174"/>
      <c r="E83" s="174"/>
      <c r="F83" s="174"/>
      <c r="G83" s="174"/>
      <c r="H83" s="174"/>
      <c r="I83" s="174"/>
      <c r="J83" s="174"/>
      <c r="K83" s="174"/>
      <c r="L83" s="174"/>
      <c r="M83" s="174"/>
      <c r="N83" s="174"/>
      <c r="O83" s="174"/>
      <c r="P83" s="174"/>
      <c r="Q83" s="174"/>
      <c r="R83" s="174"/>
      <c r="S83" s="58"/>
      <c r="T83" s="109"/>
      <c r="U83" s="766"/>
      <c r="V83" s="767"/>
      <c r="W83" s="767"/>
      <c r="X83" s="767"/>
      <c r="Y83" s="767"/>
      <c r="Z83" s="767"/>
      <c r="AA83" s="767"/>
      <c r="AB83" s="772"/>
      <c r="AC83" s="58"/>
      <c r="AD83" s="60"/>
      <c r="AE83" s="174"/>
      <c r="AF83" s="174"/>
      <c r="AG83" s="174"/>
      <c r="AH83" s="174"/>
      <c r="AI83" s="174"/>
      <c r="AJ83" s="174"/>
      <c r="AK83" s="174"/>
      <c r="AL83" s="174"/>
      <c r="AM83" s="174"/>
      <c r="AN83" s="174"/>
      <c r="AO83" s="174"/>
      <c r="AP83" s="174"/>
      <c r="AQ83" s="174"/>
      <c r="AR83" s="174"/>
      <c r="AS83" s="174"/>
      <c r="AT83" s="174"/>
      <c r="AU83" s="174"/>
      <c r="AV83" s="174"/>
      <c r="AW83" s="174"/>
      <c r="AX83" s="174"/>
      <c r="AY83" s="58"/>
      <c r="AZ83" s="109"/>
      <c r="BA83" s="766"/>
      <c r="BB83" s="767"/>
      <c r="BC83" s="767"/>
      <c r="BD83" s="767"/>
      <c r="BE83" s="767"/>
      <c r="BF83" s="767"/>
      <c r="BG83" s="767"/>
      <c r="BH83" s="772"/>
      <c r="BI83" s="58"/>
      <c r="BJ83" s="109"/>
      <c r="BK83" s="911"/>
      <c r="BL83" s="1083"/>
      <c r="BM83" s="1073"/>
      <c r="BN83" s="1136"/>
      <c r="BO83" s="1136"/>
      <c r="BP83" s="1136"/>
      <c r="BQ83" s="1137"/>
      <c r="BR83" s="174"/>
      <c r="BS83" s="174"/>
      <c r="BT83" s="174"/>
      <c r="BU83" s="174"/>
      <c r="BV83" s="174"/>
      <c r="BW83" s="174"/>
      <c r="BX83" s="174"/>
      <c r="BY83" s="174"/>
      <c r="BZ83" s="174"/>
      <c r="CA83" s="174"/>
      <c r="CB83" s="177"/>
    </row>
    <row r="84" spans="2:80" ht="9.9499999999999993" customHeight="1" thickBot="1">
      <c r="B84" s="1"/>
      <c r="C84" s="174"/>
      <c r="D84" s="174"/>
      <c r="E84" s="174"/>
      <c r="F84" s="174"/>
      <c r="G84" s="174"/>
      <c r="H84" s="174"/>
      <c r="I84" s="174"/>
      <c r="J84" s="174"/>
      <c r="K84" s="174"/>
      <c r="L84" s="174"/>
      <c r="M84" s="174"/>
      <c r="N84" s="174"/>
      <c r="O84" s="174"/>
      <c r="P84" s="174"/>
      <c r="Q84" s="174"/>
      <c r="R84" s="174"/>
      <c r="S84" s="58"/>
      <c r="T84" s="109"/>
      <c r="U84" s="766"/>
      <c r="V84" s="767"/>
      <c r="W84" s="767"/>
      <c r="X84" s="767"/>
      <c r="Y84" s="767"/>
      <c r="Z84" s="767"/>
      <c r="AA84" s="767"/>
      <c r="AB84" s="772"/>
      <c r="AC84" s="58"/>
      <c r="AD84" s="60"/>
      <c r="AE84" s="174"/>
      <c r="AF84" s="174"/>
      <c r="AG84" s="174"/>
      <c r="AH84" s="174"/>
      <c r="AI84" s="174"/>
      <c r="AJ84" s="174"/>
      <c r="AK84" s="174"/>
      <c r="AL84" s="174"/>
      <c r="AM84" s="174"/>
      <c r="AN84" s="174"/>
      <c r="AO84" s="174"/>
      <c r="AP84" s="174"/>
      <c r="AQ84" s="174"/>
      <c r="AR84" s="174"/>
      <c r="AS84" s="174"/>
      <c r="AT84" s="174"/>
      <c r="AU84" s="174"/>
      <c r="AV84" s="174"/>
      <c r="AW84" s="174"/>
      <c r="AX84" s="174"/>
      <c r="AY84" s="58"/>
      <c r="AZ84" s="109"/>
      <c r="BA84" s="766"/>
      <c r="BB84" s="767"/>
      <c r="BC84" s="767"/>
      <c r="BD84" s="767"/>
      <c r="BE84" s="767"/>
      <c r="BF84" s="767"/>
      <c r="BG84" s="767"/>
      <c r="BH84" s="772"/>
      <c r="BI84" s="58"/>
      <c r="BJ84" s="109"/>
      <c r="BK84" s="957"/>
      <c r="BL84" s="1113"/>
      <c r="BM84" s="1092"/>
      <c r="BN84" s="1150"/>
      <c r="BO84" s="1150"/>
      <c r="BP84" s="1150"/>
      <c r="BQ84" s="1151"/>
      <c r="BR84" s="174"/>
      <c r="BS84" s="174"/>
      <c r="BT84" s="174"/>
      <c r="BU84" s="174"/>
      <c r="BV84" s="174"/>
      <c r="BW84" s="174"/>
      <c r="BX84" s="174"/>
      <c r="BY84" s="174"/>
      <c r="BZ84" s="174"/>
      <c r="CA84" s="174"/>
      <c r="CB84" s="177"/>
    </row>
    <row r="85" spans="2:80" ht="9.9499999999999993" customHeight="1">
      <c r="B85" s="1"/>
      <c r="C85" s="174"/>
      <c r="D85" s="174"/>
      <c r="E85" s="174"/>
      <c r="F85" s="174"/>
      <c r="G85" s="174"/>
      <c r="H85" s="174"/>
      <c r="I85" s="174"/>
      <c r="J85" s="174"/>
      <c r="K85" s="174"/>
      <c r="L85" s="1138"/>
      <c r="M85" s="1134"/>
      <c r="N85" s="1134"/>
      <c r="O85" s="1134"/>
      <c r="P85" s="1086" t="s">
        <v>99</v>
      </c>
      <c r="Q85" s="1087">
        <f>EBL_Master</f>
        <v>899</v>
      </c>
      <c r="R85" s="950">
        <v>2</v>
      </c>
      <c r="S85" s="58"/>
      <c r="T85" s="109"/>
      <c r="U85" s="1833">
        <f>((Q85+Q88)/R85 +J79/I79)</f>
        <v>449.5</v>
      </c>
      <c r="V85" s="1834"/>
      <c r="W85" s="1834"/>
      <c r="X85" s="1834"/>
      <c r="Y85" s="1834"/>
      <c r="Z85" s="1834"/>
      <c r="AA85" s="1834"/>
      <c r="AB85" s="1835"/>
      <c r="AC85" s="58"/>
      <c r="AD85" s="60"/>
      <c r="AE85" s="174"/>
      <c r="AF85" s="174"/>
      <c r="AG85" s="174"/>
      <c r="AH85" s="174"/>
      <c r="AI85" s="174"/>
      <c r="AJ85" s="174"/>
      <c r="AK85" s="174"/>
      <c r="AL85" s="174"/>
      <c r="AM85" s="174"/>
      <c r="AN85" s="174"/>
      <c r="AO85" s="174"/>
      <c r="AP85" s="174"/>
      <c r="AQ85" s="174"/>
      <c r="AR85" s="174"/>
      <c r="AS85" s="174"/>
      <c r="AT85" s="174"/>
      <c r="AU85" s="174"/>
      <c r="AV85" s="174"/>
      <c r="AW85" s="174"/>
      <c r="AX85" s="174"/>
      <c r="AY85" s="58"/>
      <c r="AZ85" s="109"/>
      <c r="BA85" s="1833">
        <f>((BL82+BL79)/BK79)+BS88/BT88</f>
        <v>597.5</v>
      </c>
      <c r="BB85" s="1834"/>
      <c r="BC85" s="1834"/>
      <c r="BD85" s="1834"/>
      <c r="BE85" s="1834"/>
      <c r="BF85" s="1834"/>
      <c r="BG85" s="1834"/>
      <c r="BH85" s="1835"/>
      <c r="BI85" s="58"/>
      <c r="BJ85" s="60"/>
      <c r="BK85" s="174"/>
      <c r="BL85" s="174"/>
      <c r="BM85" s="174"/>
      <c r="BN85" s="174"/>
      <c r="BO85" s="174"/>
      <c r="BP85" s="174"/>
      <c r="BQ85" s="174"/>
      <c r="BR85" s="174"/>
      <c r="BS85" s="174"/>
      <c r="BT85" s="174"/>
      <c r="BU85" s="174"/>
      <c r="BV85" s="174"/>
      <c r="BW85" s="174"/>
      <c r="BX85" s="174"/>
      <c r="BY85" s="174"/>
      <c r="BZ85" s="174"/>
      <c r="CA85" s="174"/>
      <c r="CB85" s="177"/>
    </row>
    <row r="86" spans="2:80" ht="9.9499999999999993" customHeight="1">
      <c r="B86" s="1"/>
      <c r="C86" s="174"/>
      <c r="D86" s="174"/>
      <c r="E86" s="174"/>
      <c r="F86" s="174"/>
      <c r="G86" s="174"/>
      <c r="H86" s="174"/>
      <c r="I86" s="174"/>
      <c r="J86" s="174"/>
      <c r="K86" s="174"/>
      <c r="L86" s="1139"/>
      <c r="M86" s="1136"/>
      <c r="N86" s="1136"/>
      <c r="O86" s="1136"/>
      <c r="P86" s="1079"/>
      <c r="Q86" s="1080"/>
      <c r="R86" s="938"/>
      <c r="S86" s="58"/>
      <c r="T86" s="109"/>
      <c r="U86" s="1833"/>
      <c r="V86" s="1834"/>
      <c r="W86" s="1834"/>
      <c r="X86" s="1834"/>
      <c r="Y86" s="1834"/>
      <c r="Z86" s="1834"/>
      <c r="AA86" s="1834"/>
      <c r="AB86" s="1835"/>
      <c r="AC86" s="58"/>
      <c r="AD86" s="60"/>
      <c r="AE86" s="174"/>
      <c r="AF86" s="174"/>
      <c r="AG86" s="174"/>
      <c r="AH86" s="174"/>
      <c r="AI86" s="174"/>
      <c r="AJ86" s="174"/>
      <c r="AK86" s="174"/>
      <c r="AL86" s="174"/>
      <c r="AM86" s="174"/>
      <c r="AN86" s="174"/>
      <c r="AO86" s="174"/>
      <c r="AP86" s="174"/>
      <c r="AQ86" s="174"/>
      <c r="AR86" s="174"/>
      <c r="AS86" s="174"/>
      <c r="AT86" s="174"/>
      <c r="AU86" s="174"/>
      <c r="AV86" s="174"/>
      <c r="AW86" s="174"/>
      <c r="AX86" s="174"/>
      <c r="AY86" s="58"/>
      <c r="AZ86" s="109"/>
      <c r="BA86" s="1833"/>
      <c r="BB86" s="1834"/>
      <c r="BC86" s="1834"/>
      <c r="BD86" s="1834"/>
      <c r="BE86" s="1834"/>
      <c r="BF86" s="1834"/>
      <c r="BG86" s="1834"/>
      <c r="BH86" s="1835"/>
      <c r="BI86" s="58"/>
      <c r="BJ86" s="60"/>
      <c r="BK86" s="174"/>
      <c r="BL86" s="174"/>
      <c r="BM86" s="174"/>
      <c r="BN86" s="174"/>
      <c r="BO86" s="174"/>
      <c r="BP86" s="174"/>
      <c r="BQ86" s="174"/>
      <c r="BR86" s="174"/>
      <c r="BS86" s="174"/>
      <c r="BT86" s="174"/>
      <c r="BU86" s="174"/>
      <c r="BV86" s="174"/>
      <c r="BW86" s="174"/>
      <c r="BX86" s="174"/>
      <c r="BY86" s="174"/>
      <c r="BZ86" s="174"/>
      <c r="CA86" s="174"/>
      <c r="CB86" s="177"/>
    </row>
    <row r="87" spans="2:80" ht="9.9499999999999993" customHeight="1" thickBot="1">
      <c r="B87" s="1"/>
      <c r="C87" s="174"/>
      <c r="D87" s="174"/>
      <c r="E87" s="174"/>
      <c r="F87" s="174"/>
      <c r="G87" s="174"/>
      <c r="H87" s="174"/>
      <c r="I87" s="174"/>
      <c r="J87" s="174"/>
      <c r="K87" s="174"/>
      <c r="L87" s="1139"/>
      <c r="M87" s="1136"/>
      <c r="N87" s="1136"/>
      <c r="O87" s="1136"/>
      <c r="P87" s="1079"/>
      <c r="Q87" s="1080"/>
      <c r="R87" s="938"/>
      <c r="S87" s="58"/>
      <c r="T87" s="109"/>
      <c r="U87" s="1836"/>
      <c r="V87" s="1837"/>
      <c r="W87" s="1837"/>
      <c r="X87" s="1837"/>
      <c r="Y87" s="1837"/>
      <c r="Z87" s="1837"/>
      <c r="AA87" s="1837"/>
      <c r="AB87" s="1838"/>
      <c r="AC87" s="58"/>
      <c r="AD87" s="60"/>
      <c r="AE87" s="174"/>
      <c r="AF87" s="174"/>
      <c r="AG87" s="174"/>
      <c r="AH87" s="174"/>
      <c r="AI87" s="174"/>
      <c r="AJ87" s="174"/>
      <c r="AK87" s="174"/>
      <c r="AL87" s="174"/>
      <c r="AM87" s="174"/>
      <c r="AN87" s="174"/>
      <c r="AO87" s="174"/>
      <c r="AP87" s="174"/>
      <c r="AQ87" s="174"/>
      <c r="AR87" s="174"/>
      <c r="AS87" s="174"/>
      <c r="AT87" s="174"/>
      <c r="AU87" s="174"/>
      <c r="AV87" s="174"/>
      <c r="AW87" s="174"/>
      <c r="AX87" s="174"/>
      <c r="AY87" s="58"/>
      <c r="AZ87" s="109"/>
      <c r="BA87" s="1836"/>
      <c r="BB87" s="1837"/>
      <c r="BC87" s="1837"/>
      <c r="BD87" s="1837"/>
      <c r="BE87" s="1837"/>
      <c r="BF87" s="1837"/>
      <c r="BG87" s="1837"/>
      <c r="BH87" s="1838"/>
      <c r="BI87" s="58"/>
      <c r="BJ87" s="60"/>
      <c r="BK87" s="174"/>
      <c r="BL87" s="174"/>
      <c r="BM87" s="174"/>
      <c r="BN87" s="174"/>
      <c r="BO87" s="174"/>
      <c r="BP87" s="174"/>
      <c r="BQ87" s="174"/>
      <c r="BR87" s="174"/>
      <c r="BS87" s="174"/>
      <c r="BT87" s="174"/>
      <c r="BU87" s="174"/>
      <c r="BV87" s="174"/>
      <c r="BW87" s="174"/>
      <c r="BX87" s="174"/>
      <c r="BY87" s="174"/>
      <c r="BZ87" s="174"/>
      <c r="CA87" s="174"/>
      <c r="CB87" s="177"/>
    </row>
    <row r="88" spans="2:80" ht="9.9499999999999993" customHeight="1">
      <c r="B88" s="1"/>
      <c r="C88" s="174"/>
      <c r="D88" s="174"/>
      <c r="E88" s="174"/>
      <c r="F88" s="174"/>
      <c r="G88" s="174"/>
      <c r="H88" s="174"/>
      <c r="I88" s="174"/>
      <c r="J88" s="174"/>
      <c r="K88" s="174"/>
      <c r="L88" s="1139"/>
      <c r="M88" s="1136"/>
      <c r="N88" s="1136"/>
      <c r="O88" s="1136"/>
      <c r="P88" s="1079" t="s">
        <v>99</v>
      </c>
      <c r="Q88" s="1080">
        <f>EBT_Master</f>
        <v>0</v>
      </c>
      <c r="R88" s="938"/>
      <c r="S88" s="58"/>
      <c r="T88" s="109"/>
      <c r="U88" s="109"/>
      <c r="V88" s="109"/>
      <c r="W88" s="109"/>
      <c r="X88" s="109"/>
      <c r="Y88" s="109"/>
      <c r="Z88" s="109"/>
      <c r="AA88" s="109"/>
      <c r="AB88" s="109"/>
      <c r="AC88" s="109"/>
      <c r="AD88" s="60"/>
      <c r="AE88" s="174"/>
      <c r="AF88" s="174"/>
      <c r="AG88" s="174"/>
      <c r="AH88" s="174"/>
      <c r="AI88" s="174"/>
      <c r="AJ88" s="174"/>
      <c r="AK88" s="174"/>
      <c r="AL88" s="174"/>
      <c r="AM88" s="174"/>
      <c r="AN88" s="174"/>
      <c r="AO88" s="1884">
        <f>BK79</f>
        <v>2</v>
      </c>
      <c r="AP88" s="1147">
        <f>BL79+BL82</f>
        <v>588</v>
      </c>
      <c r="AQ88" s="1147" t="s">
        <v>99</v>
      </c>
      <c r="AR88" s="1134"/>
      <c r="AS88" s="1134"/>
      <c r="AT88" s="1134"/>
      <c r="AU88" s="1135"/>
      <c r="AV88" s="174"/>
      <c r="AW88" s="174"/>
      <c r="AX88" s="174"/>
      <c r="AY88" s="58"/>
      <c r="AZ88" s="109"/>
      <c r="BA88" s="109"/>
      <c r="BB88" s="109"/>
      <c r="BC88" s="109"/>
      <c r="BD88" s="109"/>
      <c r="BE88" s="109"/>
      <c r="BF88" s="109"/>
      <c r="BG88" s="109"/>
      <c r="BH88" s="109"/>
      <c r="BI88" s="109"/>
      <c r="BJ88" s="60"/>
      <c r="BK88" s="174"/>
      <c r="BL88" s="174"/>
      <c r="BM88" s="174"/>
      <c r="BN88" s="1138"/>
      <c r="BO88" s="1134"/>
      <c r="BP88" s="1134"/>
      <c r="BQ88" s="1134"/>
      <c r="BR88" s="1158" t="s">
        <v>99</v>
      </c>
      <c r="BS88" s="1161">
        <f>Q88+AQ72</f>
        <v>607</v>
      </c>
      <c r="BT88" s="1887">
        <f>R85</f>
        <v>2</v>
      </c>
      <c r="BU88" s="174"/>
      <c r="BV88" s="174"/>
      <c r="BW88" s="174"/>
      <c r="BX88" s="174"/>
      <c r="BY88" s="174"/>
      <c r="BZ88" s="174"/>
      <c r="CA88" s="174"/>
      <c r="CB88" s="177"/>
    </row>
    <row r="89" spans="2:80" ht="9.9499999999999993" customHeight="1">
      <c r="B89" s="1"/>
      <c r="C89" s="174"/>
      <c r="D89" s="174"/>
      <c r="E89" s="174"/>
      <c r="F89" s="174"/>
      <c r="G89" s="174"/>
      <c r="H89" s="174"/>
      <c r="I89" s="174"/>
      <c r="J89" s="174"/>
      <c r="K89" s="174"/>
      <c r="L89" s="1139"/>
      <c r="M89" s="1136"/>
      <c r="N89" s="1136"/>
      <c r="O89" s="1136"/>
      <c r="P89" s="1079"/>
      <c r="Q89" s="1080"/>
      <c r="R89" s="938"/>
      <c r="S89" s="58"/>
      <c r="T89" s="109"/>
      <c r="U89" s="109"/>
      <c r="V89" s="109"/>
      <c r="W89" s="109"/>
      <c r="X89" s="109"/>
      <c r="Y89" s="109"/>
      <c r="Z89" s="109"/>
      <c r="AA89" s="109"/>
      <c r="AB89" s="109"/>
      <c r="AC89" s="109"/>
      <c r="AD89" s="60"/>
      <c r="AE89" s="174"/>
      <c r="AF89" s="174"/>
      <c r="AG89" s="174"/>
      <c r="AH89" s="174"/>
      <c r="AI89" s="174"/>
      <c r="AJ89" s="174"/>
      <c r="AK89" s="174"/>
      <c r="AL89" s="174"/>
      <c r="AM89" s="174"/>
      <c r="AN89" s="174"/>
      <c r="AO89" s="1885"/>
      <c r="AP89" s="1148"/>
      <c r="AQ89" s="1148"/>
      <c r="AR89" s="1136"/>
      <c r="AS89" s="1136"/>
      <c r="AT89" s="1136"/>
      <c r="AU89" s="1137"/>
      <c r="AV89" s="174"/>
      <c r="AW89" s="174"/>
      <c r="AX89" s="174"/>
      <c r="AY89" s="58"/>
      <c r="AZ89" s="109"/>
      <c r="BA89" s="109"/>
      <c r="BB89" s="109"/>
      <c r="BC89" s="109"/>
      <c r="BD89" s="109"/>
      <c r="BE89" s="109"/>
      <c r="BF89" s="109"/>
      <c r="BG89" s="109"/>
      <c r="BH89" s="109"/>
      <c r="BI89" s="109"/>
      <c r="BJ89" s="60"/>
      <c r="BK89" s="174"/>
      <c r="BL89" s="174"/>
      <c r="BM89" s="174"/>
      <c r="BN89" s="1139"/>
      <c r="BO89" s="1136"/>
      <c r="BP89" s="1136"/>
      <c r="BQ89" s="1136"/>
      <c r="BR89" s="1159"/>
      <c r="BS89" s="1162"/>
      <c r="BT89" s="1888"/>
      <c r="BU89" s="174"/>
      <c r="BV89" s="174"/>
      <c r="BW89" s="174"/>
      <c r="BX89" s="174"/>
      <c r="BY89" s="174"/>
      <c r="BZ89" s="174"/>
      <c r="CA89" s="174"/>
      <c r="CB89" s="177"/>
    </row>
    <row r="90" spans="2:80" ht="9.9499999999999993" customHeight="1" thickBot="1">
      <c r="B90" s="1"/>
      <c r="C90" s="174"/>
      <c r="D90" s="174"/>
      <c r="E90" s="174"/>
      <c r="F90" s="174"/>
      <c r="G90" s="174"/>
      <c r="H90" s="174"/>
      <c r="I90" s="174"/>
      <c r="J90" s="174"/>
      <c r="K90" s="174"/>
      <c r="L90" s="1139"/>
      <c r="M90" s="1136"/>
      <c r="N90" s="1136"/>
      <c r="O90" s="1136"/>
      <c r="P90" s="1079"/>
      <c r="Q90" s="1080"/>
      <c r="R90" s="938"/>
      <c r="S90" s="61"/>
      <c r="T90" s="110"/>
      <c r="U90" s="110"/>
      <c r="V90" s="110"/>
      <c r="W90" s="110"/>
      <c r="X90" s="110"/>
      <c r="Y90" s="110"/>
      <c r="Z90" s="110"/>
      <c r="AA90" s="110"/>
      <c r="AB90" s="110"/>
      <c r="AC90" s="110"/>
      <c r="AD90" s="63"/>
      <c r="AE90" s="174"/>
      <c r="AF90" s="174"/>
      <c r="AG90" s="174"/>
      <c r="AH90" s="174"/>
      <c r="AI90" s="174"/>
      <c r="AJ90" s="174"/>
      <c r="AK90" s="174"/>
      <c r="AL90" s="174"/>
      <c r="AM90" s="174"/>
      <c r="AN90" s="174"/>
      <c r="AO90" s="1886"/>
      <c r="AP90" s="1149"/>
      <c r="AQ90" s="1149"/>
      <c r="AR90" s="1150"/>
      <c r="AS90" s="1150"/>
      <c r="AT90" s="1150"/>
      <c r="AU90" s="1151"/>
      <c r="AV90" s="174"/>
      <c r="AW90" s="174"/>
      <c r="AX90" s="174"/>
      <c r="AY90" s="61"/>
      <c r="AZ90" s="110"/>
      <c r="BA90" s="110"/>
      <c r="BB90" s="110"/>
      <c r="BC90" s="110"/>
      <c r="BD90" s="110"/>
      <c r="BE90" s="110"/>
      <c r="BF90" s="110"/>
      <c r="BG90" s="110"/>
      <c r="BH90" s="110"/>
      <c r="BI90" s="110"/>
      <c r="BJ90" s="63"/>
      <c r="BK90" s="174"/>
      <c r="BL90" s="174"/>
      <c r="BM90" s="174"/>
      <c r="BN90" s="1153"/>
      <c r="BO90" s="1150"/>
      <c r="BP90" s="1150"/>
      <c r="BQ90" s="1150"/>
      <c r="BR90" s="1160"/>
      <c r="BS90" s="1163"/>
      <c r="BT90" s="1889"/>
      <c r="BU90" s="174"/>
      <c r="BV90" s="174"/>
      <c r="BW90" s="174"/>
      <c r="BX90" s="174"/>
      <c r="BY90" s="174"/>
      <c r="BZ90" s="174"/>
      <c r="CA90" s="174"/>
      <c r="CB90" s="177"/>
    </row>
    <row r="91" spans="2:80" ht="9.9499999999999993" customHeight="1">
      <c r="B91" s="1"/>
      <c r="C91" s="174"/>
      <c r="D91" s="174"/>
      <c r="E91" s="174"/>
      <c r="F91" s="174"/>
      <c r="G91" s="174"/>
      <c r="H91" s="174"/>
      <c r="I91" s="174"/>
      <c r="J91" s="174"/>
      <c r="K91" s="174"/>
      <c r="L91" s="1139"/>
      <c r="M91" s="1136"/>
      <c r="N91" s="1136"/>
      <c r="O91" s="1136"/>
      <c r="P91" s="1079" t="s">
        <v>99</v>
      </c>
      <c r="Q91" s="1080">
        <f>EBR_Master</f>
        <v>208</v>
      </c>
      <c r="R91" s="937">
        <v>1</v>
      </c>
      <c r="S91" s="174"/>
      <c r="T91" s="174"/>
      <c r="U91" s="174"/>
      <c r="V91" s="174"/>
      <c r="W91" s="174"/>
      <c r="X91" s="174"/>
      <c r="Y91" s="174"/>
      <c r="Z91" s="174"/>
      <c r="AA91" s="174"/>
      <c r="AB91" s="174"/>
      <c r="AC91" s="174"/>
      <c r="AD91" s="174"/>
      <c r="AE91" s="174"/>
      <c r="AF91" s="174"/>
      <c r="AG91" s="174"/>
      <c r="AH91" s="174"/>
      <c r="AI91" s="174"/>
      <c r="AJ91" s="174"/>
      <c r="AK91" s="174"/>
      <c r="AL91" s="174"/>
      <c r="AM91" s="75"/>
      <c r="AN91" s="76"/>
      <c r="AO91" s="175"/>
      <c r="AP91" s="175"/>
      <c r="AQ91" s="175"/>
      <c r="AR91" s="175"/>
      <c r="AS91" s="175"/>
      <c r="AT91" s="175"/>
      <c r="AU91" s="175"/>
      <c r="AV91" s="175"/>
      <c r="AW91" s="175"/>
      <c r="AX91" s="176"/>
      <c r="AY91" s="174"/>
      <c r="AZ91" s="174"/>
      <c r="BA91" s="174"/>
      <c r="BB91" s="174"/>
      <c r="BC91" s="174"/>
      <c r="BD91" s="174"/>
      <c r="BE91" s="174"/>
      <c r="BF91" s="174"/>
      <c r="BG91" s="174"/>
      <c r="BH91" s="174"/>
      <c r="BI91" s="174"/>
      <c r="BJ91" s="174"/>
      <c r="BK91" s="75"/>
      <c r="BL91" s="76"/>
      <c r="BM91" s="175"/>
      <c r="BN91" s="175"/>
      <c r="BO91" s="175"/>
      <c r="BP91" s="175"/>
      <c r="BQ91" s="175"/>
      <c r="BR91" s="175"/>
      <c r="BS91" s="175"/>
      <c r="BT91" s="175"/>
      <c r="BU91" s="175"/>
      <c r="BV91" s="176"/>
      <c r="BW91" s="174"/>
      <c r="BX91" s="174"/>
      <c r="BY91" s="174"/>
      <c r="BZ91" s="174"/>
      <c r="CA91" s="174"/>
      <c r="CB91" s="177"/>
    </row>
    <row r="92" spans="2:80" ht="9.9499999999999993" customHeight="1">
      <c r="B92" s="1"/>
      <c r="C92" s="174"/>
      <c r="D92" s="174"/>
      <c r="E92" s="174"/>
      <c r="F92" s="174"/>
      <c r="G92" s="174"/>
      <c r="H92" s="174"/>
      <c r="I92" s="174"/>
      <c r="J92" s="174"/>
      <c r="K92" s="174"/>
      <c r="L92" s="1139"/>
      <c r="M92" s="1136"/>
      <c r="N92" s="1136"/>
      <c r="O92" s="1136"/>
      <c r="P92" s="1079"/>
      <c r="Q92" s="1080"/>
      <c r="R92" s="938"/>
      <c r="S92" s="174"/>
      <c r="T92" s="174"/>
      <c r="U92" s="174"/>
      <c r="V92" s="174"/>
      <c r="W92" s="174"/>
      <c r="X92" s="174"/>
      <c r="Y92" s="174"/>
      <c r="Z92" s="174"/>
      <c r="AA92" s="174"/>
      <c r="AB92" s="174"/>
      <c r="AC92" s="174"/>
      <c r="AD92" s="174"/>
      <c r="AE92" s="174"/>
      <c r="AF92" s="174"/>
      <c r="AG92" s="174"/>
      <c r="AH92" s="174"/>
      <c r="AI92" s="174"/>
      <c r="AJ92" s="174"/>
      <c r="AK92" s="174"/>
      <c r="AL92" s="174"/>
      <c r="AM92" s="77"/>
      <c r="AN92" s="78"/>
      <c r="AO92" s="109"/>
      <c r="AP92" s="109"/>
      <c r="AQ92" s="109"/>
      <c r="AR92" s="109"/>
      <c r="AS92" s="109"/>
      <c r="AT92" s="109"/>
      <c r="AU92" s="109"/>
      <c r="AV92" s="109"/>
      <c r="AW92" s="109"/>
      <c r="AX92" s="60"/>
      <c r="AY92" s="174"/>
      <c r="AZ92" s="174"/>
      <c r="BA92" s="174"/>
      <c r="BB92" s="174"/>
      <c r="BC92" s="174"/>
      <c r="BD92" s="174"/>
      <c r="BE92" s="174"/>
      <c r="BF92" s="174"/>
      <c r="BG92" s="174"/>
      <c r="BH92" s="174"/>
      <c r="BI92" s="174"/>
      <c r="BJ92" s="174"/>
      <c r="BK92" s="77"/>
      <c r="BL92" s="78"/>
      <c r="BM92" s="109"/>
      <c r="BN92" s="109"/>
      <c r="BO92" s="109"/>
      <c r="BP92" s="109"/>
      <c r="BQ92" s="109"/>
      <c r="BR92" s="109"/>
      <c r="BS92" s="109"/>
      <c r="BT92" s="109"/>
      <c r="BU92" s="109"/>
      <c r="BV92" s="60"/>
      <c r="BW92" s="174"/>
      <c r="BX92" s="174"/>
      <c r="BY92" s="174"/>
      <c r="BZ92" s="174"/>
      <c r="CA92" s="174"/>
      <c r="CB92" s="177"/>
    </row>
    <row r="93" spans="2:80" ht="9.9499999999999993" customHeight="1" thickBot="1">
      <c r="B93" s="1"/>
      <c r="C93" s="174"/>
      <c r="D93" s="174"/>
      <c r="E93" s="174"/>
      <c r="F93" s="174"/>
      <c r="G93" s="174"/>
      <c r="H93" s="174"/>
      <c r="I93" s="174"/>
      <c r="J93" s="174"/>
      <c r="K93" s="174"/>
      <c r="L93" s="1153"/>
      <c r="M93" s="1150"/>
      <c r="N93" s="1150"/>
      <c r="O93" s="1150"/>
      <c r="P93" s="1108"/>
      <c r="Q93" s="1109"/>
      <c r="R93" s="965"/>
      <c r="S93" s="174"/>
      <c r="T93" s="174"/>
      <c r="U93" s="174"/>
      <c r="V93" s="174"/>
      <c r="W93" s="174"/>
      <c r="X93" s="174"/>
      <c r="Y93" s="174"/>
      <c r="Z93" s="174"/>
      <c r="AA93" s="174"/>
      <c r="AB93" s="174"/>
      <c r="AC93" s="174"/>
      <c r="AD93" s="174"/>
      <c r="AE93" s="174"/>
      <c r="AF93" s="174"/>
      <c r="AG93" s="174"/>
      <c r="AH93" s="174"/>
      <c r="AI93" s="174"/>
      <c r="AJ93" s="174"/>
      <c r="AK93" s="174"/>
      <c r="AL93" s="174"/>
      <c r="AM93" s="77"/>
      <c r="AN93" s="78"/>
      <c r="AO93" s="109"/>
      <c r="AP93" s="109"/>
      <c r="AQ93" s="109"/>
      <c r="AR93" s="109"/>
      <c r="AS93" s="109"/>
      <c r="AT93" s="109"/>
      <c r="AU93" s="109"/>
      <c r="AV93" s="109"/>
      <c r="AW93" s="109"/>
      <c r="AX93" s="60"/>
      <c r="AY93" s="174"/>
      <c r="AZ93" s="174"/>
      <c r="BA93" s="174"/>
      <c r="BB93" s="174"/>
      <c r="BC93" s="174"/>
      <c r="BD93" s="174"/>
      <c r="BE93" s="174"/>
      <c r="BF93" s="174"/>
      <c r="BG93" s="174"/>
      <c r="BH93" s="174"/>
      <c r="BI93" s="174"/>
      <c r="BJ93" s="174"/>
      <c r="BK93" s="77"/>
      <c r="BL93" s="78"/>
      <c r="BM93" s="109"/>
      <c r="BN93" s="109"/>
      <c r="BO93" s="109"/>
      <c r="BP93" s="109"/>
      <c r="BQ93" s="109"/>
      <c r="BR93" s="109"/>
      <c r="BS93" s="109"/>
      <c r="BT93" s="109"/>
      <c r="BU93" s="109"/>
      <c r="BV93" s="60"/>
      <c r="BW93" s="174"/>
      <c r="BX93" s="174"/>
      <c r="BY93" s="174"/>
      <c r="BZ93" s="174"/>
      <c r="CA93" s="174"/>
      <c r="CB93" s="177"/>
    </row>
    <row r="94" spans="2:80" ht="9.9499999999999993" customHeigh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77"/>
      <c r="AN94" s="78"/>
      <c r="AO94" s="763"/>
      <c r="AP94" s="764"/>
      <c r="AQ94" s="764"/>
      <c r="AR94" s="764"/>
      <c r="AS94" s="764"/>
      <c r="AT94" s="764"/>
      <c r="AU94" s="764"/>
      <c r="AV94" s="771"/>
      <c r="AW94" s="77"/>
      <c r="AX94" s="79"/>
      <c r="AY94" s="174"/>
      <c r="AZ94" s="174"/>
      <c r="BA94" s="174"/>
      <c r="BB94" s="174"/>
      <c r="BC94" s="174"/>
      <c r="BD94" s="174"/>
      <c r="BE94" s="174"/>
      <c r="BF94" s="174"/>
      <c r="BG94" s="174"/>
      <c r="BH94" s="174"/>
      <c r="BI94" s="174"/>
      <c r="BJ94" s="174"/>
      <c r="BK94" s="77"/>
      <c r="BL94" s="78"/>
      <c r="BM94" s="763"/>
      <c r="BN94" s="764"/>
      <c r="BO94" s="764"/>
      <c r="BP94" s="764"/>
      <c r="BQ94" s="764"/>
      <c r="BR94" s="764"/>
      <c r="BS94" s="764"/>
      <c r="BT94" s="771"/>
      <c r="BU94" s="77"/>
      <c r="BV94" s="79"/>
      <c r="BW94" s="174"/>
      <c r="BX94" s="174"/>
      <c r="BY94" s="174"/>
      <c r="BZ94" s="174"/>
      <c r="CA94" s="174"/>
      <c r="CB94" s="177"/>
    </row>
    <row r="95" spans="2:80" ht="9.9499999999999993" customHeight="1" thickBo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58"/>
      <c r="AN95" s="109"/>
      <c r="AO95" s="766"/>
      <c r="AP95" s="767"/>
      <c r="AQ95" s="767"/>
      <c r="AR95" s="767"/>
      <c r="AS95" s="767"/>
      <c r="AT95" s="767"/>
      <c r="AU95" s="767"/>
      <c r="AV95" s="772"/>
      <c r="AW95" s="58"/>
      <c r="AX95" s="60"/>
      <c r="AY95" s="174"/>
      <c r="AZ95" s="174"/>
      <c r="BA95" s="174"/>
      <c r="BB95" s="174"/>
      <c r="BC95" s="174"/>
      <c r="BD95" s="174"/>
      <c r="BE95" s="174"/>
      <c r="BF95" s="174"/>
      <c r="BG95" s="174"/>
      <c r="BH95" s="174"/>
      <c r="BI95" s="174"/>
      <c r="BJ95" s="174"/>
      <c r="BK95" s="58"/>
      <c r="BL95" s="109"/>
      <c r="BM95" s="766"/>
      <c r="BN95" s="767"/>
      <c r="BO95" s="767"/>
      <c r="BP95" s="767"/>
      <c r="BQ95" s="767"/>
      <c r="BR95" s="767"/>
      <c r="BS95" s="767"/>
      <c r="BT95" s="772"/>
      <c r="BU95" s="58"/>
      <c r="BV95" s="60"/>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968">
        <v>1</v>
      </c>
      <c r="AH96" s="969"/>
      <c r="AI96" s="969"/>
      <c r="AJ96" s="969"/>
      <c r="AK96" s="969"/>
      <c r="AL96" s="972"/>
      <c r="AM96" s="58"/>
      <c r="AN96" s="109"/>
      <c r="AO96" s="766"/>
      <c r="AP96" s="767"/>
      <c r="AQ96" s="767"/>
      <c r="AR96" s="767"/>
      <c r="AS96" s="767"/>
      <c r="AT96" s="767"/>
      <c r="AU96" s="767"/>
      <c r="AV96" s="772"/>
      <c r="AW96" s="58"/>
      <c r="AX96" s="60"/>
      <c r="AY96" s="174"/>
      <c r="AZ96" s="174"/>
      <c r="BA96" s="174"/>
      <c r="BB96" s="174"/>
      <c r="BC96" s="174"/>
      <c r="BD96" s="174"/>
      <c r="BE96" s="174"/>
      <c r="BF96" s="174"/>
      <c r="BG96" s="174"/>
      <c r="BH96" s="174"/>
      <c r="BI96" s="174"/>
      <c r="BJ96" s="174"/>
      <c r="BK96" s="58"/>
      <c r="BL96" s="109"/>
      <c r="BM96" s="766"/>
      <c r="BN96" s="767"/>
      <c r="BO96" s="767"/>
      <c r="BP96" s="767"/>
      <c r="BQ96" s="767"/>
      <c r="BR96" s="767"/>
      <c r="BS96" s="767"/>
      <c r="BT96" s="772"/>
      <c r="BU96" s="58"/>
      <c r="BV96" s="60"/>
      <c r="BW96" s="1039">
        <v>1</v>
      </c>
      <c r="BX96" s="1040"/>
      <c r="BY96" s="1041"/>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122">
        <f>NBU_Master</f>
        <v>0</v>
      </c>
      <c r="AH97" s="1123"/>
      <c r="AI97" s="1123"/>
      <c r="AJ97" s="1123">
        <f>NBL_Master</f>
        <v>0</v>
      </c>
      <c r="AK97" s="1123"/>
      <c r="AL97" s="1124"/>
      <c r="AM97" s="58"/>
      <c r="AN97" s="109"/>
      <c r="AO97" s="1833">
        <f>(AJ97/LTAF +AG97/UTAF)/AG96 +AP88/AO88</f>
        <v>294</v>
      </c>
      <c r="AP97" s="1834"/>
      <c r="AQ97" s="1834"/>
      <c r="AR97" s="1834"/>
      <c r="AS97" s="1834"/>
      <c r="AT97" s="1834"/>
      <c r="AU97" s="1834"/>
      <c r="AV97" s="1835"/>
      <c r="AW97" s="58"/>
      <c r="AX97" s="60"/>
      <c r="AY97" s="174"/>
      <c r="AZ97" s="174"/>
      <c r="BA97" s="174"/>
      <c r="BB97" s="174"/>
      <c r="BC97" s="174"/>
      <c r="BD97" s="174"/>
      <c r="BE97" s="174"/>
      <c r="BF97" s="174"/>
      <c r="BG97" s="174"/>
      <c r="BH97" s="174"/>
      <c r="BI97" s="174"/>
      <c r="BJ97" s="174"/>
      <c r="BK97" s="58"/>
      <c r="BL97" s="109"/>
      <c r="BM97" s="1833">
        <f>(BW97/RTAF/BW96 +BS88/BT88)</f>
        <v>1550.5588235294117</v>
      </c>
      <c r="BN97" s="1834"/>
      <c r="BO97" s="1834"/>
      <c r="BP97" s="1834"/>
      <c r="BQ97" s="1834"/>
      <c r="BR97" s="1834"/>
      <c r="BS97" s="1834"/>
      <c r="BT97" s="1835"/>
      <c r="BU97" s="58"/>
      <c r="BV97" s="60"/>
      <c r="BW97" s="1122">
        <f>NBR_Master</f>
        <v>1060</v>
      </c>
      <c r="BX97" s="1123"/>
      <c r="BY97" s="112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045" t="s">
        <v>99</v>
      </c>
      <c r="AH98" s="1046"/>
      <c r="AI98" s="1046"/>
      <c r="AJ98" s="1046" t="s">
        <v>99</v>
      </c>
      <c r="AK98" s="1046"/>
      <c r="AL98" s="1047"/>
      <c r="AM98" s="58"/>
      <c r="AN98" s="109"/>
      <c r="AO98" s="1833"/>
      <c r="AP98" s="1834"/>
      <c r="AQ98" s="1834"/>
      <c r="AR98" s="1834"/>
      <c r="AS98" s="1834"/>
      <c r="AT98" s="1834"/>
      <c r="AU98" s="1834"/>
      <c r="AV98" s="1835"/>
      <c r="AW98" s="58"/>
      <c r="AX98" s="60"/>
      <c r="AY98" s="174"/>
      <c r="AZ98" s="174"/>
      <c r="BA98" s="174"/>
      <c r="BB98" s="174"/>
      <c r="BC98" s="174"/>
      <c r="BD98" s="174"/>
      <c r="BE98" s="174"/>
      <c r="BF98" s="174"/>
      <c r="BG98" s="174"/>
      <c r="BH98" s="174"/>
      <c r="BI98" s="174"/>
      <c r="BJ98" s="174"/>
      <c r="BK98" s="58"/>
      <c r="BL98" s="109"/>
      <c r="BM98" s="1833"/>
      <c r="BN98" s="1834"/>
      <c r="BO98" s="1834"/>
      <c r="BP98" s="1834"/>
      <c r="BQ98" s="1834"/>
      <c r="BR98" s="1834"/>
      <c r="BS98" s="1834"/>
      <c r="BT98" s="1835"/>
      <c r="BU98" s="58"/>
      <c r="BV98" s="60"/>
      <c r="BW98" s="1045" t="s">
        <v>99</v>
      </c>
      <c r="BX98" s="1046"/>
      <c r="BY98" s="1047"/>
      <c r="BZ98" s="174"/>
      <c r="CA98" s="174"/>
      <c r="CB98" s="177"/>
    </row>
    <row r="99" spans="2:80" ht="9.9499999999999993" customHeight="1" thickBo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766"/>
      <c r="AH99" s="767"/>
      <c r="AI99" s="768"/>
      <c r="AJ99" s="770"/>
      <c r="AK99" s="767"/>
      <c r="AL99" s="772"/>
      <c r="AM99" s="58"/>
      <c r="AN99" s="109"/>
      <c r="AO99" s="1836"/>
      <c r="AP99" s="1837"/>
      <c r="AQ99" s="1837"/>
      <c r="AR99" s="1837"/>
      <c r="AS99" s="1837"/>
      <c r="AT99" s="1837"/>
      <c r="AU99" s="1837"/>
      <c r="AV99" s="1838"/>
      <c r="AW99" s="58"/>
      <c r="AX99" s="60"/>
      <c r="AY99" s="174"/>
      <c r="AZ99" s="174"/>
      <c r="BA99" s="174"/>
      <c r="BB99" s="174"/>
      <c r="BC99" s="174"/>
      <c r="BD99" s="174"/>
      <c r="BE99" s="174"/>
      <c r="BF99" s="174"/>
      <c r="BG99" s="174"/>
      <c r="BH99" s="174"/>
      <c r="BI99" s="174"/>
      <c r="BJ99" s="174"/>
      <c r="BK99" s="58"/>
      <c r="BL99" s="109"/>
      <c r="BM99" s="1836"/>
      <c r="BN99" s="1837"/>
      <c r="BO99" s="1837"/>
      <c r="BP99" s="1837"/>
      <c r="BQ99" s="1837"/>
      <c r="BR99" s="1837"/>
      <c r="BS99" s="1837"/>
      <c r="BT99" s="1838"/>
      <c r="BU99" s="58"/>
      <c r="BV99" s="60"/>
      <c r="BW99" s="766"/>
      <c r="BX99" s="767"/>
      <c r="BY99" s="772"/>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766"/>
      <c r="AH100" s="767"/>
      <c r="AI100" s="768"/>
      <c r="AJ100" s="770"/>
      <c r="AK100" s="767"/>
      <c r="AL100" s="772"/>
      <c r="AM100" s="58"/>
      <c r="AN100" s="109"/>
      <c r="AO100" s="109"/>
      <c r="AP100" s="109"/>
      <c r="AQ100" s="109"/>
      <c r="AR100" s="109"/>
      <c r="AS100" s="109"/>
      <c r="AT100" s="109"/>
      <c r="AU100" s="109"/>
      <c r="AV100" s="109"/>
      <c r="AW100" s="109"/>
      <c r="AX100" s="60"/>
      <c r="AY100" s="174"/>
      <c r="AZ100" s="174"/>
      <c r="BA100" s="174"/>
      <c r="BB100" s="174"/>
      <c r="BC100" s="174"/>
      <c r="BD100" s="174"/>
      <c r="BE100" s="174"/>
      <c r="BF100" s="174"/>
      <c r="BG100" s="174"/>
      <c r="BH100" s="174"/>
      <c r="BI100" s="174"/>
      <c r="BJ100" s="174"/>
      <c r="BK100" s="58"/>
      <c r="BL100" s="109"/>
      <c r="BM100" s="109"/>
      <c r="BN100" s="109"/>
      <c r="BO100" s="109"/>
      <c r="BP100" s="109"/>
      <c r="BQ100" s="109"/>
      <c r="BR100" s="109"/>
      <c r="BS100" s="109"/>
      <c r="BT100" s="109"/>
      <c r="BU100" s="109"/>
      <c r="BV100" s="60"/>
      <c r="BW100" s="766"/>
      <c r="BX100" s="767"/>
      <c r="BY100" s="772"/>
      <c r="BZ100" s="174"/>
      <c r="CA100" s="174"/>
      <c r="CB100" s="177"/>
    </row>
    <row r="101" spans="2:80" ht="9.9499999999999993" customHeigh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766"/>
      <c r="AH101" s="767"/>
      <c r="AI101" s="768"/>
      <c r="AJ101" s="770"/>
      <c r="AK101" s="767"/>
      <c r="AL101" s="772"/>
      <c r="AM101" s="58"/>
      <c r="AN101" s="109"/>
      <c r="AO101" s="109"/>
      <c r="AP101" s="109"/>
      <c r="AQ101" s="109"/>
      <c r="AR101" s="109"/>
      <c r="AS101" s="109"/>
      <c r="AT101" s="109"/>
      <c r="AU101" s="109"/>
      <c r="AV101" s="109"/>
      <c r="AW101" s="109"/>
      <c r="AX101" s="60"/>
      <c r="AY101" s="174"/>
      <c r="AZ101" s="174"/>
      <c r="BA101" s="174"/>
      <c r="BB101" s="174"/>
      <c r="BC101" s="174"/>
      <c r="BD101" s="174"/>
      <c r="BE101" s="174"/>
      <c r="BF101" s="174"/>
      <c r="BG101" s="174"/>
      <c r="BH101" s="174"/>
      <c r="BI101" s="174"/>
      <c r="BJ101" s="174"/>
      <c r="BK101" s="58"/>
      <c r="BL101" s="109"/>
      <c r="BM101" s="109"/>
      <c r="BN101" s="109"/>
      <c r="BO101" s="109"/>
      <c r="BP101" s="109"/>
      <c r="BQ101" s="109"/>
      <c r="BR101" s="109"/>
      <c r="BS101" s="109"/>
      <c r="BT101" s="109"/>
      <c r="BU101" s="109"/>
      <c r="BV101" s="60"/>
      <c r="BW101" s="766"/>
      <c r="BX101" s="767"/>
      <c r="BY101" s="772"/>
      <c r="BZ101" s="174"/>
      <c r="CA101" s="174"/>
      <c r="CB101" s="177"/>
    </row>
    <row r="102" spans="2:80" ht="9.9499999999999993" customHeight="1" thickBo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849"/>
      <c r="AH102" s="705"/>
      <c r="AI102" s="850"/>
      <c r="AJ102" s="851"/>
      <c r="AK102" s="705"/>
      <c r="AL102" s="852"/>
      <c r="AM102" s="61"/>
      <c r="AN102" s="110"/>
      <c r="AO102" s="110"/>
      <c r="AP102" s="110"/>
      <c r="AQ102" s="110"/>
      <c r="AR102" s="110"/>
      <c r="AS102" s="110"/>
      <c r="AT102" s="110"/>
      <c r="AU102" s="110"/>
      <c r="AV102" s="110"/>
      <c r="AW102" s="110"/>
      <c r="AX102" s="63"/>
      <c r="AY102" s="174"/>
      <c r="AZ102" s="174"/>
      <c r="BA102" s="174"/>
      <c r="BB102" s="174"/>
      <c r="BC102" s="174"/>
      <c r="BD102" s="174"/>
      <c r="BE102" s="174"/>
      <c r="BF102" s="174"/>
      <c r="BG102" s="174"/>
      <c r="BH102" s="174"/>
      <c r="BI102" s="174"/>
      <c r="BJ102" s="174"/>
      <c r="BK102" s="61"/>
      <c r="BL102" s="110"/>
      <c r="BM102" s="110"/>
      <c r="BN102" s="110"/>
      <c r="BO102" s="110"/>
      <c r="BP102" s="110"/>
      <c r="BQ102" s="110"/>
      <c r="BR102" s="110"/>
      <c r="BS102" s="110"/>
      <c r="BT102" s="110"/>
      <c r="BU102" s="110"/>
      <c r="BV102" s="63"/>
      <c r="BW102" s="849"/>
      <c r="BX102" s="705"/>
      <c r="BY102" s="852"/>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110">
    <mergeCell ref="AO97:AV99"/>
    <mergeCell ref="BM97:BT99"/>
    <mergeCell ref="L91:O93"/>
    <mergeCell ref="P91:P93"/>
    <mergeCell ref="Q91:Q93"/>
    <mergeCell ref="AG99:AI102"/>
    <mergeCell ref="AJ99:AL102"/>
    <mergeCell ref="BW99:BY102"/>
    <mergeCell ref="AG96:AL96"/>
    <mergeCell ref="BW96:BY96"/>
    <mergeCell ref="AG97:AI97"/>
    <mergeCell ref="AJ97:AL97"/>
    <mergeCell ref="BW97:BY97"/>
    <mergeCell ref="AG98:AI98"/>
    <mergeCell ref="AJ98:AL98"/>
    <mergeCell ref="BW98:BY98"/>
    <mergeCell ref="R91:R93"/>
    <mergeCell ref="BS88:BS90"/>
    <mergeCell ref="BT88:BT90"/>
    <mergeCell ref="U82:AB84"/>
    <mergeCell ref="L85:O87"/>
    <mergeCell ref="P85:P87"/>
    <mergeCell ref="Q85:Q87"/>
    <mergeCell ref="U85:AB87"/>
    <mergeCell ref="AO94:AV96"/>
    <mergeCell ref="BM94:BT96"/>
    <mergeCell ref="AO88:AO90"/>
    <mergeCell ref="AP88:AP90"/>
    <mergeCell ref="AQ88:AQ90"/>
    <mergeCell ref="AR88:AU90"/>
    <mergeCell ref="BN88:BQ90"/>
    <mergeCell ref="BR88:BR90"/>
    <mergeCell ref="L88:O90"/>
    <mergeCell ref="P88:P90"/>
    <mergeCell ref="Q88:Q90"/>
    <mergeCell ref="BM82:BM84"/>
    <mergeCell ref="BN82:BQ84"/>
    <mergeCell ref="BA85:BH87"/>
    <mergeCell ref="R85:R90"/>
    <mergeCell ref="AQ20:AU22"/>
    <mergeCell ref="AV20:AZ22"/>
    <mergeCell ref="BD20:BH22"/>
    <mergeCell ref="BK76:BK78"/>
    <mergeCell ref="I79:I81"/>
    <mergeCell ref="J79:J81"/>
    <mergeCell ref="K79:K81"/>
    <mergeCell ref="L79:O81"/>
    <mergeCell ref="AH79:AK81"/>
    <mergeCell ref="AL79:AL81"/>
    <mergeCell ref="AG73:AN75"/>
    <mergeCell ref="AM79:AM81"/>
    <mergeCell ref="AN79:AN81"/>
    <mergeCell ref="BL76:BL78"/>
    <mergeCell ref="BM76:BM78"/>
    <mergeCell ref="BN76:BQ78"/>
    <mergeCell ref="AG70:AN72"/>
    <mergeCell ref="BK79:BK84"/>
    <mergeCell ref="BL79:BL81"/>
    <mergeCell ref="BM79:BM81"/>
    <mergeCell ref="BN79:BQ81"/>
    <mergeCell ref="BA82:BH84"/>
    <mergeCell ref="BL82:BL84"/>
    <mergeCell ref="AD17:AM19"/>
    <mergeCell ref="AQ17:AZ19"/>
    <mergeCell ref="BD17:BM19"/>
    <mergeCell ref="BQ17:BZ19"/>
    <mergeCell ref="BD6:CA7"/>
    <mergeCell ref="BV8:CA9"/>
    <mergeCell ref="BD10:BO13"/>
    <mergeCell ref="BP10:CA13"/>
    <mergeCell ref="D73:F73"/>
    <mergeCell ref="AQ73:AV73"/>
    <mergeCell ref="B57:CB58"/>
    <mergeCell ref="B59:CB60"/>
    <mergeCell ref="D67:F70"/>
    <mergeCell ref="AQ67:AS70"/>
    <mergeCell ref="AT67:AV70"/>
    <mergeCell ref="D71:F71"/>
    <mergeCell ref="AQ71:AS71"/>
    <mergeCell ref="AT71:AV71"/>
    <mergeCell ref="I70:P72"/>
    <mergeCell ref="I73:P75"/>
    <mergeCell ref="W55:BF55"/>
    <mergeCell ref="BI20:BM22"/>
    <mergeCell ref="BQ20:BU22"/>
    <mergeCell ref="BV20:BZ22"/>
    <mergeCell ref="B1:CB2"/>
    <mergeCell ref="B3:CB4"/>
    <mergeCell ref="C6:J7"/>
    <mergeCell ref="K6:BC7"/>
    <mergeCell ref="D17:M19"/>
    <mergeCell ref="Q17:Z19"/>
    <mergeCell ref="D72:F72"/>
    <mergeCell ref="AQ72:AS72"/>
    <mergeCell ref="AT72:AV72"/>
    <mergeCell ref="C8:J9"/>
    <mergeCell ref="K8:BC9"/>
    <mergeCell ref="C10:J11"/>
    <mergeCell ref="K10:BC11"/>
    <mergeCell ref="C12:J13"/>
    <mergeCell ref="K12:BC13"/>
    <mergeCell ref="BD8:BI9"/>
    <mergeCell ref="BJ8:BO9"/>
    <mergeCell ref="BP8:BU9"/>
    <mergeCell ref="D20:H22"/>
    <mergeCell ref="I20:M22"/>
    <mergeCell ref="Q20:U22"/>
    <mergeCell ref="V20:Z22"/>
    <mergeCell ref="AD20:AH22"/>
    <mergeCell ref="AI20:AM22"/>
  </mergeCells>
  <conditionalFormatting sqref="D17 Q17 AD17 AQ17 BD17 BQ17 I73 AG73 U85 BA85 AO97 BM97">
    <cfRule type="cellIs" dxfId="17" priority="47" operator="between">
      <formula>0.75*CLV_Limit</formula>
      <formula>0.875*CLV_Limit-1</formula>
    </cfRule>
    <cfRule type="cellIs" dxfId="16" priority="48" operator="between">
      <formula>0.875*CLV_Limit</formula>
      <formula>CLV_Limit-1</formula>
    </cfRule>
    <cfRule type="cellIs" dxfId="15" priority="49" operator="greaterThanOrEqual">
      <formula>CLV_Limit</formula>
    </cfRule>
  </conditionalFormatting>
  <conditionalFormatting sqref="BP10 D20 Q20 AD20 AQ20 BD20 BQ20">
    <cfRule type="cellIs" dxfId="14" priority="37" operator="between">
      <formula>0.75</formula>
      <formula>0.875</formula>
    </cfRule>
    <cfRule type="cellIs" dxfId="13" priority="38" operator="between">
      <formula>0.875</formula>
      <formula>1</formula>
    </cfRule>
    <cfRule type="cellIs" dxfId="12" priority="39" operator="greaterThan">
      <formula>1</formula>
    </cfRule>
  </conditionalFormatting>
  <pageMargins left="0.2" right="0.2" top="0.5" bottom="0.5" header="0.3" footer="0.3"/>
  <pageSetup orientation="landscape" r:id="rId1"/>
  <headerFooter>
    <oddFooter>&amp;CCapacity Analysis for Planning of Junctions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theme="1" tint="0.34998626667073579"/>
  </sheetPr>
  <dimension ref="A1:HL157"/>
  <sheetViews>
    <sheetView showGridLines="0" showRowColHeaders="0" zoomScale="90" zoomScaleNormal="90" zoomScalePageLayoutView="85" workbookViewId="0">
      <selection activeCell="CU35" sqref="CU35:CU37"/>
    </sheetView>
  </sheetViews>
  <sheetFormatPr defaultColWidth="0" defaultRowHeight="12.75" customHeight="1" zeroHeight="1"/>
  <cols>
    <col min="1" max="1" width="0.5703125" customWidth="1"/>
    <col min="2" max="61" width="1.7109375" customWidth="1"/>
    <col min="62" max="62" width="0.5703125" style="101" customWidth="1"/>
    <col min="63" max="63" width="0.5703125" customWidth="1"/>
    <col min="64" max="123" width="1.7109375" customWidth="1"/>
    <col min="124" max="124" width="0.42578125" customWidth="1"/>
    <col min="125" max="220" width="1.7109375" hidden="1" customWidth="1"/>
    <col min="221" max="16384" width="9.140625" hidden="1"/>
  </cols>
  <sheetData>
    <row r="1" spans="2:123" ht="9.9499999999999993" customHeight="1">
      <c r="B1" s="571" t="s">
        <v>167</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64"/>
      <c r="BK1" s="174"/>
      <c r="BL1" s="571" t="s">
        <v>167</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6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65"/>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65"/>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MAX(ROUND(AR26/CLV_Limit,2),ROUND(AR40/CLV_Limit,2),ROUND(AR54/CLV_Limit,2))</f>
        <v>1</v>
      </c>
      <c r="AX10" s="706"/>
      <c r="AY10" s="706"/>
      <c r="AZ10" s="706"/>
      <c r="BA10" s="706"/>
      <c r="BB10" s="706"/>
      <c r="BC10" s="706"/>
      <c r="BD10" s="706"/>
      <c r="BE10" s="706"/>
      <c r="BF10" s="706"/>
      <c r="BG10" s="706"/>
      <c r="BH10" s="707"/>
      <c r="BI10" s="177"/>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K13" s="174"/>
      <c r="BL13" s="1"/>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45"/>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K14" s="174"/>
      <c r="BL14" s="1"/>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910">
        <v>1</v>
      </c>
      <c r="CX14" s="940">
        <f>WBR_Master</f>
        <v>625</v>
      </c>
      <c r="CY14" s="943" t="s">
        <v>99</v>
      </c>
      <c r="CZ14" s="789"/>
      <c r="DA14" s="789"/>
      <c r="DB14" s="789"/>
      <c r="DC14" s="812"/>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K15" s="174"/>
      <c r="BL15" s="1"/>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911"/>
      <c r="CX15" s="941"/>
      <c r="CY15" s="944"/>
      <c r="CZ15" s="791"/>
      <c r="DA15" s="791"/>
      <c r="DB15" s="791"/>
      <c r="DC15" s="813"/>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74"/>
      <c r="AV16" s="174"/>
      <c r="AW16" s="174"/>
      <c r="AX16" s="174"/>
      <c r="AY16" s="174"/>
      <c r="AZ16" s="174"/>
      <c r="BA16" s="174"/>
      <c r="BB16" s="174"/>
      <c r="BC16" s="174"/>
      <c r="BD16" s="174"/>
      <c r="BE16" s="174"/>
      <c r="BF16" s="174"/>
      <c r="BG16" s="14"/>
      <c r="BH16" s="174"/>
      <c r="BI16" s="177"/>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957"/>
      <c r="CX16" s="966"/>
      <c r="CY16" s="967"/>
      <c r="CZ16" s="825"/>
      <c r="DA16" s="825"/>
      <c r="DB16" s="825"/>
      <c r="DC16" s="832"/>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74"/>
      <c r="AV17" s="174"/>
      <c r="AW17" s="174"/>
      <c r="AX17" s="174"/>
      <c r="AY17" s="174"/>
      <c r="AZ17" s="174"/>
      <c r="BA17" s="174"/>
      <c r="BB17" s="174"/>
      <c r="BC17" s="174"/>
      <c r="BD17" s="174"/>
      <c r="BE17" s="174"/>
      <c r="BF17" s="174"/>
      <c r="BG17" s="174"/>
      <c r="BH17" s="174"/>
      <c r="BI17" s="177"/>
      <c r="BK17" s="174"/>
      <c r="BL17" s="1"/>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56"/>
      <c r="CV17" s="175"/>
      <c r="CW17" s="175"/>
      <c r="CX17" s="175"/>
      <c r="CY17" s="175"/>
      <c r="CZ17" s="175"/>
      <c r="DA17" s="175"/>
      <c r="DB17" s="175"/>
      <c r="DC17" s="175"/>
      <c r="DD17" s="175"/>
      <c r="DE17" s="175"/>
      <c r="DF17" s="176"/>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74"/>
      <c r="AQ18" s="174"/>
      <c r="AR18" s="174"/>
      <c r="AS18" s="174"/>
      <c r="AT18" s="174"/>
      <c r="AU18" s="174"/>
      <c r="AV18" s="174"/>
      <c r="AW18" s="174"/>
      <c r="AX18" s="174"/>
      <c r="AY18" s="174"/>
      <c r="AZ18" s="174"/>
      <c r="BA18" s="174"/>
      <c r="BB18" s="174"/>
      <c r="BC18" s="174"/>
      <c r="BD18" s="174"/>
      <c r="BE18" s="174"/>
      <c r="BF18" s="174"/>
      <c r="BG18" s="174"/>
      <c r="BH18" s="174"/>
      <c r="BI18" s="177"/>
      <c r="BK18" s="174"/>
      <c r="BL18" s="1"/>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58"/>
      <c r="CV18" s="109"/>
      <c r="CW18" s="109"/>
      <c r="CX18" s="109"/>
      <c r="CY18" s="109"/>
      <c r="CZ18" s="109"/>
      <c r="DA18" s="109"/>
      <c r="DB18" s="109"/>
      <c r="DC18" s="109"/>
      <c r="DD18" s="109"/>
      <c r="DE18" s="109"/>
      <c r="DF18" s="60"/>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4"/>
      <c r="AC19" s="14"/>
      <c r="AD19" s="14"/>
      <c r="AE19" s="14"/>
      <c r="AF19" s="14"/>
      <c r="AG19" s="14"/>
      <c r="AH19" s="14"/>
      <c r="AI19" s="14"/>
      <c r="AJ19" s="14"/>
      <c r="AK19" s="14"/>
      <c r="AL19" s="14"/>
      <c r="AM19" s="14"/>
      <c r="AN19" s="14"/>
      <c r="AO19" s="14"/>
      <c r="AP19" s="174"/>
      <c r="AQ19" s="174"/>
      <c r="AR19" s="174"/>
      <c r="AS19" s="174"/>
      <c r="AT19" s="174"/>
      <c r="AU19" s="174"/>
      <c r="AV19" s="174"/>
      <c r="AW19" s="174"/>
      <c r="AX19" s="174"/>
      <c r="AY19" s="174"/>
      <c r="AZ19" s="174"/>
      <c r="BA19" s="174"/>
      <c r="BB19" s="174"/>
      <c r="BC19" s="174"/>
      <c r="BD19" s="174"/>
      <c r="BE19" s="174"/>
      <c r="BF19" s="174"/>
      <c r="BG19" s="174"/>
      <c r="BH19" s="174"/>
      <c r="BI19" s="177"/>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58"/>
      <c r="CV19" s="109"/>
      <c r="CW19" s="109"/>
      <c r="CX19" s="109"/>
      <c r="CY19" s="109"/>
      <c r="CZ19" s="109"/>
      <c r="DA19" s="109"/>
      <c r="DB19" s="109"/>
      <c r="DC19" s="109"/>
      <c r="DD19" s="109"/>
      <c r="DE19" s="109"/>
      <c r="DF19" s="60"/>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4"/>
      <c r="AC20" s="14"/>
      <c r="AD20" s="14"/>
      <c r="AE20" s="14"/>
      <c r="AF20" s="14"/>
      <c r="AG20" s="14"/>
      <c r="AH20" s="14"/>
      <c r="AI20" s="14"/>
      <c r="AJ20" s="14"/>
      <c r="AK20" s="14"/>
      <c r="AL20" s="14"/>
      <c r="AM20" s="14"/>
      <c r="AN20" s="14"/>
      <c r="AO20" s="14"/>
      <c r="AP20" s="174"/>
      <c r="AQ20" s="174"/>
      <c r="AR20" s="174"/>
      <c r="AS20" s="174"/>
      <c r="AT20" s="174"/>
      <c r="AU20" s="174"/>
      <c r="AV20" s="174"/>
      <c r="AW20" s="174"/>
      <c r="AX20" s="174"/>
      <c r="AY20" s="174"/>
      <c r="AZ20" s="174"/>
      <c r="BA20" s="174"/>
      <c r="BB20" s="174"/>
      <c r="BC20" s="174"/>
      <c r="BD20" s="174"/>
      <c r="BE20" s="174"/>
      <c r="BF20" s="174"/>
      <c r="BG20" s="174"/>
      <c r="BH20" s="174"/>
      <c r="BI20" s="177"/>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890">
        <f>CR44</f>
        <v>3</v>
      </c>
      <c r="CS20" s="1891"/>
      <c r="CT20" s="1892"/>
      <c r="CU20" s="58"/>
      <c r="CV20" s="109"/>
      <c r="CW20" s="763"/>
      <c r="CX20" s="764"/>
      <c r="CY20" s="764"/>
      <c r="CZ20" s="764"/>
      <c r="DA20" s="764"/>
      <c r="DB20" s="764"/>
      <c r="DC20" s="764"/>
      <c r="DD20" s="771"/>
      <c r="DE20" s="109"/>
      <c r="DF20" s="60"/>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4"/>
      <c r="AC21" s="14"/>
      <c r="AD21" s="14"/>
      <c r="AE21" s="14"/>
      <c r="AF21" s="14"/>
      <c r="AG21" s="14"/>
      <c r="AH21" s="14"/>
      <c r="AI21" s="14"/>
      <c r="AJ21" s="14"/>
      <c r="AK21" s="14"/>
      <c r="AL21" s="14"/>
      <c r="AM21" s="14"/>
      <c r="AN21" s="14"/>
      <c r="AO21" s="14"/>
      <c r="AP21" s="174"/>
      <c r="AQ21" s="174"/>
      <c r="AR21" s="174"/>
      <c r="AS21" s="174"/>
      <c r="AT21" s="174"/>
      <c r="AU21" s="174"/>
      <c r="AV21" s="174"/>
      <c r="AW21" s="174"/>
      <c r="AX21" s="174"/>
      <c r="AY21" s="174"/>
      <c r="AZ21" s="174"/>
      <c r="BA21" s="174"/>
      <c r="BB21" s="174"/>
      <c r="BC21" s="174"/>
      <c r="BD21" s="174"/>
      <c r="BE21" s="174"/>
      <c r="BF21" s="174"/>
      <c r="BG21" s="174"/>
      <c r="BH21" s="174"/>
      <c r="BI21" s="177"/>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973">
        <f>CR45+CG38</f>
        <v>2159</v>
      </c>
      <c r="CS21" s="974"/>
      <c r="CT21" s="977"/>
      <c r="CU21" s="58"/>
      <c r="CV21" s="109"/>
      <c r="CW21" s="766"/>
      <c r="CX21" s="767"/>
      <c r="CY21" s="767"/>
      <c r="CZ21" s="767"/>
      <c r="DA21" s="767"/>
      <c r="DB21" s="767"/>
      <c r="DC21" s="767"/>
      <c r="DD21" s="772"/>
      <c r="DE21" s="109"/>
      <c r="DF21" s="60"/>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4"/>
      <c r="AC22" s="14"/>
      <c r="AD22" s="14"/>
      <c r="AE22" s="14"/>
      <c r="AF22" s="14"/>
      <c r="AG22" s="14"/>
      <c r="AH22" s="14"/>
      <c r="AI22" s="14"/>
      <c r="AJ22" s="14"/>
      <c r="AK22" s="14"/>
      <c r="AL22" s="14"/>
      <c r="AM22" s="14"/>
      <c r="AN22" s="14"/>
      <c r="AO22" s="14"/>
      <c r="AP22" s="174"/>
      <c r="AQ22" s="174"/>
      <c r="AR22" s="174"/>
      <c r="AS22" s="174"/>
      <c r="AT22" s="174"/>
      <c r="AU22" s="174"/>
      <c r="AV22" s="174"/>
      <c r="AW22" s="174"/>
      <c r="AX22" s="174"/>
      <c r="AY22" s="174"/>
      <c r="AZ22" s="174"/>
      <c r="BA22" s="174"/>
      <c r="BB22" s="174"/>
      <c r="BC22" s="174"/>
      <c r="BD22" s="27"/>
      <c r="BE22" s="27"/>
      <c r="BF22" s="27"/>
      <c r="BG22" s="174"/>
      <c r="BH22" s="174"/>
      <c r="BI22" s="177"/>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918" t="s">
        <v>99</v>
      </c>
      <c r="CS22" s="919"/>
      <c r="CT22" s="922"/>
      <c r="CU22" s="58"/>
      <c r="CV22" s="109"/>
      <c r="CW22" s="766"/>
      <c r="CX22" s="767"/>
      <c r="CY22" s="767"/>
      <c r="CZ22" s="767"/>
      <c r="DA22" s="767"/>
      <c r="DB22" s="767"/>
      <c r="DC22" s="767"/>
      <c r="DD22" s="772"/>
      <c r="DE22" s="109"/>
      <c r="DF22" s="60"/>
      <c r="DG22" s="174"/>
      <c r="DH22" s="174"/>
      <c r="DI22" s="174"/>
      <c r="DJ22" s="174"/>
      <c r="DK22" s="174"/>
      <c r="DL22" s="174"/>
      <c r="DM22" s="174"/>
      <c r="DN22" s="174"/>
      <c r="DO22" s="174"/>
      <c r="DP22" s="174"/>
      <c r="DQ22" s="174"/>
      <c r="DR22" s="174"/>
      <c r="DS22" s="177"/>
    </row>
    <row r="23" spans="2:123"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74"/>
      <c r="AQ23" s="174"/>
      <c r="AR23" s="174"/>
      <c r="AS23" s="174"/>
      <c r="AT23" s="174"/>
      <c r="AU23" s="174"/>
      <c r="AV23" s="174"/>
      <c r="AW23" s="174"/>
      <c r="AX23" s="174"/>
      <c r="AY23" s="174"/>
      <c r="AZ23" s="174"/>
      <c r="BA23" s="174"/>
      <c r="BB23" s="174"/>
      <c r="BC23" s="174"/>
      <c r="BD23" s="174"/>
      <c r="BE23" s="174"/>
      <c r="BF23" s="174"/>
      <c r="BG23" s="14"/>
      <c r="BH23" s="174"/>
      <c r="BI23" s="177"/>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766"/>
      <c r="CS23" s="767"/>
      <c r="CT23" s="772"/>
      <c r="CU23" s="58"/>
      <c r="CV23" s="109"/>
      <c r="CW23" s="1833">
        <f>(CX14/RTAF/CW14)+(CR21/CR20)</f>
        <v>1454.9607843137255</v>
      </c>
      <c r="CX23" s="1834"/>
      <c r="CY23" s="1834"/>
      <c r="CZ23" s="1834"/>
      <c r="DA23" s="1834"/>
      <c r="DB23" s="1834"/>
      <c r="DC23" s="1834"/>
      <c r="DD23" s="1835"/>
      <c r="DE23" s="109"/>
      <c r="DF23" s="60"/>
      <c r="DG23" s="174"/>
      <c r="DH23" s="174"/>
      <c r="DI23" s="174"/>
      <c r="DJ23" s="174"/>
      <c r="DK23" s="174"/>
      <c r="DL23" s="174"/>
      <c r="DM23" s="174"/>
      <c r="DN23" s="174"/>
      <c r="DO23" s="174"/>
      <c r="DP23" s="174"/>
      <c r="DQ23" s="174"/>
      <c r="DR23" s="174"/>
      <c r="DS23" s="177"/>
    </row>
    <row r="24" spans="2:123" ht="9.9499999999999993" customHeight="1" thickBo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74"/>
      <c r="AN24" s="174"/>
      <c r="AO24" s="174"/>
      <c r="AP24" s="174"/>
      <c r="AQ24" s="174"/>
      <c r="AR24" s="174"/>
      <c r="AS24" s="174"/>
      <c r="AT24" s="174"/>
      <c r="AU24" s="174"/>
      <c r="AV24" s="174"/>
      <c r="AW24" s="174"/>
      <c r="AX24" s="174"/>
      <c r="AY24" s="174"/>
      <c r="AZ24" s="174"/>
      <c r="BA24" s="174"/>
      <c r="BB24" s="174"/>
      <c r="BC24" s="174"/>
      <c r="BD24" s="174"/>
      <c r="BE24" s="174"/>
      <c r="BF24" s="174"/>
      <c r="BG24" s="14"/>
      <c r="BH24" s="174"/>
      <c r="BI24" s="177"/>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766"/>
      <c r="CS24" s="767"/>
      <c r="CT24" s="772"/>
      <c r="CU24" s="58"/>
      <c r="CV24" s="109"/>
      <c r="CW24" s="1833"/>
      <c r="CX24" s="1834"/>
      <c r="CY24" s="1834"/>
      <c r="CZ24" s="1834"/>
      <c r="DA24" s="1834"/>
      <c r="DB24" s="1834"/>
      <c r="DC24" s="1834"/>
      <c r="DD24" s="1835"/>
      <c r="DE24" s="109"/>
      <c r="DF24" s="60"/>
      <c r="DG24" s="174"/>
      <c r="DH24" s="174"/>
      <c r="DI24" s="174"/>
      <c r="DJ24" s="174"/>
      <c r="DK24" s="174"/>
      <c r="DL24" s="174"/>
      <c r="DM24" s="174"/>
      <c r="DN24" s="174"/>
      <c r="DO24" s="174"/>
      <c r="DP24" s="174"/>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7"/>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763"/>
      <c r="CG25" s="764"/>
      <c r="CH25" s="765"/>
      <c r="CI25" s="769"/>
      <c r="CJ25" s="764"/>
      <c r="CK25" s="765"/>
      <c r="CL25" s="769"/>
      <c r="CM25" s="764"/>
      <c r="CN25" s="771"/>
      <c r="CO25" s="174"/>
      <c r="CP25" s="174"/>
      <c r="CQ25" s="174"/>
      <c r="CR25" s="766"/>
      <c r="CS25" s="767"/>
      <c r="CT25" s="772"/>
      <c r="CU25" s="58"/>
      <c r="CV25" s="109"/>
      <c r="CW25" s="1836"/>
      <c r="CX25" s="1837"/>
      <c r="CY25" s="1837"/>
      <c r="CZ25" s="1837"/>
      <c r="DA25" s="1837"/>
      <c r="DB25" s="1837"/>
      <c r="DC25" s="1837"/>
      <c r="DD25" s="1838"/>
      <c r="DE25" s="109"/>
      <c r="DF25" s="60"/>
      <c r="DG25" s="174"/>
      <c r="DH25" s="174"/>
      <c r="DI25" s="174"/>
      <c r="DJ25" s="174"/>
      <c r="DK25" s="174"/>
      <c r="DL25" s="174"/>
      <c r="DM25" s="174"/>
      <c r="DN25" s="174"/>
      <c r="DO25" s="174"/>
      <c r="DP25" s="174"/>
      <c r="DQ25" s="174"/>
      <c r="DR25" s="174"/>
      <c r="DS25" s="177"/>
    </row>
    <row r="26" spans="2:123" ht="9.9499999999999993" customHeight="1" thickBo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74"/>
      <c r="AN26" s="174"/>
      <c r="AO26" s="174"/>
      <c r="AP26" s="174"/>
      <c r="AQ26" s="174"/>
      <c r="AR26" s="728">
        <f>CW23</f>
        <v>1454.9607843137255</v>
      </c>
      <c r="AS26" s="861"/>
      <c r="AT26" s="861"/>
      <c r="AU26" s="861"/>
      <c r="AV26" s="861"/>
      <c r="AW26" s="861"/>
      <c r="AX26" s="861"/>
      <c r="AY26" s="861"/>
      <c r="AZ26" s="861"/>
      <c r="BA26" s="862"/>
      <c r="BB26" s="174"/>
      <c r="BC26" s="174"/>
      <c r="BD26" s="174"/>
      <c r="BE26" s="174"/>
      <c r="BF26" s="174"/>
      <c r="BG26" s="174"/>
      <c r="BH26" s="174"/>
      <c r="BI26" s="177"/>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766"/>
      <c r="CG26" s="767"/>
      <c r="CH26" s="768"/>
      <c r="CI26" s="770"/>
      <c r="CJ26" s="767"/>
      <c r="CK26" s="768"/>
      <c r="CL26" s="770"/>
      <c r="CM26" s="767"/>
      <c r="CN26" s="772"/>
      <c r="CO26" s="174"/>
      <c r="CP26" s="174"/>
      <c r="CQ26" s="174"/>
      <c r="CR26" s="849"/>
      <c r="CS26" s="705"/>
      <c r="CT26" s="852"/>
      <c r="CU26" s="58"/>
      <c r="CV26" s="109"/>
      <c r="CW26" s="109"/>
      <c r="CX26" s="109"/>
      <c r="CY26" s="109"/>
      <c r="CZ26" s="109"/>
      <c r="DA26" s="109"/>
      <c r="DB26" s="109"/>
      <c r="DC26" s="109"/>
      <c r="DD26" s="109"/>
      <c r="DE26" s="109"/>
      <c r="DF26" s="60"/>
      <c r="DG26" s="174"/>
      <c r="DH26" s="174"/>
      <c r="DI26" s="174"/>
      <c r="DJ26" s="174"/>
      <c r="DK26" s="174"/>
      <c r="DL26" s="174"/>
      <c r="DM26" s="174"/>
      <c r="DN26" s="174"/>
      <c r="DO26" s="174"/>
      <c r="DP26" s="174"/>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74"/>
      <c r="AN27" s="174"/>
      <c r="AO27" s="174"/>
      <c r="AP27" s="174"/>
      <c r="AQ27" s="174"/>
      <c r="AR27" s="863"/>
      <c r="AS27" s="864"/>
      <c r="AT27" s="864"/>
      <c r="AU27" s="864"/>
      <c r="AV27" s="864"/>
      <c r="AW27" s="864"/>
      <c r="AX27" s="864"/>
      <c r="AY27" s="864"/>
      <c r="AZ27" s="864"/>
      <c r="BA27" s="865"/>
      <c r="BB27" s="174"/>
      <c r="BC27" s="174"/>
      <c r="BD27" s="174"/>
      <c r="BE27" s="174"/>
      <c r="BF27" s="174"/>
      <c r="BG27" s="174"/>
      <c r="BH27" s="174"/>
      <c r="BI27" s="177"/>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766"/>
      <c r="CG27" s="767"/>
      <c r="CH27" s="768"/>
      <c r="CI27" s="770"/>
      <c r="CJ27" s="767"/>
      <c r="CK27" s="768"/>
      <c r="CL27" s="770"/>
      <c r="CM27" s="767"/>
      <c r="CN27" s="772"/>
      <c r="CO27" s="174"/>
      <c r="CP27" s="174"/>
      <c r="CQ27" s="174"/>
      <c r="CR27" s="174"/>
      <c r="CS27" s="174"/>
      <c r="CT27" s="174"/>
      <c r="CU27" s="58"/>
      <c r="CV27" s="109"/>
      <c r="CW27" s="109"/>
      <c r="CX27" s="109"/>
      <c r="CY27" s="109"/>
      <c r="CZ27" s="109"/>
      <c r="DA27" s="109"/>
      <c r="DB27" s="109"/>
      <c r="DC27" s="109"/>
      <c r="DD27" s="109"/>
      <c r="DE27" s="109"/>
      <c r="DF27" s="60"/>
      <c r="DG27" s="174"/>
      <c r="DH27" s="174"/>
      <c r="DI27" s="174"/>
      <c r="DJ27" s="174"/>
      <c r="DK27" s="174"/>
      <c r="DL27" s="174"/>
      <c r="DM27" s="174"/>
      <c r="DN27" s="174"/>
      <c r="DO27" s="174"/>
      <c r="DP27" s="174"/>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74"/>
      <c r="AN28" s="174"/>
      <c r="AO28" s="174"/>
      <c r="AP28" s="174"/>
      <c r="AQ28" s="174"/>
      <c r="AR28" s="866"/>
      <c r="AS28" s="867"/>
      <c r="AT28" s="867"/>
      <c r="AU28" s="867"/>
      <c r="AV28" s="867"/>
      <c r="AW28" s="867"/>
      <c r="AX28" s="867"/>
      <c r="AY28" s="867"/>
      <c r="AZ28" s="867"/>
      <c r="BA28" s="868"/>
      <c r="BB28" s="174"/>
      <c r="BC28" s="174"/>
      <c r="BD28" s="174"/>
      <c r="BE28" s="174"/>
      <c r="BF28" s="174"/>
      <c r="BG28" s="174"/>
      <c r="BH28" s="174"/>
      <c r="BI28" s="177"/>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766"/>
      <c r="CG28" s="767"/>
      <c r="CH28" s="768"/>
      <c r="CI28" s="770"/>
      <c r="CJ28" s="767"/>
      <c r="CK28" s="768"/>
      <c r="CL28" s="770"/>
      <c r="CM28" s="767"/>
      <c r="CN28" s="772"/>
      <c r="CO28" s="174"/>
      <c r="CP28" s="174"/>
      <c r="CQ28" s="174"/>
      <c r="CR28" s="174"/>
      <c r="CS28" s="174"/>
      <c r="CT28" s="174"/>
      <c r="CU28" s="61"/>
      <c r="CV28" s="110"/>
      <c r="CW28" s="110"/>
      <c r="CX28" s="110"/>
      <c r="CY28" s="110"/>
      <c r="CZ28" s="110"/>
      <c r="DA28" s="110"/>
      <c r="DB28" s="110"/>
      <c r="DC28" s="110"/>
      <c r="DD28" s="110"/>
      <c r="DE28" s="110"/>
      <c r="DF28" s="63"/>
      <c r="DG28" s="174"/>
      <c r="DH28" s="174"/>
      <c r="DI28" s="174"/>
      <c r="DJ28" s="174"/>
      <c r="DK28" s="174"/>
      <c r="DL28" s="174"/>
      <c r="DM28" s="174"/>
      <c r="DN28" s="174"/>
      <c r="DO28" s="174"/>
      <c r="DP28" s="174"/>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74"/>
      <c r="AN29" s="174"/>
      <c r="AO29" s="174"/>
      <c r="AP29" s="174"/>
      <c r="AQ29" s="174"/>
      <c r="AR29" s="713">
        <f>ROUND(AR26/CLV_Limit,2)</f>
        <v>0.91</v>
      </c>
      <c r="AS29" s="714"/>
      <c r="AT29" s="714"/>
      <c r="AU29" s="714"/>
      <c r="AV29" s="715"/>
      <c r="AW29" s="722" t="s">
        <v>100</v>
      </c>
      <c r="AX29" s="722"/>
      <c r="AY29" s="722"/>
      <c r="AZ29" s="722"/>
      <c r="BA29" s="723"/>
      <c r="BB29" s="174"/>
      <c r="BC29" s="174"/>
      <c r="BD29" s="174"/>
      <c r="BE29" s="174"/>
      <c r="BF29" s="174"/>
      <c r="BG29" s="174"/>
      <c r="BH29" s="174"/>
      <c r="BI29" s="177"/>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886" t="s">
        <v>99</v>
      </c>
      <c r="CG29" s="887"/>
      <c r="CH29" s="888"/>
      <c r="CI29" s="889" t="s">
        <v>99</v>
      </c>
      <c r="CJ29" s="887"/>
      <c r="CK29" s="888"/>
      <c r="CL29" s="889" t="s">
        <v>99</v>
      </c>
      <c r="CM29" s="887"/>
      <c r="CN29" s="890"/>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4"/>
      <c r="AC30" s="14"/>
      <c r="AD30" s="14"/>
      <c r="AE30" s="14"/>
      <c r="AF30" s="14"/>
      <c r="AG30" s="14"/>
      <c r="AH30" s="14"/>
      <c r="AI30" s="14"/>
      <c r="AJ30" s="14"/>
      <c r="AK30" s="14"/>
      <c r="AL30" s="14"/>
      <c r="AM30" s="174"/>
      <c r="AN30" s="174"/>
      <c r="AO30" s="174"/>
      <c r="AP30" s="174"/>
      <c r="AQ30" s="174"/>
      <c r="AR30" s="716"/>
      <c r="AS30" s="717"/>
      <c r="AT30" s="717"/>
      <c r="AU30" s="717"/>
      <c r="AV30" s="718"/>
      <c r="AW30" s="724"/>
      <c r="AX30" s="724"/>
      <c r="AY30" s="724"/>
      <c r="AZ30" s="724"/>
      <c r="BA30" s="725"/>
      <c r="BB30" s="174"/>
      <c r="BC30" s="174"/>
      <c r="BD30" s="174"/>
      <c r="BE30" s="174"/>
      <c r="BF30" s="174"/>
      <c r="BG30" s="174"/>
      <c r="BH30" s="174"/>
      <c r="BI30" s="177"/>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891">
        <f>SBR_Master</f>
        <v>0</v>
      </c>
      <c r="CG30" s="892"/>
      <c r="CH30" s="893"/>
      <c r="CI30" s="894">
        <f>SBT_Master</f>
        <v>1447</v>
      </c>
      <c r="CJ30" s="892"/>
      <c r="CK30" s="893"/>
      <c r="CL30" s="894">
        <f>SBL_Master</f>
        <v>607</v>
      </c>
      <c r="CM30" s="892"/>
      <c r="CN30" s="895"/>
      <c r="CO30" s="174"/>
      <c r="CP30" s="174"/>
      <c r="CQ30" s="174"/>
      <c r="CR30" s="174"/>
      <c r="CS30" s="174"/>
      <c r="CT30" s="174"/>
      <c r="CU30" s="174"/>
      <c r="CV30" s="19"/>
      <c r="CW30" s="19"/>
      <c r="CX30" s="19"/>
      <c r="CY30" s="19"/>
      <c r="CZ30" s="19"/>
      <c r="DA30" s="19"/>
      <c r="DB30" s="174"/>
      <c r="DC30" s="174"/>
      <c r="DD30" s="174"/>
      <c r="DE30" s="174"/>
      <c r="DF30" s="174"/>
      <c r="DG30" s="174"/>
      <c r="DH30" s="174"/>
      <c r="DI30" s="174"/>
      <c r="DJ30" s="174"/>
      <c r="DK30" s="174"/>
      <c r="DL30" s="174"/>
      <c r="DM30" s="174"/>
      <c r="DN30" s="174"/>
      <c r="DO30" s="174"/>
      <c r="DP30" s="174"/>
      <c r="DQ30" s="174"/>
      <c r="DR30" s="174"/>
      <c r="DS30" s="177"/>
    </row>
    <row r="31" spans="2:123" ht="9.9499999999999993" customHeight="1" thickBo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4"/>
      <c r="AC31" s="14"/>
      <c r="AD31" s="14"/>
      <c r="AE31" s="14"/>
      <c r="AF31" s="14"/>
      <c r="AG31" s="14"/>
      <c r="AH31" s="14"/>
      <c r="AI31" s="14"/>
      <c r="AJ31" s="14"/>
      <c r="AK31" s="14"/>
      <c r="AL31" s="14"/>
      <c r="AM31" s="14"/>
      <c r="AN31" s="14"/>
      <c r="AO31" s="14"/>
      <c r="AP31" s="14"/>
      <c r="AQ31" s="14"/>
      <c r="AR31" s="719"/>
      <c r="AS31" s="720"/>
      <c r="AT31" s="720"/>
      <c r="AU31" s="720"/>
      <c r="AV31" s="721"/>
      <c r="AW31" s="726"/>
      <c r="AX31" s="726"/>
      <c r="AY31" s="726"/>
      <c r="AZ31" s="726"/>
      <c r="BA31" s="727"/>
      <c r="BB31" s="174"/>
      <c r="BC31" s="174"/>
      <c r="BD31" s="174"/>
      <c r="BE31" s="174"/>
      <c r="BF31" s="174"/>
      <c r="BG31" s="14"/>
      <c r="BH31" s="174"/>
      <c r="BI31" s="177"/>
      <c r="BK31" s="174"/>
      <c r="BL31" s="1"/>
      <c r="BM31" s="174"/>
      <c r="BN31" s="174"/>
      <c r="BO31" s="174"/>
      <c r="BP31" s="174"/>
      <c r="BQ31" s="174"/>
      <c r="BR31" s="174"/>
      <c r="BS31" s="174"/>
      <c r="BT31" s="174"/>
      <c r="BU31" s="174"/>
      <c r="BV31" s="174"/>
      <c r="BW31" s="174"/>
      <c r="BX31" s="174"/>
      <c r="BY31" s="174"/>
      <c r="BZ31" s="174"/>
      <c r="CA31" s="174"/>
      <c r="CB31" s="174"/>
      <c r="CC31" s="174"/>
      <c r="CD31" s="174"/>
      <c r="CE31" s="174"/>
      <c r="CF31" s="928">
        <v>1</v>
      </c>
      <c r="CG31" s="929"/>
      <c r="CH31" s="929"/>
      <c r="CI31" s="929">
        <v>3</v>
      </c>
      <c r="CJ31" s="929"/>
      <c r="CK31" s="929"/>
      <c r="CL31" s="1037">
        <v>1</v>
      </c>
      <c r="CM31" s="1035"/>
      <c r="CN31" s="1038"/>
      <c r="CO31" s="174"/>
      <c r="CP31" s="174"/>
      <c r="CQ31" s="174"/>
      <c r="CR31" s="16"/>
      <c r="CS31" s="16"/>
      <c r="CT31" s="16"/>
      <c r="CU31" s="174"/>
      <c r="CV31" s="19"/>
      <c r="CW31" s="19"/>
      <c r="CX31" s="19"/>
      <c r="CY31" s="19"/>
      <c r="CZ31" s="19"/>
      <c r="DA31" s="19"/>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4"/>
      <c r="AC32" s="14"/>
      <c r="AD32" s="14"/>
      <c r="AE32" s="14"/>
      <c r="AF32" s="14"/>
      <c r="AG32" s="14"/>
      <c r="AH32" s="14"/>
      <c r="AI32" s="14"/>
      <c r="AJ32" s="14"/>
      <c r="AK32" s="14"/>
      <c r="AL32" s="14"/>
      <c r="AM32" s="14"/>
      <c r="AN32" s="14"/>
      <c r="AO32" s="14"/>
      <c r="AP32" s="14"/>
      <c r="AQ32" s="14"/>
      <c r="AR32" s="14"/>
      <c r="AS32" s="14"/>
      <c r="AT32" s="174"/>
      <c r="AU32" s="174"/>
      <c r="AV32" s="174"/>
      <c r="AW32" s="174"/>
      <c r="AX32" s="174"/>
      <c r="AY32" s="174"/>
      <c r="AZ32" s="174"/>
      <c r="BA32" s="174"/>
      <c r="BB32" s="174"/>
      <c r="BC32" s="174"/>
      <c r="BD32" s="174"/>
      <c r="BE32" s="174"/>
      <c r="BF32" s="174"/>
      <c r="BG32" s="14"/>
      <c r="BH32" s="174"/>
      <c r="BI32" s="177"/>
      <c r="BK32" s="174"/>
      <c r="BL32" s="1"/>
      <c r="BM32" s="174"/>
      <c r="BN32" s="174"/>
      <c r="BO32" s="174"/>
      <c r="BP32" s="174"/>
      <c r="BQ32" s="174"/>
      <c r="BR32" s="174"/>
      <c r="BS32" s="174"/>
      <c r="BT32" s="174"/>
      <c r="BU32" s="174"/>
      <c r="BV32" s="174"/>
      <c r="BW32" s="174"/>
      <c r="BX32" s="174"/>
      <c r="BY32" s="174"/>
      <c r="BZ32" s="174"/>
      <c r="CA32" s="174"/>
      <c r="CB32" s="174"/>
      <c r="CC32" s="174"/>
      <c r="CD32" s="174"/>
      <c r="CE32" s="174"/>
      <c r="CF32" s="18"/>
      <c r="CG32" s="18"/>
      <c r="CH32" s="174"/>
      <c r="CI32" s="58"/>
      <c r="CJ32" s="109"/>
      <c r="CK32" s="109"/>
      <c r="CL32" s="109"/>
      <c r="CM32" s="109"/>
      <c r="CN32" s="109"/>
      <c r="CO32" s="175"/>
      <c r="CP32" s="175"/>
      <c r="CQ32" s="175"/>
      <c r="CR32" s="175"/>
      <c r="CS32" s="175"/>
      <c r="CT32" s="176"/>
      <c r="CU32" s="174"/>
      <c r="CV32" s="19"/>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K33" s="174"/>
      <c r="BL33" s="1"/>
      <c r="BM33" s="174"/>
      <c r="BN33" s="174"/>
      <c r="BO33" s="174"/>
      <c r="BP33" s="174"/>
      <c r="BQ33" s="174"/>
      <c r="BR33" s="174"/>
      <c r="BS33" s="174"/>
      <c r="BT33" s="174"/>
      <c r="BU33" s="174"/>
      <c r="BV33" s="174"/>
      <c r="BW33" s="174"/>
      <c r="BX33" s="174"/>
      <c r="BY33" s="174"/>
      <c r="BZ33" s="174"/>
      <c r="CA33" s="174"/>
      <c r="CB33" s="174"/>
      <c r="CC33" s="174"/>
      <c r="CD33" s="174"/>
      <c r="CE33" s="174"/>
      <c r="CF33" s="18"/>
      <c r="CG33" s="18"/>
      <c r="CH33" s="174"/>
      <c r="CI33" s="58"/>
      <c r="CJ33" s="109"/>
      <c r="CK33" s="109"/>
      <c r="CL33" s="109"/>
      <c r="CM33" s="109"/>
      <c r="CN33" s="109"/>
      <c r="CO33" s="109"/>
      <c r="CP33" s="109"/>
      <c r="CQ33" s="109"/>
      <c r="CR33" s="109"/>
      <c r="CS33" s="109"/>
      <c r="CT33" s="60"/>
      <c r="CU33" s="174"/>
      <c r="CV33" s="19"/>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thickBo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K34" s="174"/>
      <c r="BL34" s="1"/>
      <c r="BM34" s="174"/>
      <c r="BN34" s="174"/>
      <c r="BO34" s="174"/>
      <c r="BP34" s="174"/>
      <c r="BQ34" s="174"/>
      <c r="BR34" s="174"/>
      <c r="BS34" s="174"/>
      <c r="BT34" s="174"/>
      <c r="BU34" s="174"/>
      <c r="BV34" s="174"/>
      <c r="BW34" s="174"/>
      <c r="BX34" s="174"/>
      <c r="BY34" s="174"/>
      <c r="BZ34" s="174"/>
      <c r="CA34" s="174"/>
      <c r="CB34" s="174"/>
      <c r="CC34" s="174"/>
      <c r="CD34" s="174"/>
      <c r="CE34" s="174"/>
      <c r="CF34" s="18"/>
      <c r="CG34" s="18"/>
      <c r="CH34" s="174"/>
      <c r="CI34" s="58"/>
      <c r="CJ34" s="109"/>
      <c r="CK34" s="109"/>
      <c r="CL34" s="109"/>
      <c r="CM34" s="109"/>
      <c r="CN34" s="109"/>
      <c r="CO34" s="109"/>
      <c r="CP34" s="109"/>
      <c r="CQ34" s="109"/>
      <c r="CR34" s="109"/>
      <c r="CS34" s="109"/>
      <c r="CT34" s="60"/>
      <c r="CU34" s="174"/>
      <c r="CV34" s="19"/>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K35" s="174"/>
      <c r="BL35" s="1"/>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58"/>
      <c r="CJ35" s="109"/>
      <c r="CK35" s="763"/>
      <c r="CL35" s="764"/>
      <c r="CM35" s="764"/>
      <c r="CN35" s="764"/>
      <c r="CO35" s="764"/>
      <c r="CP35" s="764"/>
      <c r="CQ35" s="764"/>
      <c r="CR35" s="771"/>
      <c r="CS35" s="109"/>
      <c r="CT35" s="60"/>
      <c r="CU35" s="910">
        <v>2</v>
      </c>
      <c r="CV35" s="940">
        <f>WBL_Master</f>
        <v>588</v>
      </c>
      <c r="CW35" s="943" t="s">
        <v>99</v>
      </c>
      <c r="CX35" s="789"/>
      <c r="CY35" s="789"/>
      <c r="CZ35" s="789"/>
      <c r="DA35" s="812"/>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58"/>
      <c r="CJ36" s="109"/>
      <c r="CK36" s="766"/>
      <c r="CL36" s="767"/>
      <c r="CM36" s="767"/>
      <c r="CN36" s="767"/>
      <c r="CO36" s="767"/>
      <c r="CP36" s="767"/>
      <c r="CQ36" s="767"/>
      <c r="CR36" s="772"/>
      <c r="CS36" s="109"/>
      <c r="CT36" s="60"/>
      <c r="CU36" s="911"/>
      <c r="CV36" s="941"/>
      <c r="CW36" s="944"/>
      <c r="CX36" s="791"/>
      <c r="CY36" s="791"/>
      <c r="CZ36" s="791"/>
      <c r="DA36" s="813"/>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58"/>
      <c r="CJ37" s="109"/>
      <c r="CK37" s="766"/>
      <c r="CL37" s="767"/>
      <c r="CM37" s="767"/>
      <c r="CN37" s="767"/>
      <c r="CO37" s="767"/>
      <c r="CP37" s="767"/>
      <c r="CQ37" s="767"/>
      <c r="CR37" s="772"/>
      <c r="CS37" s="109"/>
      <c r="CT37" s="60"/>
      <c r="CU37" s="957"/>
      <c r="CV37" s="966"/>
      <c r="CW37" s="967"/>
      <c r="CX37" s="825"/>
      <c r="CY37" s="825"/>
      <c r="CZ37" s="825"/>
      <c r="DA37" s="832"/>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K38" s="174"/>
      <c r="BL38" s="1"/>
      <c r="BM38" s="174"/>
      <c r="BN38" s="174"/>
      <c r="BO38" s="174"/>
      <c r="BP38" s="174"/>
      <c r="BQ38" s="174"/>
      <c r="BR38" s="174"/>
      <c r="BS38" s="174"/>
      <c r="BT38" s="174"/>
      <c r="BU38" s="174"/>
      <c r="BV38" s="174"/>
      <c r="BW38" s="174"/>
      <c r="BX38" s="174"/>
      <c r="BY38" s="174"/>
      <c r="BZ38" s="174"/>
      <c r="CA38" s="174"/>
      <c r="CB38" s="788"/>
      <c r="CC38" s="789"/>
      <c r="CD38" s="789"/>
      <c r="CE38" s="789"/>
      <c r="CF38" s="901" t="s">
        <v>99</v>
      </c>
      <c r="CG38" s="904">
        <f>EBL_Master</f>
        <v>899</v>
      </c>
      <c r="CH38" s="950">
        <v>2</v>
      </c>
      <c r="CI38" s="58"/>
      <c r="CJ38" s="109"/>
      <c r="CK38" s="1833">
        <f>MAX(CI30/CI31,CR45/CR44)+MAX(MAX(CO45/LTAF/CO44),MAX(CL30/LTAF/CL31))+MAX(CV35/LTAF/CU35,CG38/LTAF/CH38)</f>
        <v>1594.4385964912281</v>
      </c>
      <c r="CL38" s="1834"/>
      <c r="CM38" s="1834"/>
      <c r="CN38" s="1834"/>
      <c r="CO38" s="1834"/>
      <c r="CP38" s="1834"/>
      <c r="CQ38" s="1834"/>
      <c r="CR38" s="1835"/>
      <c r="CS38" s="109"/>
      <c r="CT38" s="60"/>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K39" s="174"/>
      <c r="BL39" s="1"/>
      <c r="BM39" s="174"/>
      <c r="BN39" s="174"/>
      <c r="BO39" s="174"/>
      <c r="BP39" s="174"/>
      <c r="BQ39" s="174"/>
      <c r="BR39" s="174"/>
      <c r="BS39" s="174"/>
      <c r="BT39" s="174"/>
      <c r="BU39" s="174"/>
      <c r="BV39" s="174"/>
      <c r="BW39" s="174"/>
      <c r="BX39" s="174"/>
      <c r="BY39" s="174"/>
      <c r="BZ39" s="174"/>
      <c r="CA39" s="174"/>
      <c r="CB39" s="790"/>
      <c r="CC39" s="791"/>
      <c r="CD39" s="791"/>
      <c r="CE39" s="791"/>
      <c r="CF39" s="902"/>
      <c r="CG39" s="905"/>
      <c r="CH39" s="938"/>
      <c r="CI39" s="58"/>
      <c r="CJ39" s="109"/>
      <c r="CK39" s="1833"/>
      <c r="CL39" s="1834"/>
      <c r="CM39" s="1834"/>
      <c r="CN39" s="1834"/>
      <c r="CO39" s="1834"/>
      <c r="CP39" s="1834"/>
      <c r="CQ39" s="1834"/>
      <c r="CR39" s="1835"/>
      <c r="CS39" s="109"/>
      <c r="CT39" s="60"/>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728">
        <f>CK38</f>
        <v>1594.4385964912281</v>
      </c>
      <c r="AS40" s="861"/>
      <c r="AT40" s="861"/>
      <c r="AU40" s="861"/>
      <c r="AV40" s="861"/>
      <c r="AW40" s="861"/>
      <c r="AX40" s="861"/>
      <c r="AY40" s="861"/>
      <c r="AZ40" s="861"/>
      <c r="BA40" s="862"/>
      <c r="BB40" s="174"/>
      <c r="BC40" s="174"/>
      <c r="BD40" s="174"/>
      <c r="BE40" s="174"/>
      <c r="BF40" s="174"/>
      <c r="BG40" s="174"/>
      <c r="BH40" s="174"/>
      <c r="BI40" s="177"/>
      <c r="BK40" s="174"/>
      <c r="BL40" s="1"/>
      <c r="BM40" s="174"/>
      <c r="BN40" s="174"/>
      <c r="BO40" s="174"/>
      <c r="BP40" s="174"/>
      <c r="BQ40" s="174"/>
      <c r="BR40" s="174"/>
      <c r="BS40" s="174"/>
      <c r="BT40" s="174"/>
      <c r="BU40" s="174"/>
      <c r="BV40" s="174"/>
      <c r="BW40" s="174"/>
      <c r="BX40" s="174"/>
      <c r="BY40" s="174"/>
      <c r="BZ40" s="174"/>
      <c r="CA40" s="174"/>
      <c r="CB40" s="824"/>
      <c r="CC40" s="825"/>
      <c r="CD40" s="825"/>
      <c r="CE40" s="825"/>
      <c r="CF40" s="959"/>
      <c r="CG40" s="960"/>
      <c r="CH40" s="965"/>
      <c r="CI40" s="58"/>
      <c r="CJ40" s="109"/>
      <c r="CK40" s="1836"/>
      <c r="CL40" s="1837"/>
      <c r="CM40" s="1837"/>
      <c r="CN40" s="1837"/>
      <c r="CO40" s="1837"/>
      <c r="CP40" s="1837"/>
      <c r="CQ40" s="1837"/>
      <c r="CR40" s="1838"/>
      <c r="CS40" s="109"/>
      <c r="CT40" s="60"/>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863"/>
      <c r="AS41" s="864"/>
      <c r="AT41" s="864"/>
      <c r="AU41" s="864"/>
      <c r="AV41" s="864"/>
      <c r="AW41" s="864"/>
      <c r="AX41" s="864"/>
      <c r="AY41" s="864"/>
      <c r="AZ41" s="864"/>
      <c r="BA41" s="865"/>
      <c r="BB41" s="174"/>
      <c r="BC41" s="174"/>
      <c r="BD41" s="174"/>
      <c r="BE41" s="174"/>
      <c r="BF41" s="174"/>
      <c r="BG41" s="174"/>
      <c r="BH41" s="174"/>
      <c r="BI41" s="177"/>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8"/>
      <c r="CH41" s="174"/>
      <c r="CI41" s="58"/>
      <c r="CJ41" s="109"/>
      <c r="CK41" s="109"/>
      <c r="CL41" s="109"/>
      <c r="CM41" s="109"/>
      <c r="CN41" s="109"/>
      <c r="CO41" s="109"/>
      <c r="CP41" s="109"/>
      <c r="CQ41" s="109"/>
      <c r="CR41" s="109"/>
      <c r="CS41" s="109"/>
      <c r="CT41" s="60"/>
      <c r="CU41" s="174"/>
      <c r="CV41" s="19"/>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866"/>
      <c r="AS42" s="867"/>
      <c r="AT42" s="867"/>
      <c r="AU42" s="867"/>
      <c r="AV42" s="867"/>
      <c r="AW42" s="867"/>
      <c r="AX42" s="867"/>
      <c r="AY42" s="867"/>
      <c r="AZ42" s="867"/>
      <c r="BA42" s="868"/>
      <c r="BB42" s="174"/>
      <c r="BC42" s="174"/>
      <c r="BD42" s="174"/>
      <c r="BE42" s="174"/>
      <c r="BF42" s="174"/>
      <c r="BG42" s="174"/>
      <c r="BH42" s="174"/>
      <c r="BI42" s="177"/>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8"/>
      <c r="CH42" s="174"/>
      <c r="CI42" s="58"/>
      <c r="CJ42" s="109"/>
      <c r="CK42" s="109"/>
      <c r="CL42" s="109"/>
      <c r="CM42" s="109"/>
      <c r="CN42" s="109"/>
      <c r="CO42" s="109"/>
      <c r="CP42" s="109"/>
      <c r="CQ42" s="109"/>
      <c r="CR42" s="109"/>
      <c r="CS42" s="109"/>
      <c r="CT42" s="60"/>
      <c r="CU42" s="174"/>
      <c r="CV42" s="19"/>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thickBo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713">
        <f>ROUND(AR40/CLV_Limit,2)</f>
        <v>1</v>
      </c>
      <c r="AS43" s="714"/>
      <c r="AT43" s="714"/>
      <c r="AU43" s="714"/>
      <c r="AV43" s="715"/>
      <c r="AW43" s="722" t="s">
        <v>100</v>
      </c>
      <c r="AX43" s="722"/>
      <c r="AY43" s="722"/>
      <c r="AZ43" s="722"/>
      <c r="BA43" s="723"/>
      <c r="BB43" s="174"/>
      <c r="BC43" s="174"/>
      <c r="BD43" s="174"/>
      <c r="BE43" s="174"/>
      <c r="BF43" s="174"/>
      <c r="BG43" s="174"/>
      <c r="BH43" s="174"/>
      <c r="BI43" s="177"/>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8"/>
      <c r="CH43" s="174"/>
      <c r="CI43" s="61"/>
      <c r="CJ43" s="110"/>
      <c r="CK43" s="110"/>
      <c r="CL43" s="110"/>
      <c r="CM43" s="110"/>
      <c r="CN43" s="110"/>
      <c r="CO43" s="109"/>
      <c r="CP43" s="109"/>
      <c r="CQ43" s="109"/>
      <c r="CR43" s="109"/>
      <c r="CS43" s="109"/>
      <c r="CT43" s="60"/>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716"/>
      <c r="AS44" s="717"/>
      <c r="AT44" s="717"/>
      <c r="AU44" s="717"/>
      <c r="AV44" s="718"/>
      <c r="AW44" s="724"/>
      <c r="AX44" s="724"/>
      <c r="AY44" s="724"/>
      <c r="AZ44" s="724"/>
      <c r="BA44" s="725"/>
      <c r="BB44" s="174"/>
      <c r="BC44" s="174"/>
      <c r="BD44" s="174"/>
      <c r="BE44" s="174"/>
      <c r="BF44" s="174"/>
      <c r="BG44" s="174"/>
      <c r="BH44" s="174"/>
      <c r="BI44" s="177"/>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6"/>
      <c r="CJ44" s="16"/>
      <c r="CK44" s="16"/>
      <c r="CL44" s="174"/>
      <c r="CM44" s="174"/>
      <c r="CN44" s="174"/>
      <c r="CO44" s="968">
        <v>1</v>
      </c>
      <c r="CP44" s="969"/>
      <c r="CQ44" s="970"/>
      <c r="CR44" s="971">
        <v>3</v>
      </c>
      <c r="CS44" s="969"/>
      <c r="CT44" s="970"/>
      <c r="CU44" s="971">
        <v>1</v>
      </c>
      <c r="CV44" s="969"/>
      <c r="CW44" s="972"/>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thickBo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719"/>
      <c r="AS45" s="720"/>
      <c r="AT45" s="720"/>
      <c r="AU45" s="720"/>
      <c r="AV45" s="721"/>
      <c r="AW45" s="726"/>
      <c r="AX45" s="726"/>
      <c r="AY45" s="726"/>
      <c r="AZ45" s="726"/>
      <c r="BA45" s="727"/>
      <c r="BB45" s="174"/>
      <c r="BC45" s="174"/>
      <c r="BD45" s="174"/>
      <c r="BE45" s="174"/>
      <c r="BF45" s="174"/>
      <c r="BG45" s="174"/>
      <c r="BH45" s="174"/>
      <c r="BI45" s="177"/>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983">
        <f>NBL_Master</f>
        <v>0</v>
      </c>
      <c r="CP45" s="984"/>
      <c r="CQ45" s="985"/>
      <c r="CR45" s="986">
        <f>NBT_Master</f>
        <v>1260</v>
      </c>
      <c r="CS45" s="984"/>
      <c r="CT45" s="985"/>
      <c r="CU45" s="986">
        <f>NBR_Master</f>
        <v>1060</v>
      </c>
      <c r="CV45" s="984"/>
      <c r="CW45" s="987"/>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886" t="s">
        <v>99</v>
      </c>
      <c r="CP46" s="887"/>
      <c r="CQ46" s="888"/>
      <c r="CR46" s="889" t="s">
        <v>99</v>
      </c>
      <c r="CS46" s="887"/>
      <c r="CT46" s="888"/>
      <c r="CU46" s="889" t="s">
        <v>99</v>
      </c>
      <c r="CV46" s="887"/>
      <c r="CW46" s="890"/>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K47" s="174"/>
      <c r="BL47" s="1"/>
      <c r="BM47" s="174"/>
      <c r="BN47" s="174"/>
      <c r="BO47" s="174"/>
      <c r="BP47" s="174"/>
      <c r="BQ47" s="174"/>
      <c r="BR47" s="174"/>
      <c r="BS47" s="174"/>
      <c r="BT47" s="174"/>
      <c r="BU47" s="174"/>
      <c r="BV47" s="174"/>
      <c r="BW47" s="56"/>
      <c r="BX47" s="175"/>
      <c r="BY47" s="175"/>
      <c r="BZ47" s="175"/>
      <c r="CA47" s="175"/>
      <c r="CB47" s="175"/>
      <c r="CC47" s="175"/>
      <c r="CD47" s="175"/>
      <c r="CE47" s="175"/>
      <c r="CF47" s="175"/>
      <c r="CG47" s="175"/>
      <c r="CH47" s="176"/>
      <c r="CI47" s="174"/>
      <c r="CJ47" s="174"/>
      <c r="CK47" s="174"/>
      <c r="CL47" s="174"/>
      <c r="CM47" s="174"/>
      <c r="CN47" s="174"/>
      <c r="CO47" s="766"/>
      <c r="CP47" s="767"/>
      <c r="CQ47" s="768"/>
      <c r="CR47" s="770"/>
      <c r="CS47" s="767"/>
      <c r="CT47" s="768"/>
      <c r="CU47" s="770"/>
      <c r="CV47" s="767"/>
      <c r="CW47" s="772"/>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thickBo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K48" s="174"/>
      <c r="BL48" s="1"/>
      <c r="BM48" s="174"/>
      <c r="BN48" s="174"/>
      <c r="BO48" s="174"/>
      <c r="BP48" s="174"/>
      <c r="BQ48" s="174"/>
      <c r="BR48" s="174"/>
      <c r="BS48" s="174"/>
      <c r="BT48" s="174"/>
      <c r="BU48" s="174"/>
      <c r="BV48" s="174"/>
      <c r="BW48" s="58"/>
      <c r="BX48" s="109"/>
      <c r="BY48" s="109"/>
      <c r="BZ48" s="109"/>
      <c r="CA48" s="109"/>
      <c r="CB48" s="109"/>
      <c r="CC48" s="109"/>
      <c r="CD48" s="109"/>
      <c r="CE48" s="109"/>
      <c r="CF48" s="109"/>
      <c r="CG48" s="109"/>
      <c r="CH48" s="60"/>
      <c r="CI48" s="174"/>
      <c r="CJ48" s="174"/>
      <c r="CK48" s="174"/>
      <c r="CL48" s="174"/>
      <c r="CM48" s="174"/>
      <c r="CN48" s="174"/>
      <c r="CO48" s="766"/>
      <c r="CP48" s="767"/>
      <c r="CQ48" s="768"/>
      <c r="CR48" s="770"/>
      <c r="CS48" s="767"/>
      <c r="CT48" s="768"/>
      <c r="CU48" s="770"/>
      <c r="CV48" s="767"/>
      <c r="CW48" s="772"/>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K49" s="174"/>
      <c r="BL49" s="1"/>
      <c r="BM49" s="174"/>
      <c r="BN49" s="174"/>
      <c r="BO49" s="174"/>
      <c r="BP49" s="174"/>
      <c r="BQ49" s="174"/>
      <c r="BR49" s="174"/>
      <c r="BS49" s="174"/>
      <c r="BT49" s="174"/>
      <c r="BU49" s="174"/>
      <c r="BV49" s="174"/>
      <c r="BW49" s="58"/>
      <c r="BX49" s="109"/>
      <c r="BY49" s="109"/>
      <c r="BZ49" s="109"/>
      <c r="CA49" s="109"/>
      <c r="CB49" s="109"/>
      <c r="CC49" s="109"/>
      <c r="CD49" s="109"/>
      <c r="CE49" s="109"/>
      <c r="CF49" s="109"/>
      <c r="CG49" s="109"/>
      <c r="CH49" s="60"/>
      <c r="CI49" s="763"/>
      <c r="CJ49" s="764"/>
      <c r="CK49" s="771"/>
      <c r="CL49" s="174"/>
      <c r="CM49" s="174"/>
      <c r="CN49" s="174"/>
      <c r="CO49" s="766"/>
      <c r="CP49" s="767"/>
      <c r="CQ49" s="768"/>
      <c r="CR49" s="770"/>
      <c r="CS49" s="767"/>
      <c r="CT49" s="768"/>
      <c r="CU49" s="770"/>
      <c r="CV49" s="767"/>
      <c r="CW49" s="772"/>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K50" s="174"/>
      <c r="BL50" s="1"/>
      <c r="BM50" s="174"/>
      <c r="BN50" s="174"/>
      <c r="BO50" s="174"/>
      <c r="BP50" s="174"/>
      <c r="BQ50" s="174"/>
      <c r="BR50" s="174"/>
      <c r="BS50" s="174"/>
      <c r="BT50" s="174"/>
      <c r="BU50" s="174"/>
      <c r="BV50" s="174"/>
      <c r="BW50" s="58"/>
      <c r="BX50" s="109"/>
      <c r="BY50" s="763"/>
      <c r="BZ50" s="764"/>
      <c r="CA50" s="764"/>
      <c r="CB50" s="764"/>
      <c r="CC50" s="764"/>
      <c r="CD50" s="764"/>
      <c r="CE50" s="764"/>
      <c r="CF50" s="771"/>
      <c r="CG50" s="109"/>
      <c r="CH50" s="60"/>
      <c r="CI50" s="766"/>
      <c r="CJ50" s="767"/>
      <c r="CK50" s="772"/>
      <c r="CL50" s="174"/>
      <c r="CM50" s="174"/>
      <c r="CN50" s="174"/>
      <c r="CO50" s="849"/>
      <c r="CP50" s="705"/>
      <c r="CQ50" s="850"/>
      <c r="CR50" s="851"/>
      <c r="CS50" s="705"/>
      <c r="CT50" s="850"/>
      <c r="CU50" s="851"/>
      <c r="CV50" s="705"/>
      <c r="CW50" s="852"/>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K51" s="174"/>
      <c r="BL51" s="1"/>
      <c r="BM51" s="174"/>
      <c r="BN51" s="174"/>
      <c r="BO51" s="174"/>
      <c r="BP51" s="174"/>
      <c r="BQ51" s="174"/>
      <c r="BR51" s="174"/>
      <c r="BS51" s="174"/>
      <c r="BT51" s="174"/>
      <c r="BU51" s="174"/>
      <c r="BV51" s="174"/>
      <c r="BW51" s="58"/>
      <c r="BX51" s="109"/>
      <c r="BY51" s="766"/>
      <c r="BZ51" s="767"/>
      <c r="CA51" s="767"/>
      <c r="CB51" s="767"/>
      <c r="CC51" s="767"/>
      <c r="CD51" s="767"/>
      <c r="CE51" s="767"/>
      <c r="CF51" s="772"/>
      <c r="CG51" s="109"/>
      <c r="CH51" s="60"/>
      <c r="CI51" s="766"/>
      <c r="CJ51" s="767"/>
      <c r="CK51" s="772"/>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K52" s="174"/>
      <c r="BL52" s="1"/>
      <c r="BM52" s="174"/>
      <c r="BN52" s="174"/>
      <c r="BO52" s="174"/>
      <c r="BP52" s="174"/>
      <c r="BQ52" s="174"/>
      <c r="BR52" s="174"/>
      <c r="BS52" s="174"/>
      <c r="BT52" s="174"/>
      <c r="BU52" s="174"/>
      <c r="BV52" s="174"/>
      <c r="BW52" s="58"/>
      <c r="BX52" s="109"/>
      <c r="BY52" s="766"/>
      <c r="BZ52" s="767"/>
      <c r="CA52" s="767"/>
      <c r="CB52" s="767"/>
      <c r="CC52" s="767"/>
      <c r="CD52" s="767"/>
      <c r="CE52" s="767"/>
      <c r="CF52" s="772"/>
      <c r="CG52" s="109"/>
      <c r="CH52" s="60"/>
      <c r="CI52" s="766"/>
      <c r="CJ52" s="767"/>
      <c r="CK52" s="772"/>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K53" s="174"/>
      <c r="BL53" s="1"/>
      <c r="BM53" s="174"/>
      <c r="BN53" s="174"/>
      <c r="BO53" s="174"/>
      <c r="BP53" s="174"/>
      <c r="BQ53" s="174"/>
      <c r="BR53" s="174"/>
      <c r="BS53" s="174"/>
      <c r="BT53" s="174"/>
      <c r="BU53" s="174"/>
      <c r="BV53" s="174"/>
      <c r="BW53" s="58"/>
      <c r="BX53" s="109"/>
      <c r="BY53" s="1833">
        <f>(CE59/RTAF/CF59)+(CI54/CI55)</f>
        <v>923.03921568627459</v>
      </c>
      <c r="BZ53" s="1834"/>
      <c r="CA53" s="1834"/>
      <c r="CB53" s="1834"/>
      <c r="CC53" s="1834"/>
      <c r="CD53" s="1834"/>
      <c r="CE53" s="1834"/>
      <c r="CF53" s="1835"/>
      <c r="CG53" s="109"/>
      <c r="CH53" s="60"/>
      <c r="CI53" s="918" t="s">
        <v>99</v>
      </c>
      <c r="CJ53" s="919"/>
      <c r="CK53" s="922"/>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728">
        <f>BY53</f>
        <v>923.03921568627459</v>
      </c>
      <c r="AS54" s="861"/>
      <c r="AT54" s="861"/>
      <c r="AU54" s="861"/>
      <c r="AV54" s="861"/>
      <c r="AW54" s="861"/>
      <c r="AX54" s="861"/>
      <c r="AY54" s="861"/>
      <c r="AZ54" s="861"/>
      <c r="BA54" s="862"/>
      <c r="BB54" s="174"/>
      <c r="BC54" s="174"/>
      <c r="BD54" s="174"/>
      <c r="BE54" s="174"/>
      <c r="BF54" s="174"/>
      <c r="BG54" s="174"/>
      <c r="BH54" s="174"/>
      <c r="BI54" s="177"/>
      <c r="BK54" s="174"/>
      <c r="BL54" s="1"/>
      <c r="BM54" s="174"/>
      <c r="BN54" s="174"/>
      <c r="BO54" s="174"/>
      <c r="BP54" s="174"/>
      <c r="BQ54" s="174"/>
      <c r="BR54" s="174"/>
      <c r="BS54" s="174"/>
      <c r="BT54" s="174"/>
      <c r="BU54" s="174"/>
      <c r="BV54" s="174"/>
      <c r="BW54" s="58"/>
      <c r="BX54" s="109"/>
      <c r="BY54" s="1833"/>
      <c r="BZ54" s="1834"/>
      <c r="CA54" s="1834"/>
      <c r="CB54" s="1834"/>
      <c r="CC54" s="1834"/>
      <c r="CD54" s="1834"/>
      <c r="CE54" s="1834"/>
      <c r="CF54" s="1835"/>
      <c r="CG54" s="109"/>
      <c r="CH54" s="60"/>
      <c r="CI54" s="923">
        <f>CV35+CI30</f>
        <v>2035</v>
      </c>
      <c r="CJ54" s="924"/>
      <c r="CK54" s="927"/>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863"/>
      <c r="AS55" s="864"/>
      <c r="AT55" s="864"/>
      <c r="AU55" s="864"/>
      <c r="AV55" s="864"/>
      <c r="AW55" s="864"/>
      <c r="AX55" s="864"/>
      <c r="AY55" s="864"/>
      <c r="AZ55" s="864"/>
      <c r="BA55" s="865"/>
      <c r="BB55" s="174"/>
      <c r="BC55" s="174"/>
      <c r="BD55" s="174"/>
      <c r="BE55" s="174"/>
      <c r="BF55" s="174"/>
      <c r="BG55" s="174"/>
      <c r="BH55" s="174"/>
      <c r="BI55" s="177"/>
      <c r="BK55" s="174"/>
      <c r="BL55" s="1"/>
      <c r="BM55" s="174"/>
      <c r="BN55" s="174"/>
      <c r="BO55" s="174"/>
      <c r="BP55" s="174"/>
      <c r="BQ55" s="174"/>
      <c r="BR55" s="174"/>
      <c r="BS55" s="174"/>
      <c r="BT55" s="174"/>
      <c r="BU55" s="174"/>
      <c r="BV55" s="174"/>
      <c r="BW55" s="58"/>
      <c r="BX55" s="109"/>
      <c r="BY55" s="1836"/>
      <c r="BZ55" s="1837"/>
      <c r="CA55" s="1837"/>
      <c r="CB55" s="1837"/>
      <c r="CC55" s="1837"/>
      <c r="CD55" s="1837"/>
      <c r="CE55" s="1837"/>
      <c r="CF55" s="1838"/>
      <c r="CG55" s="109"/>
      <c r="CH55" s="60"/>
      <c r="CI55" s="1880">
        <f>CI31</f>
        <v>3</v>
      </c>
      <c r="CJ55" s="1881"/>
      <c r="CK55" s="1882"/>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866"/>
      <c r="AS56" s="867"/>
      <c r="AT56" s="867"/>
      <c r="AU56" s="867"/>
      <c r="AV56" s="867"/>
      <c r="AW56" s="867"/>
      <c r="AX56" s="867"/>
      <c r="AY56" s="867"/>
      <c r="AZ56" s="867"/>
      <c r="BA56" s="868"/>
      <c r="BB56" s="174"/>
      <c r="BC56" s="174"/>
      <c r="BD56" s="174"/>
      <c r="BE56" s="174"/>
      <c r="BF56" s="174"/>
      <c r="BG56" s="174"/>
      <c r="BH56" s="174"/>
      <c r="BI56" s="177"/>
      <c r="BK56" s="174"/>
      <c r="BL56" s="1"/>
      <c r="BM56" s="174"/>
      <c r="BN56" s="174"/>
      <c r="BO56" s="174"/>
      <c r="BP56" s="174"/>
      <c r="BQ56" s="174"/>
      <c r="BR56" s="174"/>
      <c r="BS56" s="174"/>
      <c r="BT56" s="174"/>
      <c r="BU56" s="174"/>
      <c r="BV56" s="174"/>
      <c r="BW56" s="58"/>
      <c r="BX56" s="109"/>
      <c r="BY56" s="109"/>
      <c r="BZ56" s="109"/>
      <c r="CA56" s="109"/>
      <c r="CB56" s="109"/>
      <c r="CC56" s="109"/>
      <c r="CD56" s="109"/>
      <c r="CE56" s="109"/>
      <c r="CF56" s="109"/>
      <c r="CG56" s="109"/>
      <c r="CH56" s="60"/>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713">
        <f>ROUND(AR54/CLV_Limit,2)</f>
        <v>0.57999999999999996</v>
      </c>
      <c r="AS57" s="714"/>
      <c r="AT57" s="714"/>
      <c r="AU57" s="714"/>
      <c r="AV57" s="715"/>
      <c r="AW57" s="722" t="s">
        <v>100</v>
      </c>
      <c r="AX57" s="722"/>
      <c r="AY57" s="722"/>
      <c r="AZ57" s="722"/>
      <c r="BA57" s="723"/>
      <c r="BB57" s="174"/>
      <c r="BC57" s="174"/>
      <c r="BD57" s="174"/>
      <c r="BE57" s="174"/>
      <c r="BF57" s="174"/>
      <c r="BG57" s="174"/>
      <c r="BH57" s="174"/>
      <c r="BI57" s="177"/>
      <c r="BK57" s="174"/>
      <c r="BL57" s="1"/>
      <c r="BM57" s="174"/>
      <c r="BN57" s="174"/>
      <c r="BO57" s="174"/>
      <c r="BP57" s="174"/>
      <c r="BQ57" s="174"/>
      <c r="BR57" s="174"/>
      <c r="BS57" s="174"/>
      <c r="BT57" s="174"/>
      <c r="BU57" s="174"/>
      <c r="BV57" s="174"/>
      <c r="BW57" s="58"/>
      <c r="BX57" s="109"/>
      <c r="BY57" s="109"/>
      <c r="BZ57" s="109"/>
      <c r="CA57" s="109"/>
      <c r="CB57" s="109"/>
      <c r="CC57" s="109"/>
      <c r="CD57" s="109"/>
      <c r="CE57" s="109"/>
      <c r="CF57" s="109"/>
      <c r="CG57" s="109"/>
      <c r="CH57" s="60"/>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716"/>
      <c r="AS58" s="717"/>
      <c r="AT58" s="717"/>
      <c r="AU58" s="717"/>
      <c r="AV58" s="718"/>
      <c r="AW58" s="724"/>
      <c r="AX58" s="724"/>
      <c r="AY58" s="724"/>
      <c r="AZ58" s="724"/>
      <c r="BA58" s="725"/>
      <c r="BB58" s="174"/>
      <c r="BC58" s="174"/>
      <c r="BD58" s="174"/>
      <c r="BE58" s="174"/>
      <c r="BF58" s="174"/>
      <c r="BG58" s="174"/>
      <c r="BH58" s="174"/>
      <c r="BI58" s="177"/>
      <c r="BK58" s="174"/>
      <c r="BL58" s="1"/>
      <c r="BM58" s="174"/>
      <c r="BN58" s="174"/>
      <c r="BO58" s="174"/>
      <c r="BP58" s="174"/>
      <c r="BQ58" s="174"/>
      <c r="BR58" s="174"/>
      <c r="BS58" s="174"/>
      <c r="BT58" s="174"/>
      <c r="BU58" s="174"/>
      <c r="BV58" s="174"/>
      <c r="BW58" s="61"/>
      <c r="BX58" s="110"/>
      <c r="BY58" s="110"/>
      <c r="BZ58" s="110"/>
      <c r="CA58" s="110"/>
      <c r="CB58" s="110"/>
      <c r="CC58" s="110"/>
      <c r="CD58" s="110"/>
      <c r="CE58" s="110"/>
      <c r="CF58" s="110"/>
      <c r="CG58" s="110"/>
      <c r="CH58" s="63"/>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719"/>
      <c r="AS59" s="720"/>
      <c r="AT59" s="720"/>
      <c r="AU59" s="720"/>
      <c r="AV59" s="721"/>
      <c r="AW59" s="726"/>
      <c r="AX59" s="726"/>
      <c r="AY59" s="726"/>
      <c r="AZ59" s="726"/>
      <c r="BA59" s="727"/>
      <c r="BB59" s="174"/>
      <c r="BC59" s="174"/>
      <c r="BD59" s="174"/>
      <c r="BE59" s="174"/>
      <c r="BF59" s="174"/>
      <c r="BG59" s="174"/>
      <c r="BH59" s="174"/>
      <c r="BI59" s="177"/>
      <c r="BK59" s="174"/>
      <c r="BL59" s="1"/>
      <c r="BM59" s="174"/>
      <c r="BN59" s="174"/>
      <c r="BO59" s="174"/>
      <c r="BP59" s="174"/>
      <c r="BQ59" s="174"/>
      <c r="BR59" s="174"/>
      <c r="BS59" s="174"/>
      <c r="BT59" s="174"/>
      <c r="BU59" s="174"/>
      <c r="BV59" s="174"/>
      <c r="BW59" s="174"/>
      <c r="BX59" s="174"/>
      <c r="BY59" s="174"/>
      <c r="BZ59" s="788"/>
      <c r="CA59" s="789"/>
      <c r="CB59" s="789"/>
      <c r="CC59" s="789"/>
      <c r="CD59" s="901" t="s">
        <v>99</v>
      </c>
      <c r="CE59" s="904">
        <f>EBR_Master</f>
        <v>208</v>
      </c>
      <c r="CF59" s="950">
        <v>1</v>
      </c>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K60" s="174"/>
      <c r="BL60" s="1"/>
      <c r="BM60" s="174"/>
      <c r="BN60" s="174"/>
      <c r="BO60" s="174"/>
      <c r="BP60" s="174"/>
      <c r="BQ60" s="174"/>
      <c r="BR60" s="174"/>
      <c r="BS60" s="174"/>
      <c r="BT60" s="174"/>
      <c r="BU60" s="174"/>
      <c r="BV60" s="174"/>
      <c r="BW60" s="174"/>
      <c r="BX60" s="174"/>
      <c r="BY60" s="174"/>
      <c r="BZ60" s="790"/>
      <c r="CA60" s="791"/>
      <c r="CB60" s="791"/>
      <c r="CC60" s="791"/>
      <c r="CD60" s="902"/>
      <c r="CE60" s="905"/>
      <c r="CF60" s="938"/>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K61" s="174"/>
      <c r="BL61" s="1"/>
      <c r="BM61" s="174"/>
      <c r="BN61" s="174"/>
      <c r="BO61" s="174"/>
      <c r="BP61" s="174"/>
      <c r="BQ61" s="174"/>
      <c r="BR61" s="174"/>
      <c r="BS61" s="174"/>
      <c r="BT61" s="174"/>
      <c r="BU61" s="174"/>
      <c r="BV61" s="174"/>
      <c r="BW61" s="174"/>
      <c r="BX61" s="174"/>
      <c r="BY61" s="174"/>
      <c r="BZ61" s="824"/>
      <c r="CA61" s="825"/>
      <c r="CB61" s="825"/>
      <c r="CC61" s="825"/>
      <c r="CD61" s="959"/>
      <c r="CE61" s="960"/>
      <c r="CF61" s="965"/>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29"/>
      <c r="F66" s="28"/>
      <c r="G66" s="28"/>
      <c r="H66" s="28"/>
      <c r="I66" s="28"/>
      <c r="J66" s="28"/>
      <c r="K66" s="28"/>
      <c r="L66" s="28"/>
      <c r="M66" s="28"/>
      <c r="N66" s="28"/>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28"/>
      <c r="F67" s="28"/>
      <c r="G67" s="28"/>
      <c r="H67" s="28"/>
      <c r="I67" s="28"/>
      <c r="J67" s="28"/>
      <c r="K67" s="28"/>
      <c r="L67" s="28"/>
      <c r="M67" s="28"/>
      <c r="N67" s="28"/>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28"/>
      <c r="F68" s="28"/>
      <c r="G68" s="28"/>
      <c r="H68" s="28"/>
      <c r="I68" s="28"/>
      <c r="J68" s="28"/>
      <c r="K68" s="28"/>
      <c r="L68" s="28"/>
      <c r="M68" s="28"/>
      <c r="N68" s="28"/>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27"/>
      <c r="F69" s="27"/>
      <c r="G69" s="27"/>
      <c r="H69" s="27"/>
      <c r="I69" s="27"/>
      <c r="J69" s="27"/>
      <c r="K69" s="27"/>
      <c r="L69" s="27"/>
      <c r="M69" s="27"/>
      <c r="N69" s="27"/>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27"/>
      <c r="F70" s="27"/>
      <c r="G70" s="27"/>
      <c r="H70" s="27"/>
      <c r="I70" s="27"/>
      <c r="J70" s="27"/>
      <c r="K70" s="27"/>
      <c r="L70" s="27"/>
      <c r="M70" s="27"/>
      <c r="N70" s="27"/>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13.15" hidden="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83">
    <mergeCell ref="CO47:CQ50"/>
    <mergeCell ref="CR47:CT50"/>
    <mergeCell ref="CU47:CW50"/>
    <mergeCell ref="BZ59:CC61"/>
    <mergeCell ref="CD59:CD61"/>
    <mergeCell ref="CE59:CE61"/>
    <mergeCell ref="CF59:CF61"/>
    <mergeCell ref="CI49:CK52"/>
    <mergeCell ref="BY50:CF52"/>
    <mergeCell ref="BY53:CF55"/>
    <mergeCell ref="CI53:CK53"/>
    <mergeCell ref="CI54:CK54"/>
    <mergeCell ref="CI55:CK55"/>
    <mergeCell ref="CO45:CQ45"/>
    <mergeCell ref="CR45:CT45"/>
    <mergeCell ref="CU45:CW45"/>
    <mergeCell ref="CO46:CQ46"/>
    <mergeCell ref="CR46:CT46"/>
    <mergeCell ref="CU46:CW46"/>
    <mergeCell ref="CU35:CU37"/>
    <mergeCell ref="CV35:CV37"/>
    <mergeCell ref="CW35:CW37"/>
    <mergeCell ref="CX35:DA37"/>
    <mergeCell ref="CO44:CQ44"/>
    <mergeCell ref="CR44:CT44"/>
    <mergeCell ref="CU44:CW44"/>
    <mergeCell ref="CF31:CH31"/>
    <mergeCell ref="CI31:CK31"/>
    <mergeCell ref="CL31:CN31"/>
    <mergeCell ref="CB38:CE40"/>
    <mergeCell ref="CF38:CF40"/>
    <mergeCell ref="CG38:CG40"/>
    <mergeCell ref="CH38:CH40"/>
    <mergeCell ref="CK38:CR40"/>
    <mergeCell ref="CK35:CR37"/>
    <mergeCell ref="CF29:CH29"/>
    <mergeCell ref="CI29:CK29"/>
    <mergeCell ref="CL29:CN29"/>
    <mergeCell ref="CF30:CH30"/>
    <mergeCell ref="CI30:CK30"/>
    <mergeCell ref="CL30:CN30"/>
    <mergeCell ref="CR20:CT20"/>
    <mergeCell ref="CW20:DD22"/>
    <mergeCell ref="CR21:CT21"/>
    <mergeCell ref="CR22:CT22"/>
    <mergeCell ref="BL1:DS2"/>
    <mergeCell ref="BL3:DS4"/>
    <mergeCell ref="CW14:CW16"/>
    <mergeCell ref="CX14:CX16"/>
    <mergeCell ref="CY14:CY16"/>
    <mergeCell ref="CZ14:DC16"/>
    <mergeCell ref="CR23:CT26"/>
    <mergeCell ref="CW23:DD25"/>
    <mergeCell ref="CF25:CH28"/>
    <mergeCell ref="CI25:CK28"/>
    <mergeCell ref="CL25:CN28"/>
    <mergeCell ref="N74:AW74"/>
    <mergeCell ref="B1:BI2"/>
    <mergeCell ref="B3:BI4"/>
    <mergeCell ref="C6:J7"/>
    <mergeCell ref="K6:AJ7"/>
    <mergeCell ref="AK6:BH7"/>
    <mergeCell ref="AK8:AP9"/>
    <mergeCell ref="AQ8:AV9"/>
    <mergeCell ref="AW8:BB9"/>
    <mergeCell ref="BC8:BH9"/>
    <mergeCell ref="AK10:AV13"/>
    <mergeCell ref="AW10:BH13"/>
    <mergeCell ref="C8:J9"/>
    <mergeCell ref="K8:AJ9"/>
    <mergeCell ref="AR26:BA28"/>
    <mergeCell ref="C10:J11"/>
    <mergeCell ref="K10:AJ11"/>
    <mergeCell ref="C12:J13"/>
    <mergeCell ref="K12:AJ13"/>
    <mergeCell ref="AR57:AV59"/>
    <mergeCell ref="AR40:BA42"/>
    <mergeCell ref="AR54:BA56"/>
    <mergeCell ref="AR29:AV31"/>
    <mergeCell ref="AW29:BA31"/>
    <mergeCell ref="AR43:AV45"/>
    <mergeCell ref="AW43:BA45"/>
    <mergeCell ref="AW57:BA59"/>
  </mergeCells>
  <conditionalFormatting sqref="AW10 AR29 AR43 AR57">
    <cfRule type="cellIs" dxfId="11" priority="19" operator="between">
      <formula>0.75</formula>
      <formula>0.875</formula>
    </cfRule>
    <cfRule type="cellIs" dxfId="10" priority="20" operator="between">
      <formula>0.875</formula>
      <formula>1</formula>
    </cfRule>
    <cfRule type="cellIs" dxfId="9" priority="21" operator="greaterThan">
      <formula>1</formula>
    </cfRule>
  </conditionalFormatting>
  <conditionalFormatting sqref="CW23 AR26 CK38 AR40 BY53 AR54">
    <cfRule type="cellIs" dxfId="8" priority="36" operator="between">
      <formula>0.75*CLV_Limit</formula>
      <formula>0.875*CLV_Limit-1</formula>
    </cfRule>
    <cfRule type="cellIs" dxfId="7" priority="37" operator="between">
      <formula>0.875*CLV_Limit</formula>
      <formula>CLV_Limit-1</formula>
    </cfRule>
    <cfRule type="cellIs" dxfId="6" priority="39" operator="greaterThan">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theme="1" tint="0.34998626667073579"/>
  </sheetPr>
  <dimension ref="B1:FE484"/>
  <sheetViews>
    <sheetView showGridLines="0" showRowColHeaders="0" showRuler="0" topLeftCell="A40" zoomScaleNormal="100" workbookViewId="0">
      <selection activeCell="R77" sqref="R77:T77"/>
    </sheetView>
  </sheetViews>
  <sheetFormatPr defaultColWidth="0" defaultRowHeight="12.75"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0" width="1.7109375" hidden="1" customWidth="1"/>
    <col min="161" max="161" width="0.28515625" hidden="1" customWidth="1"/>
  </cols>
  <sheetData>
    <row r="1" spans="2:80" ht="9.9499999999999993" customHeight="1">
      <c r="B1" s="571" t="s">
        <v>168</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1210" t="s">
        <v>102</v>
      </c>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c r="BL3" s="1211"/>
      <c r="BM3" s="1211"/>
      <c r="BN3" s="1211"/>
      <c r="BO3" s="1211"/>
      <c r="BP3" s="1211"/>
      <c r="BQ3" s="1211"/>
      <c r="BR3" s="1211"/>
      <c r="BS3" s="1211"/>
      <c r="BT3" s="1211"/>
      <c r="BU3" s="1211"/>
      <c r="BV3" s="1211"/>
      <c r="BW3" s="1211"/>
      <c r="BX3" s="1211"/>
      <c r="BY3" s="1211"/>
      <c r="BZ3" s="1211"/>
      <c r="CA3" s="1211"/>
      <c r="CB3" s="1212"/>
    </row>
    <row r="4" spans="2:80" ht="9.9499999999999993" customHeight="1">
      <c r="B4" s="1210"/>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1211"/>
      <c r="AK4" s="1211"/>
      <c r="AL4" s="1211"/>
      <c r="AM4" s="1211"/>
      <c r="AN4" s="1211"/>
      <c r="AO4" s="1211"/>
      <c r="AP4" s="1211"/>
      <c r="AQ4" s="1211"/>
      <c r="AR4" s="1211"/>
      <c r="AS4" s="1211"/>
      <c r="AT4" s="1211"/>
      <c r="AU4" s="1211"/>
      <c r="AV4" s="1211"/>
      <c r="AW4" s="1211"/>
      <c r="AX4" s="1211"/>
      <c r="AY4" s="1211"/>
      <c r="AZ4" s="1211"/>
      <c r="BA4" s="1211"/>
      <c r="BB4" s="1211"/>
      <c r="BC4" s="1211"/>
      <c r="BD4" s="1211"/>
      <c r="BE4" s="1211"/>
      <c r="BF4" s="1211"/>
      <c r="BG4" s="1211"/>
      <c r="BH4" s="1211"/>
      <c r="BI4" s="1211"/>
      <c r="BJ4" s="1211"/>
      <c r="BK4" s="1211"/>
      <c r="BL4" s="1211"/>
      <c r="BM4" s="1211"/>
      <c r="BN4" s="1211"/>
      <c r="BO4" s="1211"/>
      <c r="BP4" s="1211"/>
      <c r="BQ4" s="1211"/>
      <c r="BR4" s="1211"/>
      <c r="BS4" s="1211"/>
      <c r="BT4" s="1211"/>
      <c r="BU4" s="1211"/>
      <c r="BV4" s="1211"/>
      <c r="BW4" s="1211"/>
      <c r="BX4" s="1211"/>
      <c r="BY4" s="1211"/>
      <c r="BZ4" s="1211"/>
      <c r="CA4" s="1211"/>
      <c r="CB4" s="1212"/>
    </row>
    <row r="5" spans="2:80"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c r="AT6" s="1019"/>
      <c r="AU6" s="1019"/>
      <c r="AV6" s="1019"/>
      <c r="AW6" s="1019"/>
      <c r="AX6" s="1019"/>
      <c r="AY6" s="1019"/>
      <c r="AZ6" s="1019"/>
      <c r="BA6" s="1019"/>
      <c r="BB6" s="1019"/>
      <c r="BC6" s="1020"/>
      <c r="BD6" s="757" t="s">
        <v>41</v>
      </c>
      <c r="BE6" s="758"/>
      <c r="BF6" s="758"/>
      <c r="BG6" s="758"/>
      <c r="BH6" s="758"/>
      <c r="BI6" s="758"/>
      <c r="BJ6" s="758"/>
      <c r="BK6" s="758"/>
      <c r="BL6" s="758"/>
      <c r="BM6" s="758"/>
      <c r="BN6" s="758"/>
      <c r="BO6" s="758"/>
      <c r="BP6" s="758"/>
      <c r="BQ6" s="758"/>
      <c r="BR6" s="758"/>
      <c r="BS6" s="758"/>
      <c r="BT6" s="758"/>
      <c r="BU6" s="758"/>
      <c r="BV6" s="758"/>
      <c r="BW6" s="758"/>
      <c r="BX6" s="758"/>
      <c r="BY6" s="758"/>
      <c r="BZ6" s="758"/>
      <c r="CA6" s="759"/>
      <c r="CB6" s="177"/>
    </row>
    <row r="7" spans="2:80"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3"/>
      <c r="BD7" s="760"/>
      <c r="BE7" s="761"/>
      <c r="BF7" s="761"/>
      <c r="BG7" s="761"/>
      <c r="BH7" s="761"/>
      <c r="BI7" s="761"/>
      <c r="BJ7" s="761"/>
      <c r="BK7" s="761"/>
      <c r="BL7" s="761"/>
      <c r="BM7" s="761"/>
      <c r="BN7" s="761"/>
      <c r="BO7" s="761"/>
      <c r="BP7" s="761"/>
      <c r="BQ7" s="761"/>
      <c r="BR7" s="761"/>
      <c r="BS7" s="761"/>
      <c r="BT7" s="761"/>
      <c r="BU7" s="761"/>
      <c r="BV7" s="761"/>
      <c r="BW7" s="761"/>
      <c r="BX7" s="761"/>
      <c r="BY7" s="761"/>
      <c r="BZ7" s="761"/>
      <c r="CA7" s="762"/>
      <c r="CB7" s="177"/>
    </row>
    <row r="8" spans="2:80"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c r="AT8" s="1025"/>
      <c r="AU8" s="1025"/>
      <c r="AV8" s="1025"/>
      <c r="AW8" s="1025"/>
      <c r="AX8" s="1025"/>
      <c r="AY8" s="1025"/>
      <c r="AZ8" s="1025"/>
      <c r="BA8" s="1025"/>
      <c r="BB8" s="1025"/>
      <c r="BC8" s="1206"/>
      <c r="BD8" s="744" t="str">
        <f xml:space="preserve"> "&lt; " &amp; 0.75*CLV_Limit</f>
        <v>&lt; 1200</v>
      </c>
      <c r="BE8" s="745"/>
      <c r="BF8" s="745"/>
      <c r="BG8" s="745"/>
      <c r="BH8" s="745"/>
      <c r="BI8" s="745"/>
      <c r="BJ8" s="748" t="str">
        <f xml:space="preserve"> ROUND(0.75*CLV_Limit,0) &amp; " - " &amp; ROUND(0.875*CLV_Limit-1,0)</f>
        <v>1200 - 1399</v>
      </c>
      <c r="BK8" s="748"/>
      <c r="BL8" s="748"/>
      <c r="BM8" s="748"/>
      <c r="BN8" s="748"/>
      <c r="BO8" s="748"/>
      <c r="BP8" s="750" t="str">
        <f>ROUND(0.875*CLV_Limit,0)&amp;" - "&amp; ROUND(CLV_Limit-1,0)</f>
        <v>1400 - 1599</v>
      </c>
      <c r="BQ8" s="750"/>
      <c r="BR8" s="750"/>
      <c r="BS8" s="750"/>
      <c r="BT8" s="750"/>
      <c r="BU8" s="750"/>
      <c r="BV8" s="752" t="str">
        <f>"≥ " &amp;CLV_Limit</f>
        <v>≥ 1600</v>
      </c>
      <c r="BW8" s="752"/>
      <c r="BX8" s="752"/>
      <c r="BY8" s="752"/>
      <c r="BZ8" s="752"/>
      <c r="CA8" s="753"/>
      <c r="CB8" s="177"/>
    </row>
    <row r="9" spans="2:80"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207"/>
      <c r="BD9" s="746"/>
      <c r="BE9" s="747"/>
      <c r="BF9" s="747"/>
      <c r="BG9" s="747"/>
      <c r="BH9" s="747"/>
      <c r="BI9" s="747"/>
      <c r="BJ9" s="749"/>
      <c r="BK9" s="749"/>
      <c r="BL9" s="749"/>
      <c r="BM9" s="749"/>
      <c r="BN9" s="749"/>
      <c r="BO9" s="749"/>
      <c r="BP9" s="751"/>
      <c r="BQ9" s="751"/>
      <c r="BR9" s="751"/>
      <c r="BS9" s="751"/>
      <c r="BT9" s="751"/>
      <c r="BU9" s="751"/>
      <c r="BV9" s="754"/>
      <c r="BW9" s="754"/>
      <c r="BX9" s="754"/>
      <c r="BY9" s="754"/>
      <c r="BZ9" s="754"/>
      <c r="CA9" s="755"/>
      <c r="CB9" s="177"/>
    </row>
    <row r="10" spans="2:80"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206"/>
      <c r="BD10" s="712" t="s">
        <v>98</v>
      </c>
      <c r="BE10" s="1913"/>
      <c r="BF10" s="1913"/>
      <c r="BG10" s="1913"/>
      <c r="BH10" s="1913"/>
      <c r="BI10" s="1913"/>
      <c r="BJ10" s="1913"/>
      <c r="BK10" s="1913"/>
      <c r="BL10" s="1913"/>
      <c r="BM10" s="1913"/>
      <c r="BN10" s="1913"/>
      <c r="BO10" s="1914"/>
      <c r="BP10" s="706">
        <f xml:space="preserve"> MAX(ROUND(T17/CLV_Limit,2),ROUND(AJ17/CLV_Limit,2),ROUND(AZ17/CLV_Limit,2))</f>
        <v>0.99</v>
      </c>
      <c r="BQ10" s="706"/>
      <c r="BR10" s="706"/>
      <c r="BS10" s="706"/>
      <c r="BT10" s="706"/>
      <c r="BU10" s="706"/>
      <c r="BV10" s="706"/>
      <c r="BW10" s="706"/>
      <c r="BX10" s="706"/>
      <c r="BY10" s="706"/>
      <c r="BZ10" s="706"/>
      <c r="CA10" s="707"/>
      <c r="CB10" s="177"/>
    </row>
    <row r="11" spans="2:80"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207"/>
      <c r="BD11" s="1915"/>
      <c r="BE11" s="1916"/>
      <c r="BF11" s="1916"/>
      <c r="BG11" s="1916"/>
      <c r="BH11" s="1916"/>
      <c r="BI11" s="1916"/>
      <c r="BJ11" s="1916"/>
      <c r="BK11" s="1916"/>
      <c r="BL11" s="1916"/>
      <c r="BM11" s="1916"/>
      <c r="BN11" s="1916"/>
      <c r="BO11" s="1917"/>
      <c r="BP11" s="708"/>
      <c r="BQ11" s="708"/>
      <c r="BR11" s="708"/>
      <c r="BS11" s="708"/>
      <c r="BT11" s="708"/>
      <c r="BU11" s="708"/>
      <c r="BV11" s="708"/>
      <c r="BW11" s="708"/>
      <c r="BX11" s="708"/>
      <c r="BY11" s="708"/>
      <c r="BZ11" s="708"/>
      <c r="CA11" s="709"/>
      <c r="CB11" s="177"/>
    </row>
    <row r="12" spans="2:80"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c r="AT12" s="1029"/>
      <c r="AU12" s="1029"/>
      <c r="AV12" s="1029"/>
      <c r="AW12" s="1029"/>
      <c r="AX12" s="1029"/>
      <c r="AY12" s="1029"/>
      <c r="AZ12" s="1029"/>
      <c r="BA12" s="1029"/>
      <c r="BB12" s="1029"/>
      <c r="BC12" s="1208"/>
      <c r="BD12" s="1915"/>
      <c r="BE12" s="1916"/>
      <c r="BF12" s="1916"/>
      <c r="BG12" s="1916"/>
      <c r="BH12" s="1916"/>
      <c r="BI12" s="1916"/>
      <c r="BJ12" s="1916"/>
      <c r="BK12" s="1916"/>
      <c r="BL12" s="1916"/>
      <c r="BM12" s="1916"/>
      <c r="BN12" s="1916"/>
      <c r="BO12" s="1917"/>
      <c r="BP12" s="708"/>
      <c r="BQ12" s="708"/>
      <c r="BR12" s="708"/>
      <c r="BS12" s="708"/>
      <c r="BT12" s="708"/>
      <c r="BU12" s="708"/>
      <c r="BV12" s="708"/>
      <c r="BW12" s="708"/>
      <c r="BX12" s="708"/>
      <c r="BY12" s="708"/>
      <c r="BZ12" s="708"/>
      <c r="CA12" s="709"/>
      <c r="CB12" s="177"/>
    </row>
    <row r="13" spans="2:80"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209"/>
      <c r="BD13" s="1918"/>
      <c r="BE13" s="1919"/>
      <c r="BF13" s="1919"/>
      <c r="BG13" s="1919"/>
      <c r="BH13" s="1919"/>
      <c r="BI13" s="1919"/>
      <c r="BJ13" s="1919"/>
      <c r="BK13" s="1919"/>
      <c r="BL13" s="1919"/>
      <c r="BM13" s="1919"/>
      <c r="BN13" s="1919"/>
      <c r="BO13" s="1920"/>
      <c r="BP13" s="710"/>
      <c r="BQ13" s="710"/>
      <c r="BR13" s="710"/>
      <c r="BS13" s="710"/>
      <c r="BT13" s="710"/>
      <c r="BU13" s="710"/>
      <c r="BV13" s="710"/>
      <c r="BW13" s="710"/>
      <c r="BX13" s="710"/>
      <c r="BY13" s="710"/>
      <c r="BZ13" s="710"/>
      <c r="CA13" s="711"/>
      <c r="CB13" s="177"/>
    </row>
    <row r="14" spans="2:80"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c r="B17" s="1"/>
      <c r="C17" s="174"/>
      <c r="D17" s="174"/>
      <c r="E17" s="174"/>
      <c r="F17" s="174"/>
      <c r="G17" s="174"/>
      <c r="H17" s="174"/>
      <c r="I17" s="174"/>
      <c r="J17" s="174"/>
      <c r="K17" s="174"/>
      <c r="L17" s="174"/>
      <c r="M17" s="174"/>
      <c r="N17" s="174"/>
      <c r="O17" s="174"/>
      <c r="P17" s="174"/>
      <c r="Q17" s="174"/>
      <c r="R17" s="174"/>
      <c r="S17" s="174"/>
      <c r="T17" s="1893">
        <f>W75</f>
        <v>0</v>
      </c>
      <c r="U17" s="1894"/>
      <c r="V17" s="1894"/>
      <c r="W17" s="1894"/>
      <c r="X17" s="1894"/>
      <c r="Y17" s="1894"/>
      <c r="Z17" s="1894"/>
      <c r="AA17" s="1894"/>
      <c r="AB17" s="1894"/>
      <c r="AC17" s="1895"/>
      <c r="AD17" s="174"/>
      <c r="AE17" s="174"/>
      <c r="AF17" s="174"/>
      <c r="AG17" s="174"/>
      <c r="AH17" s="174"/>
      <c r="AI17" s="174"/>
      <c r="AJ17" s="1893">
        <f>AL87</f>
        <v>1585.2631578947371</v>
      </c>
      <c r="AK17" s="1894"/>
      <c r="AL17" s="1894"/>
      <c r="AM17" s="1894"/>
      <c r="AN17" s="1894"/>
      <c r="AO17" s="1894"/>
      <c r="AP17" s="1894"/>
      <c r="AQ17" s="1894"/>
      <c r="AR17" s="1894"/>
      <c r="AS17" s="1895"/>
      <c r="AT17" s="174"/>
      <c r="AU17" s="174"/>
      <c r="AV17" s="174"/>
      <c r="AW17" s="174"/>
      <c r="AX17" s="174"/>
      <c r="AY17" s="174"/>
      <c r="AZ17" s="1893">
        <f>BA99</f>
        <v>1449.392156862745</v>
      </c>
      <c r="BA17" s="1894"/>
      <c r="BB17" s="1894"/>
      <c r="BC17" s="1894"/>
      <c r="BD17" s="1894"/>
      <c r="BE17" s="1894"/>
      <c r="BF17" s="1894"/>
      <c r="BG17" s="1894"/>
      <c r="BH17" s="1894"/>
      <c r="BI17" s="1895"/>
      <c r="BJ17" s="174"/>
      <c r="BK17" s="174"/>
      <c r="BL17" s="174"/>
      <c r="BM17" s="174"/>
      <c r="BN17" s="174"/>
      <c r="BO17" s="174"/>
      <c r="BP17" s="174"/>
      <c r="BQ17" s="174"/>
      <c r="BR17" s="174"/>
      <c r="BS17" s="174"/>
      <c r="BT17" s="174"/>
      <c r="BU17" s="174"/>
      <c r="BV17" s="174"/>
      <c r="BW17" s="174"/>
      <c r="BX17" s="174"/>
      <c r="BY17" s="174"/>
      <c r="BZ17" s="174"/>
      <c r="CA17" s="174"/>
      <c r="CB17" s="177"/>
    </row>
    <row r="18" spans="2:80" ht="9.9499999999999993" customHeight="1">
      <c r="B18" s="1"/>
      <c r="C18" s="174"/>
      <c r="D18" s="174"/>
      <c r="E18" s="174"/>
      <c r="F18" s="174"/>
      <c r="G18" s="174"/>
      <c r="H18" s="174"/>
      <c r="I18" s="174"/>
      <c r="J18" s="174"/>
      <c r="K18" s="174"/>
      <c r="L18" s="174"/>
      <c r="M18" s="174"/>
      <c r="N18" s="174"/>
      <c r="O18" s="174"/>
      <c r="P18" s="174"/>
      <c r="Q18" s="174"/>
      <c r="R18" s="174"/>
      <c r="S18" s="174"/>
      <c r="T18" s="1896"/>
      <c r="U18" s="1897"/>
      <c r="V18" s="1897"/>
      <c r="W18" s="1897"/>
      <c r="X18" s="1897"/>
      <c r="Y18" s="1897"/>
      <c r="Z18" s="1897"/>
      <c r="AA18" s="1897"/>
      <c r="AB18" s="1897"/>
      <c r="AC18" s="1898"/>
      <c r="AD18" s="174"/>
      <c r="AE18" s="174"/>
      <c r="AF18" s="174"/>
      <c r="AG18" s="174"/>
      <c r="AH18" s="174"/>
      <c r="AI18" s="174"/>
      <c r="AJ18" s="1896"/>
      <c r="AK18" s="1897"/>
      <c r="AL18" s="1897"/>
      <c r="AM18" s="1897"/>
      <c r="AN18" s="1897"/>
      <c r="AO18" s="1897"/>
      <c r="AP18" s="1897"/>
      <c r="AQ18" s="1897"/>
      <c r="AR18" s="1897"/>
      <c r="AS18" s="1898"/>
      <c r="AT18" s="174"/>
      <c r="AU18" s="174"/>
      <c r="AV18" s="174"/>
      <c r="AW18" s="174"/>
      <c r="AX18" s="174"/>
      <c r="AY18" s="174"/>
      <c r="AZ18" s="1896"/>
      <c r="BA18" s="1897"/>
      <c r="BB18" s="1897"/>
      <c r="BC18" s="1897"/>
      <c r="BD18" s="1897"/>
      <c r="BE18" s="1897"/>
      <c r="BF18" s="1897"/>
      <c r="BG18" s="1897"/>
      <c r="BH18" s="1897"/>
      <c r="BI18" s="1898"/>
      <c r="BJ18" s="174"/>
      <c r="BK18" s="174"/>
      <c r="BL18" s="174"/>
      <c r="BM18" s="174"/>
      <c r="BN18" s="174"/>
      <c r="BO18" s="174"/>
      <c r="BP18" s="174"/>
      <c r="BQ18" s="174"/>
      <c r="BR18" s="174"/>
      <c r="BS18" s="174"/>
      <c r="BT18" s="174"/>
      <c r="BU18" s="174"/>
      <c r="BV18" s="174"/>
      <c r="BW18" s="174"/>
      <c r="BX18" s="174"/>
      <c r="BY18" s="174"/>
      <c r="BZ18" s="174"/>
      <c r="CA18" s="174"/>
      <c r="CB18" s="177"/>
    </row>
    <row r="19" spans="2:80" ht="9.9499999999999993" customHeight="1" thickBot="1">
      <c r="B19" s="1"/>
      <c r="C19" s="174"/>
      <c r="D19" s="174"/>
      <c r="E19" s="174"/>
      <c r="F19" s="174"/>
      <c r="G19" s="174"/>
      <c r="H19" s="174"/>
      <c r="I19" s="174"/>
      <c r="J19" s="174"/>
      <c r="K19" s="174"/>
      <c r="L19" s="174"/>
      <c r="M19" s="174"/>
      <c r="N19" s="174"/>
      <c r="O19" s="174"/>
      <c r="P19" s="174"/>
      <c r="Q19" s="174"/>
      <c r="R19" s="174"/>
      <c r="S19" s="174"/>
      <c r="T19" s="1899"/>
      <c r="U19" s="1900"/>
      <c r="V19" s="1900"/>
      <c r="W19" s="1900"/>
      <c r="X19" s="1900"/>
      <c r="Y19" s="1900"/>
      <c r="Z19" s="1900"/>
      <c r="AA19" s="1900"/>
      <c r="AB19" s="1900"/>
      <c r="AC19" s="1901"/>
      <c r="AD19" s="174"/>
      <c r="AE19" s="174"/>
      <c r="AF19" s="174"/>
      <c r="AG19" s="174"/>
      <c r="AH19" s="174"/>
      <c r="AI19" s="174"/>
      <c r="AJ19" s="1899"/>
      <c r="AK19" s="1900"/>
      <c r="AL19" s="1900"/>
      <c r="AM19" s="1900"/>
      <c r="AN19" s="1900"/>
      <c r="AO19" s="1900"/>
      <c r="AP19" s="1900"/>
      <c r="AQ19" s="1900"/>
      <c r="AR19" s="1900"/>
      <c r="AS19" s="1901"/>
      <c r="AT19" s="174"/>
      <c r="AU19" s="174"/>
      <c r="AV19" s="174"/>
      <c r="AW19" s="174"/>
      <c r="AX19" s="174"/>
      <c r="AY19" s="174"/>
      <c r="AZ19" s="1899"/>
      <c r="BA19" s="1900"/>
      <c r="BB19" s="1900"/>
      <c r="BC19" s="1900"/>
      <c r="BD19" s="1900"/>
      <c r="BE19" s="1900"/>
      <c r="BF19" s="1900"/>
      <c r="BG19" s="1900"/>
      <c r="BH19" s="1900"/>
      <c r="BI19" s="1901"/>
      <c r="BJ19" s="174"/>
      <c r="BK19" s="174"/>
      <c r="BL19" s="174"/>
      <c r="BM19" s="174"/>
      <c r="BN19" s="174"/>
      <c r="BO19" s="174"/>
      <c r="BP19" s="174"/>
      <c r="BQ19" s="174"/>
      <c r="BR19" s="174"/>
      <c r="BS19" s="174"/>
      <c r="BT19" s="174"/>
      <c r="BU19" s="174"/>
      <c r="BV19" s="174"/>
      <c r="BW19" s="174"/>
      <c r="BX19" s="174"/>
      <c r="BY19" s="174"/>
      <c r="BZ19" s="174"/>
      <c r="CA19" s="174"/>
      <c r="CB19" s="177"/>
    </row>
    <row r="20" spans="2:80" ht="9.9499999999999993" customHeight="1">
      <c r="B20" s="1"/>
      <c r="C20" s="174"/>
      <c r="D20" s="174"/>
      <c r="E20" s="174"/>
      <c r="F20" s="174"/>
      <c r="G20" s="174"/>
      <c r="H20" s="174"/>
      <c r="I20" s="174"/>
      <c r="J20" s="174"/>
      <c r="K20" s="174"/>
      <c r="L20" s="174"/>
      <c r="M20" s="174"/>
      <c r="N20" s="174"/>
      <c r="O20" s="174"/>
      <c r="P20" s="174"/>
      <c r="Q20" s="174"/>
      <c r="R20" s="174"/>
      <c r="S20" s="174"/>
      <c r="T20" s="713">
        <f>ROUND(T17/CLV_Limit,2)</f>
        <v>0</v>
      </c>
      <c r="U20" s="714"/>
      <c r="V20" s="714"/>
      <c r="W20" s="714"/>
      <c r="X20" s="715"/>
      <c r="Y20" s="722" t="s">
        <v>100</v>
      </c>
      <c r="Z20" s="722"/>
      <c r="AA20" s="722"/>
      <c r="AB20" s="722"/>
      <c r="AC20" s="723"/>
      <c r="AD20" s="174"/>
      <c r="AE20" s="174"/>
      <c r="AF20" s="174"/>
      <c r="AG20" s="174"/>
      <c r="AH20" s="174"/>
      <c r="AI20" s="174"/>
      <c r="AJ20" s="713">
        <f>ROUND(AJ17/CLV_Limit,2)</f>
        <v>0.99</v>
      </c>
      <c r="AK20" s="714"/>
      <c r="AL20" s="714"/>
      <c r="AM20" s="714"/>
      <c r="AN20" s="715"/>
      <c r="AO20" s="722" t="s">
        <v>100</v>
      </c>
      <c r="AP20" s="722"/>
      <c r="AQ20" s="722"/>
      <c r="AR20" s="722"/>
      <c r="AS20" s="723"/>
      <c r="AT20" s="174"/>
      <c r="AU20" s="174"/>
      <c r="AV20" s="174"/>
      <c r="AW20" s="174"/>
      <c r="AX20" s="174"/>
      <c r="AY20" s="174"/>
      <c r="AZ20" s="713">
        <f>ROUND(AZ17/CLV_Limit,2)</f>
        <v>0.91</v>
      </c>
      <c r="BA20" s="714"/>
      <c r="BB20" s="714"/>
      <c r="BC20" s="714"/>
      <c r="BD20" s="715"/>
      <c r="BE20" s="722" t="s">
        <v>100</v>
      </c>
      <c r="BF20" s="722"/>
      <c r="BG20" s="722"/>
      <c r="BH20" s="722"/>
      <c r="BI20" s="723"/>
      <c r="BJ20" s="174"/>
      <c r="BK20" s="174"/>
      <c r="BL20" s="174"/>
      <c r="BM20" s="174"/>
      <c r="BN20" s="174"/>
      <c r="BO20" s="174"/>
      <c r="BP20" s="174"/>
      <c r="BQ20" s="174"/>
      <c r="BR20" s="174"/>
      <c r="BS20" s="174"/>
      <c r="BT20" s="174"/>
      <c r="BU20" s="174"/>
      <c r="BV20" s="174"/>
      <c r="BW20" s="174"/>
      <c r="BX20" s="174"/>
      <c r="BY20" s="174"/>
      <c r="BZ20" s="174"/>
      <c r="CA20" s="174"/>
      <c r="CB20" s="177"/>
    </row>
    <row r="21" spans="2:80" ht="9.9499999999999993" customHeight="1">
      <c r="B21" s="1"/>
      <c r="C21" s="174"/>
      <c r="D21" s="174"/>
      <c r="E21" s="174"/>
      <c r="F21" s="174"/>
      <c r="G21" s="174"/>
      <c r="H21" s="174"/>
      <c r="I21" s="174"/>
      <c r="J21" s="174"/>
      <c r="K21" s="174"/>
      <c r="L21" s="174"/>
      <c r="M21" s="174"/>
      <c r="N21" s="174"/>
      <c r="O21" s="174"/>
      <c r="P21" s="174"/>
      <c r="Q21" s="174"/>
      <c r="R21" s="174"/>
      <c r="S21" s="174"/>
      <c r="T21" s="716"/>
      <c r="U21" s="717"/>
      <c r="V21" s="717"/>
      <c r="W21" s="717"/>
      <c r="X21" s="718"/>
      <c r="Y21" s="724"/>
      <c r="Z21" s="724"/>
      <c r="AA21" s="724"/>
      <c r="AB21" s="724"/>
      <c r="AC21" s="725"/>
      <c r="AD21" s="174"/>
      <c r="AE21" s="174"/>
      <c r="AF21" s="174"/>
      <c r="AG21" s="174"/>
      <c r="AH21" s="174"/>
      <c r="AI21" s="174"/>
      <c r="AJ21" s="716"/>
      <c r="AK21" s="717"/>
      <c r="AL21" s="717"/>
      <c r="AM21" s="717"/>
      <c r="AN21" s="718"/>
      <c r="AO21" s="724"/>
      <c r="AP21" s="724"/>
      <c r="AQ21" s="724"/>
      <c r="AR21" s="724"/>
      <c r="AS21" s="725"/>
      <c r="AT21" s="174"/>
      <c r="AU21" s="174"/>
      <c r="AV21" s="174"/>
      <c r="AW21" s="174"/>
      <c r="AX21" s="174"/>
      <c r="AY21" s="174"/>
      <c r="AZ21" s="716"/>
      <c r="BA21" s="717"/>
      <c r="BB21" s="717"/>
      <c r="BC21" s="717"/>
      <c r="BD21" s="718"/>
      <c r="BE21" s="724"/>
      <c r="BF21" s="724"/>
      <c r="BG21" s="724"/>
      <c r="BH21" s="724"/>
      <c r="BI21" s="725"/>
      <c r="BJ21" s="174"/>
      <c r="BK21" s="174"/>
      <c r="BL21" s="174"/>
      <c r="BM21" s="174"/>
      <c r="BN21" s="174"/>
      <c r="BO21" s="174"/>
      <c r="BP21" s="174"/>
      <c r="BQ21" s="174"/>
      <c r="BR21" s="174"/>
      <c r="BS21" s="174"/>
      <c r="BT21" s="174"/>
      <c r="BU21" s="174"/>
      <c r="BV21" s="174"/>
      <c r="BW21" s="174"/>
      <c r="BX21" s="174"/>
      <c r="BY21" s="174"/>
      <c r="BZ21" s="174"/>
      <c r="CA21" s="174"/>
      <c r="CB21" s="177"/>
    </row>
    <row r="22" spans="2:80" ht="9.9499999999999993" customHeight="1" thickBot="1">
      <c r="B22" s="1"/>
      <c r="C22" s="174"/>
      <c r="D22" s="174"/>
      <c r="E22" s="174"/>
      <c r="F22" s="174"/>
      <c r="G22" s="174"/>
      <c r="H22" s="174"/>
      <c r="I22" s="174"/>
      <c r="J22" s="174"/>
      <c r="K22" s="174"/>
      <c r="L22" s="174"/>
      <c r="M22" s="174"/>
      <c r="N22" s="174"/>
      <c r="O22" s="174"/>
      <c r="P22" s="174"/>
      <c r="Q22" s="174"/>
      <c r="R22" s="174"/>
      <c r="S22" s="174"/>
      <c r="T22" s="719"/>
      <c r="U22" s="720"/>
      <c r="V22" s="720"/>
      <c r="W22" s="720"/>
      <c r="X22" s="721"/>
      <c r="Y22" s="726"/>
      <c r="Z22" s="726"/>
      <c r="AA22" s="726"/>
      <c r="AB22" s="726"/>
      <c r="AC22" s="727"/>
      <c r="AD22" s="174"/>
      <c r="AE22" s="174"/>
      <c r="AF22" s="174"/>
      <c r="AG22" s="174"/>
      <c r="AH22" s="174"/>
      <c r="AI22" s="174"/>
      <c r="AJ22" s="719"/>
      <c r="AK22" s="720"/>
      <c r="AL22" s="720"/>
      <c r="AM22" s="720"/>
      <c r="AN22" s="721"/>
      <c r="AO22" s="726"/>
      <c r="AP22" s="726"/>
      <c r="AQ22" s="726"/>
      <c r="AR22" s="726"/>
      <c r="AS22" s="727"/>
      <c r="AT22" s="174"/>
      <c r="AU22" s="174"/>
      <c r="AV22" s="174"/>
      <c r="AW22" s="174"/>
      <c r="AX22" s="174"/>
      <c r="AY22" s="174"/>
      <c r="AZ22" s="719"/>
      <c r="BA22" s="720"/>
      <c r="BB22" s="720"/>
      <c r="BC22" s="720"/>
      <c r="BD22" s="721"/>
      <c r="BE22" s="726"/>
      <c r="BF22" s="726"/>
      <c r="BG22" s="726"/>
      <c r="BH22" s="726"/>
      <c r="BI22" s="727"/>
      <c r="BJ22" s="174"/>
      <c r="BK22" s="174"/>
      <c r="BL22" s="174"/>
      <c r="BM22" s="174"/>
      <c r="BN22" s="174"/>
      <c r="BO22" s="174"/>
      <c r="BP22" s="174"/>
      <c r="BQ22" s="174"/>
      <c r="BR22" s="174"/>
      <c r="BS22" s="174"/>
      <c r="BT22" s="174"/>
      <c r="BU22" s="174"/>
      <c r="BV22" s="174"/>
      <c r="BW22" s="174"/>
      <c r="BX22" s="174"/>
      <c r="BY22" s="174"/>
      <c r="BZ22" s="174"/>
      <c r="CA22" s="174"/>
      <c r="CB22" s="177"/>
    </row>
    <row r="23" spans="2:80"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7"/>
    </row>
    <row r="24" spans="2:80"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7"/>
    </row>
    <row r="25" spans="2:80"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7"/>
    </row>
    <row r="26" spans="2:80"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7"/>
    </row>
    <row r="27" spans="2:80"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7"/>
    </row>
    <row r="28" spans="2:80" ht="9.9499999999999993" customHeigh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7"/>
    </row>
    <row r="29" spans="2:80"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7"/>
    </row>
    <row r="30" spans="2:80"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7"/>
    </row>
    <row r="31" spans="2:80"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7"/>
    </row>
    <row r="32" spans="2:80"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7"/>
    </row>
    <row r="33" spans="2:80"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7"/>
    </row>
    <row r="34" spans="2:80"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7"/>
    </row>
    <row r="35" spans="2:80"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7"/>
    </row>
    <row r="36" spans="2:80"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7"/>
    </row>
    <row r="37" spans="2:80"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7"/>
    </row>
    <row r="38" spans="2:80"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7"/>
    </row>
    <row r="39" spans="2:80"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7"/>
    </row>
    <row r="40" spans="2:80"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7"/>
    </row>
    <row r="41" spans="2:80"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7"/>
    </row>
    <row r="42" spans="2:80"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7"/>
    </row>
    <row r="43" spans="2:80"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7"/>
    </row>
    <row r="44" spans="2:80"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7"/>
    </row>
    <row r="45" spans="2:80"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7"/>
    </row>
    <row r="46" spans="2:80"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7"/>
    </row>
    <row r="47" spans="2:80"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7"/>
    </row>
    <row r="48" spans="2:80"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7"/>
    </row>
    <row r="49" spans="2:80"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7"/>
    </row>
    <row r="50" spans="2:80"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7"/>
    </row>
    <row r="51" spans="2:80"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7"/>
    </row>
    <row r="52" spans="2:80"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7"/>
    </row>
    <row r="53" spans="2:80"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7"/>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21"/>
      <c r="N55" s="21"/>
      <c r="O55" s="168"/>
      <c r="P55" s="168"/>
      <c r="Q55" s="168"/>
      <c r="R55" s="168"/>
      <c r="S55" s="168"/>
      <c r="T55" s="168"/>
      <c r="U55" s="168"/>
      <c r="V55" s="168"/>
      <c r="W55" s="705" t="s">
        <v>101</v>
      </c>
      <c r="X55" s="705"/>
      <c r="Y55" s="705"/>
      <c r="Z55" s="705"/>
      <c r="AA55" s="705"/>
      <c r="AB55" s="705"/>
      <c r="AC55" s="705"/>
      <c r="AD55" s="705"/>
      <c r="AE55" s="705"/>
      <c r="AF55" s="705"/>
      <c r="AG55" s="705"/>
      <c r="AH55" s="705"/>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5"/>
      <c r="BE55" s="705"/>
      <c r="BF55" s="705"/>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168</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668"/>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669"/>
      <c r="AM58" s="1669"/>
      <c r="AN58" s="1669"/>
      <c r="AO58" s="1669"/>
      <c r="AP58" s="1669"/>
      <c r="AQ58" s="1669"/>
      <c r="AR58" s="1669"/>
      <c r="AS58" s="1669"/>
      <c r="AT58" s="1669"/>
      <c r="AU58" s="1669"/>
      <c r="AV58" s="1669"/>
      <c r="AW58" s="1669"/>
      <c r="AX58" s="1669"/>
      <c r="AY58" s="1669"/>
      <c r="AZ58" s="1669"/>
      <c r="BA58" s="1669"/>
      <c r="BB58" s="1669"/>
      <c r="BC58" s="1669"/>
      <c r="BD58" s="1669"/>
      <c r="BE58" s="1669"/>
      <c r="BF58" s="1669"/>
      <c r="BG58" s="1669"/>
      <c r="BH58" s="1669"/>
      <c r="BI58" s="1669"/>
      <c r="BJ58" s="1669"/>
      <c r="BK58" s="1669"/>
      <c r="BL58" s="1669"/>
      <c r="BM58" s="1669"/>
      <c r="BN58" s="1669"/>
      <c r="BO58" s="1669"/>
      <c r="BP58" s="1669"/>
      <c r="BQ58" s="1669"/>
      <c r="BR58" s="1669"/>
      <c r="BS58" s="1669"/>
      <c r="BT58" s="1669"/>
      <c r="BU58" s="1669"/>
      <c r="BV58" s="1669"/>
      <c r="BW58" s="1669"/>
      <c r="BX58" s="1669"/>
      <c r="BY58" s="1669"/>
      <c r="BZ58" s="1669"/>
      <c r="CA58" s="1669"/>
      <c r="CB58" s="1670"/>
    </row>
    <row r="59" spans="2:80" ht="9.9499999999999993" customHeight="1">
      <c r="B59" s="815" t="s">
        <v>97</v>
      </c>
      <c r="C59" s="816"/>
      <c r="D59" s="816"/>
      <c r="E59" s="816"/>
      <c r="F59" s="816"/>
      <c r="G59" s="816"/>
      <c r="H59" s="816"/>
      <c r="I59" s="816"/>
      <c r="J59" s="816"/>
      <c r="K59" s="816"/>
      <c r="L59" s="816"/>
      <c r="M59" s="816"/>
      <c r="N59" s="816"/>
      <c r="O59" s="816"/>
      <c r="P59" s="816"/>
      <c r="Q59" s="816"/>
      <c r="R59" s="816"/>
      <c r="S59" s="816"/>
      <c r="T59" s="816"/>
      <c r="U59" s="816"/>
      <c r="V59" s="816"/>
      <c r="W59" s="816"/>
      <c r="X59" s="816"/>
      <c r="Y59" s="816"/>
      <c r="Z59" s="816"/>
      <c r="AA59" s="816"/>
      <c r="AB59" s="816"/>
      <c r="AC59" s="816"/>
      <c r="AD59" s="816"/>
      <c r="AE59" s="816"/>
      <c r="AF59" s="816"/>
      <c r="AG59" s="816"/>
      <c r="AH59" s="816"/>
      <c r="AI59" s="816"/>
      <c r="AJ59" s="816"/>
      <c r="AK59" s="816"/>
      <c r="AL59" s="816"/>
      <c r="AM59" s="816"/>
      <c r="AN59" s="816"/>
      <c r="AO59" s="816"/>
      <c r="AP59" s="816"/>
      <c r="AQ59" s="816"/>
      <c r="AR59" s="816"/>
      <c r="AS59" s="816"/>
      <c r="AT59" s="816"/>
      <c r="AU59" s="816"/>
      <c r="AV59" s="816"/>
      <c r="AW59" s="816"/>
      <c r="AX59" s="816"/>
      <c r="AY59" s="816"/>
      <c r="AZ59" s="816"/>
      <c r="BA59" s="816"/>
      <c r="BB59" s="816"/>
      <c r="BC59" s="816"/>
      <c r="BD59" s="816"/>
      <c r="BE59" s="816"/>
      <c r="BF59" s="816"/>
      <c r="BG59" s="816"/>
      <c r="BH59" s="816"/>
      <c r="BI59" s="816"/>
      <c r="BJ59" s="816"/>
      <c r="BK59" s="816"/>
      <c r="BL59" s="816"/>
      <c r="BM59" s="816"/>
      <c r="BN59" s="816"/>
      <c r="BO59" s="816"/>
      <c r="BP59" s="816"/>
      <c r="BQ59" s="816"/>
      <c r="BR59" s="816"/>
      <c r="BS59" s="816"/>
      <c r="BT59" s="816"/>
      <c r="BU59" s="816"/>
      <c r="BV59" s="816"/>
      <c r="BW59" s="816"/>
      <c r="BX59" s="816"/>
      <c r="BY59" s="816"/>
      <c r="BZ59" s="816"/>
      <c r="CA59" s="816"/>
      <c r="CB59" s="822"/>
    </row>
    <row r="60" spans="2:80" ht="9.9499999999999993" customHeight="1">
      <c r="B60" s="792"/>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93"/>
      <c r="AT60" s="793"/>
      <c r="AU60" s="793"/>
      <c r="AV60" s="793"/>
      <c r="AW60" s="793"/>
      <c r="AX60" s="793"/>
      <c r="AY60" s="793"/>
      <c r="AZ60" s="793"/>
      <c r="BA60" s="793"/>
      <c r="BB60" s="793"/>
      <c r="BC60" s="793"/>
      <c r="BD60" s="793"/>
      <c r="BE60" s="793"/>
      <c r="BF60" s="793"/>
      <c r="BG60" s="793"/>
      <c r="BH60" s="793"/>
      <c r="BI60" s="793"/>
      <c r="BJ60" s="793"/>
      <c r="BK60" s="793"/>
      <c r="BL60" s="793"/>
      <c r="BM60" s="793"/>
      <c r="BN60" s="793"/>
      <c r="BO60" s="793"/>
      <c r="BP60" s="793"/>
      <c r="BQ60" s="793"/>
      <c r="BR60" s="793"/>
      <c r="BS60" s="793"/>
      <c r="BT60" s="793"/>
      <c r="BU60" s="793"/>
      <c r="BV60" s="793"/>
      <c r="BW60" s="793"/>
      <c r="BX60" s="793"/>
      <c r="BY60" s="793"/>
      <c r="BZ60" s="793"/>
      <c r="CA60" s="793"/>
      <c r="CB60" s="814"/>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7"/>
    </row>
    <row r="64" spans="2:80"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7"/>
    </row>
    <row r="65" spans="2:80"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7"/>
    </row>
    <row r="66" spans="2:80"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7"/>
    </row>
    <row r="67" spans="2:80"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9"/>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7"/>
    </row>
    <row r="68" spans="2:80" ht="9.9499999999999993" customHeight="1" thickBot="1">
      <c r="B68" s="1"/>
      <c r="C68" s="174"/>
      <c r="D68" s="174"/>
      <c r="E68" s="174"/>
      <c r="F68" s="174"/>
      <c r="G68" s="174"/>
      <c r="H68" s="174"/>
      <c r="I68" s="174"/>
      <c r="J68" s="174"/>
      <c r="K68" s="174"/>
      <c r="L68" s="174"/>
      <c r="M68" s="174"/>
      <c r="N68" s="174"/>
      <c r="O68" s="174"/>
      <c r="P68" s="174"/>
      <c r="Q68" s="174"/>
      <c r="R68" s="174"/>
      <c r="S68" s="174"/>
      <c r="T68" s="174"/>
      <c r="U68" s="174"/>
      <c r="V68" s="9"/>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7"/>
    </row>
    <row r="69" spans="2:80" ht="9.9499999999999993" customHeight="1">
      <c r="B69" s="1"/>
      <c r="C69" s="174"/>
      <c r="D69" s="174"/>
      <c r="E69" s="174"/>
      <c r="F69" s="174"/>
      <c r="G69" s="174"/>
      <c r="H69" s="174"/>
      <c r="I69" s="174"/>
      <c r="J69" s="174"/>
      <c r="K69" s="174"/>
      <c r="L69" s="174"/>
      <c r="M69" s="174"/>
      <c r="N69" s="174"/>
      <c r="O69" s="174"/>
      <c r="P69" s="174"/>
      <c r="Q69" s="174"/>
      <c r="R69" s="174"/>
      <c r="S69" s="174"/>
      <c r="T69" s="174"/>
      <c r="U69" s="56"/>
      <c r="V69" s="175"/>
      <c r="W69" s="175"/>
      <c r="X69" s="175"/>
      <c r="Y69" s="175"/>
      <c r="Z69" s="175"/>
      <c r="AA69" s="175"/>
      <c r="AB69" s="175"/>
      <c r="AC69" s="175"/>
      <c r="AD69" s="175"/>
      <c r="AE69" s="175"/>
      <c r="AF69" s="176"/>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7"/>
    </row>
    <row r="70" spans="2:80" ht="9.9499999999999993" customHeight="1" thickBot="1">
      <c r="B70" s="1"/>
      <c r="C70" s="174"/>
      <c r="D70" s="174"/>
      <c r="E70" s="174"/>
      <c r="F70" s="174"/>
      <c r="G70" s="174"/>
      <c r="H70" s="174"/>
      <c r="I70" s="174"/>
      <c r="J70" s="174"/>
      <c r="K70" s="174"/>
      <c r="L70" s="174"/>
      <c r="M70" s="174"/>
      <c r="N70" s="174"/>
      <c r="O70" s="174"/>
      <c r="P70" s="174"/>
      <c r="Q70" s="174"/>
      <c r="R70" s="174"/>
      <c r="S70" s="174"/>
      <c r="T70" s="174"/>
      <c r="U70" s="58"/>
      <c r="V70" s="109"/>
      <c r="W70" s="109"/>
      <c r="X70" s="109"/>
      <c r="Y70" s="109"/>
      <c r="Z70" s="109"/>
      <c r="AA70" s="109"/>
      <c r="AB70" s="109"/>
      <c r="AC70" s="109"/>
      <c r="AD70" s="109"/>
      <c r="AE70" s="109"/>
      <c r="AF70" s="60"/>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7"/>
    </row>
    <row r="71" spans="2:80" ht="9.9499999999999993" customHeight="1" thickBot="1">
      <c r="B71" s="1"/>
      <c r="C71" s="174"/>
      <c r="D71" s="174"/>
      <c r="E71" s="174"/>
      <c r="F71" s="174"/>
      <c r="G71" s="174"/>
      <c r="H71" s="174"/>
      <c r="I71" s="174"/>
      <c r="J71" s="174"/>
      <c r="K71" s="174"/>
      <c r="L71" s="174"/>
      <c r="M71" s="174"/>
      <c r="N71" s="174"/>
      <c r="O71" s="174"/>
      <c r="P71" s="174"/>
      <c r="Q71" s="174"/>
      <c r="R71" s="763"/>
      <c r="S71" s="764"/>
      <c r="T71" s="771"/>
      <c r="U71" s="58"/>
      <c r="V71" s="109"/>
      <c r="W71" s="109"/>
      <c r="X71" s="109"/>
      <c r="Y71" s="109"/>
      <c r="Z71" s="109"/>
      <c r="AA71" s="109"/>
      <c r="AB71" s="109"/>
      <c r="AC71" s="109"/>
      <c r="AD71" s="109"/>
      <c r="AE71" s="109"/>
      <c r="AF71" s="60"/>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7"/>
    </row>
    <row r="72" spans="2:80" ht="9.9499999999999993" customHeight="1">
      <c r="B72" s="1"/>
      <c r="C72" s="174"/>
      <c r="D72" s="174"/>
      <c r="E72" s="174"/>
      <c r="F72" s="174"/>
      <c r="G72" s="174"/>
      <c r="H72" s="174"/>
      <c r="I72" s="174"/>
      <c r="J72" s="174"/>
      <c r="K72" s="174"/>
      <c r="L72" s="174"/>
      <c r="M72" s="174"/>
      <c r="N72" s="174"/>
      <c r="O72" s="174"/>
      <c r="P72" s="174"/>
      <c r="Q72" s="174"/>
      <c r="R72" s="766"/>
      <c r="S72" s="767"/>
      <c r="T72" s="772"/>
      <c r="U72" s="58"/>
      <c r="V72" s="109"/>
      <c r="W72" s="763"/>
      <c r="X72" s="764"/>
      <c r="Y72" s="764"/>
      <c r="Z72" s="764"/>
      <c r="AA72" s="764"/>
      <c r="AB72" s="764"/>
      <c r="AC72" s="764"/>
      <c r="AD72" s="771"/>
      <c r="AE72" s="109"/>
      <c r="AF72" s="60"/>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7"/>
    </row>
    <row r="73" spans="2:80" ht="9.9499999999999993" customHeight="1" thickBot="1">
      <c r="B73" s="1"/>
      <c r="C73" s="174"/>
      <c r="D73" s="174"/>
      <c r="E73" s="174"/>
      <c r="F73" s="174"/>
      <c r="G73" s="174"/>
      <c r="H73" s="174"/>
      <c r="I73" s="174"/>
      <c r="J73" s="174"/>
      <c r="K73" s="174"/>
      <c r="L73" s="174"/>
      <c r="M73" s="174"/>
      <c r="N73" s="174"/>
      <c r="O73" s="174"/>
      <c r="P73" s="174"/>
      <c r="Q73" s="174"/>
      <c r="R73" s="766"/>
      <c r="S73" s="767"/>
      <c r="T73" s="772"/>
      <c r="U73" s="58"/>
      <c r="V73" s="109"/>
      <c r="W73" s="766"/>
      <c r="X73" s="767"/>
      <c r="Y73" s="767"/>
      <c r="Z73" s="767"/>
      <c r="AA73" s="767"/>
      <c r="AB73" s="767"/>
      <c r="AC73" s="767"/>
      <c r="AD73" s="772"/>
      <c r="AE73" s="109"/>
      <c r="AF73" s="60"/>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7"/>
    </row>
    <row r="74" spans="2:80" ht="9.9499999999999993" customHeight="1">
      <c r="B74" s="1"/>
      <c r="C74" s="174"/>
      <c r="D74" s="174"/>
      <c r="E74" s="174"/>
      <c r="F74" s="174"/>
      <c r="G74" s="174"/>
      <c r="H74" s="174"/>
      <c r="I74" s="174"/>
      <c r="J74" s="174"/>
      <c r="K74" s="174"/>
      <c r="L74" s="174"/>
      <c r="M74" s="174"/>
      <c r="N74" s="174"/>
      <c r="O74" s="174"/>
      <c r="P74" s="174"/>
      <c r="Q74" s="174"/>
      <c r="R74" s="766"/>
      <c r="S74" s="767"/>
      <c r="T74" s="772"/>
      <c r="U74" s="58"/>
      <c r="V74" s="109"/>
      <c r="W74" s="766"/>
      <c r="X74" s="767"/>
      <c r="Y74" s="767"/>
      <c r="Z74" s="767"/>
      <c r="AA74" s="767"/>
      <c r="AB74" s="767"/>
      <c r="AC74" s="767"/>
      <c r="AD74" s="772"/>
      <c r="AE74" s="109"/>
      <c r="AF74" s="60"/>
      <c r="AG74" s="174"/>
      <c r="AH74" s="174"/>
      <c r="AI74" s="174"/>
      <c r="AJ74" s="174"/>
      <c r="AK74" s="763"/>
      <c r="AL74" s="764"/>
      <c r="AM74" s="771"/>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7"/>
    </row>
    <row r="75" spans="2:80" ht="9.9499999999999993" customHeight="1">
      <c r="B75" s="1"/>
      <c r="C75" s="174"/>
      <c r="D75" s="174"/>
      <c r="E75" s="174"/>
      <c r="F75" s="174"/>
      <c r="G75" s="174"/>
      <c r="H75" s="174"/>
      <c r="I75" s="174"/>
      <c r="J75" s="174"/>
      <c r="K75" s="174"/>
      <c r="L75" s="174"/>
      <c r="M75" s="174"/>
      <c r="N75" s="174"/>
      <c r="O75" s="174"/>
      <c r="P75" s="174"/>
      <c r="Q75" s="174"/>
      <c r="R75" s="886" t="s">
        <v>99</v>
      </c>
      <c r="S75" s="887"/>
      <c r="T75" s="890"/>
      <c r="U75" s="58"/>
      <c r="V75" s="109"/>
      <c r="W75" s="1833">
        <f>((X81/W81)+(R76/RTAF/R77))</f>
        <v>0</v>
      </c>
      <c r="X75" s="1834"/>
      <c r="Y75" s="1834"/>
      <c r="Z75" s="1834"/>
      <c r="AA75" s="1834"/>
      <c r="AB75" s="1834"/>
      <c r="AC75" s="1834"/>
      <c r="AD75" s="1835"/>
      <c r="AE75" s="109"/>
      <c r="AF75" s="60"/>
      <c r="AG75" s="174"/>
      <c r="AH75" s="174"/>
      <c r="AI75" s="174"/>
      <c r="AJ75" s="174"/>
      <c r="AK75" s="766"/>
      <c r="AL75" s="767"/>
      <c r="AM75" s="772"/>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7"/>
    </row>
    <row r="76" spans="2:80" ht="9.9499999999999993" customHeight="1">
      <c r="B76" s="1"/>
      <c r="C76" s="174"/>
      <c r="D76" s="174"/>
      <c r="E76" s="174"/>
      <c r="F76" s="174"/>
      <c r="G76" s="174"/>
      <c r="H76" s="174"/>
      <c r="I76" s="174"/>
      <c r="J76" s="174"/>
      <c r="K76" s="174"/>
      <c r="L76" s="174"/>
      <c r="M76" s="174"/>
      <c r="N76" s="174"/>
      <c r="O76" s="174"/>
      <c r="P76" s="174"/>
      <c r="Q76" s="174"/>
      <c r="R76" s="891">
        <f>SBR_Master</f>
        <v>0</v>
      </c>
      <c r="S76" s="892"/>
      <c r="T76" s="895"/>
      <c r="U76" s="58"/>
      <c r="V76" s="109"/>
      <c r="W76" s="1833"/>
      <c r="X76" s="1834"/>
      <c r="Y76" s="1834"/>
      <c r="Z76" s="1834"/>
      <c r="AA76" s="1834"/>
      <c r="AB76" s="1834"/>
      <c r="AC76" s="1834"/>
      <c r="AD76" s="1835"/>
      <c r="AE76" s="109"/>
      <c r="AF76" s="60"/>
      <c r="AG76" s="174"/>
      <c r="AH76" s="174"/>
      <c r="AI76" s="174"/>
      <c r="AJ76" s="174"/>
      <c r="AK76" s="766"/>
      <c r="AL76" s="767"/>
      <c r="AM76" s="772"/>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7"/>
    </row>
    <row r="77" spans="2:80" ht="9.9499999999999993" customHeight="1" thickBot="1">
      <c r="B77" s="1"/>
      <c r="C77" s="174"/>
      <c r="D77" s="174"/>
      <c r="E77" s="174"/>
      <c r="F77" s="174"/>
      <c r="G77" s="174"/>
      <c r="H77" s="174"/>
      <c r="I77" s="174"/>
      <c r="J77" s="174"/>
      <c r="K77" s="174"/>
      <c r="L77" s="174"/>
      <c r="M77" s="174"/>
      <c r="N77" s="174"/>
      <c r="O77" s="174"/>
      <c r="P77" s="174"/>
      <c r="Q77" s="174"/>
      <c r="R77" s="1034">
        <v>1</v>
      </c>
      <c r="S77" s="1035"/>
      <c r="T77" s="1038"/>
      <c r="U77" s="58"/>
      <c r="V77" s="109"/>
      <c r="W77" s="1836"/>
      <c r="X77" s="1837"/>
      <c r="Y77" s="1837"/>
      <c r="Z77" s="1837"/>
      <c r="AA77" s="1837"/>
      <c r="AB77" s="1837"/>
      <c r="AC77" s="1837"/>
      <c r="AD77" s="1838"/>
      <c r="AE77" s="109"/>
      <c r="AF77" s="60"/>
      <c r="AG77" s="174"/>
      <c r="AH77" s="174"/>
      <c r="AI77" s="174"/>
      <c r="AJ77" s="174"/>
      <c r="AK77" s="766"/>
      <c r="AL77" s="767"/>
      <c r="AM77" s="772"/>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7"/>
    </row>
    <row r="78" spans="2:80" ht="9.9499999999999993" customHeight="1">
      <c r="B78" s="1"/>
      <c r="C78" s="174"/>
      <c r="D78" s="174"/>
      <c r="E78" s="174"/>
      <c r="F78" s="174"/>
      <c r="G78" s="174"/>
      <c r="H78" s="174"/>
      <c r="I78" s="174"/>
      <c r="J78" s="174"/>
      <c r="K78" s="174"/>
      <c r="L78" s="174"/>
      <c r="M78" s="174"/>
      <c r="N78" s="174"/>
      <c r="O78" s="174"/>
      <c r="P78" s="174"/>
      <c r="Q78" s="174"/>
      <c r="R78" s="174"/>
      <c r="S78" s="174"/>
      <c r="T78" s="174"/>
      <c r="U78" s="58"/>
      <c r="V78" s="109"/>
      <c r="W78" s="109"/>
      <c r="X78" s="109"/>
      <c r="Y78" s="109"/>
      <c r="Z78" s="109"/>
      <c r="AA78" s="109"/>
      <c r="AB78" s="109"/>
      <c r="AC78" s="109"/>
      <c r="AD78" s="109"/>
      <c r="AE78" s="109"/>
      <c r="AF78" s="60"/>
      <c r="AG78" s="174"/>
      <c r="AH78" s="174"/>
      <c r="AI78" s="174"/>
      <c r="AJ78" s="174"/>
      <c r="AK78" s="886" t="s">
        <v>99</v>
      </c>
      <c r="AL78" s="887"/>
      <c r="AM78" s="890"/>
      <c r="AN78" s="174"/>
      <c r="AO78" s="174"/>
      <c r="AP78" s="174"/>
      <c r="AQ78" s="174"/>
      <c r="AR78" s="174"/>
      <c r="AS78" s="174"/>
      <c r="AT78" s="174"/>
      <c r="AU78" s="174"/>
      <c r="AV78" s="910">
        <v>1</v>
      </c>
      <c r="AW78" s="940">
        <f>WBR_Master</f>
        <v>625</v>
      </c>
      <c r="AX78" s="943" t="s">
        <v>99</v>
      </c>
      <c r="AY78" s="789"/>
      <c r="AZ78" s="789"/>
      <c r="BA78" s="789"/>
      <c r="BB78" s="812"/>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7"/>
    </row>
    <row r="79" spans="2:80" ht="9.9499999999999993" customHeight="1">
      <c r="B79" s="1"/>
      <c r="C79" s="174"/>
      <c r="D79" s="174"/>
      <c r="E79" s="174"/>
      <c r="F79" s="174"/>
      <c r="G79" s="174"/>
      <c r="H79" s="174"/>
      <c r="I79" s="174"/>
      <c r="J79" s="174"/>
      <c r="K79" s="174"/>
      <c r="L79" s="174"/>
      <c r="M79" s="174"/>
      <c r="N79" s="174"/>
      <c r="O79" s="174"/>
      <c r="P79" s="174"/>
      <c r="Q79" s="174"/>
      <c r="R79" s="174"/>
      <c r="S79" s="174"/>
      <c r="T79" s="174"/>
      <c r="U79" s="58"/>
      <c r="V79" s="109"/>
      <c r="W79" s="109"/>
      <c r="X79" s="109"/>
      <c r="Y79" s="109"/>
      <c r="Z79" s="109"/>
      <c r="AA79" s="109"/>
      <c r="AB79" s="109"/>
      <c r="AC79" s="109"/>
      <c r="AD79" s="109"/>
      <c r="AE79" s="109"/>
      <c r="AF79" s="60"/>
      <c r="AG79" s="174"/>
      <c r="AH79" s="174"/>
      <c r="AI79" s="174"/>
      <c r="AJ79" s="174"/>
      <c r="AK79" s="891">
        <f>SBL_Master</f>
        <v>607</v>
      </c>
      <c r="AL79" s="892"/>
      <c r="AM79" s="895"/>
      <c r="AN79" s="174"/>
      <c r="AO79" s="174"/>
      <c r="AP79" s="174"/>
      <c r="AQ79" s="174"/>
      <c r="AR79" s="174"/>
      <c r="AS79" s="54"/>
      <c r="AT79" s="54"/>
      <c r="AU79" s="54"/>
      <c r="AV79" s="911"/>
      <c r="AW79" s="941"/>
      <c r="AX79" s="944"/>
      <c r="AY79" s="791"/>
      <c r="AZ79" s="791"/>
      <c r="BA79" s="791"/>
      <c r="BB79" s="813"/>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7"/>
    </row>
    <row r="80" spans="2:80" ht="9.9499999999999993" customHeight="1" thickBot="1">
      <c r="B80" s="1"/>
      <c r="C80" s="174"/>
      <c r="D80" s="174"/>
      <c r="E80" s="174"/>
      <c r="F80" s="174"/>
      <c r="G80" s="174"/>
      <c r="H80" s="174"/>
      <c r="I80" s="174"/>
      <c r="J80" s="174"/>
      <c r="K80" s="174"/>
      <c r="L80" s="174"/>
      <c r="M80" s="174"/>
      <c r="N80" s="174"/>
      <c r="O80" s="174"/>
      <c r="P80" s="174"/>
      <c r="Q80" s="174"/>
      <c r="R80" s="174"/>
      <c r="S80" s="174"/>
      <c r="T80" s="174"/>
      <c r="U80" s="61"/>
      <c r="V80" s="110"/>
      <c r="W80" s="110"/>
      <c r="X80" s="110"/>
      <c r="Y80" s="110"/>
      <c r="Z80" s="110"/>
      <c r="AA80" s="110"/>
      <c r="AB80" s="110"/>
      <c r="AC80" s="110"/>
      <c r="AD80" s="110"/>
      <c r="AE80" s="110"/>
      <c r="AF80" s="63"/>
      <c r="AG80" s="174"/>
      <c r="AH80" s="174"/>
      <c r="AI80" s="174"/>
      <c r="AJ80" s="174"/>
      <c r="AK80" s="1034">
        <v>1</v>
      </c>
      <c r="AL80" s="1035"/>
      <c r="AM80" s="1038"/>
      <c r="AN80" s="174"/>
      <c r="AO80" s="174"/>
      <c r="AP80" s="174"/>
      <c r="AQ80" s="174"/>
      <c r="AR80" s="174"/>
      <c r="AS80" s="16"/>
      <c r="AT80" s="16"/>
      <c r="AU80" s="16"/>
      <c r="AV80" s="912"/>
      <c r="AW80" s="942"/>
      <c r="AX80" s="945"/>
      <c r="AY80" s="793"/>
      <c r="AZ80" s="793"/>
      <c r="BA80" s="793"/>
      <c r="BB80" s="81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7"/>
    </row>
    <row r="81" spans="2:80" ht="9.9499999999999993" customHeight="1">
      <c r="B81" s="1"/>
      <c r="C81" s="174"/>
      <c r="D81" s="174"/>
      <c r="E81" s="174"/>
      <c r="F81" s="174"/>
      <c r="G81" s="174"/>
      <c r="H81" s="174"/>
      <c r="I81" s="174"/>
      <c r="J81" s="174"/>
      <c r="K81" s="174"/>
      <c r="L81" s="174"/>
      <c r="M81" s="174"/>
      <c r="N81" s="174"/>
      <c r="O81" s="174"/>
      <c r="P81" s="174"/>
      <c r="Q81" s="174"/>
      <c r="R81" s="174"/>
      <c r="S81" s="174"/>
      <c r="T81" s="174"/>
      <c r="U81" s="174"/>
      <c r="V81" s="174"/>
      <c r="W81" s="910">
        <v>2</v>
      </c>
      <c r="X81" s="913">
        <f>AW81+AQ94</f>
        <v>0</v>
      </c>
      <c r="Y81" s="914" t="s">
        <v>99</v>
      </c>
      <c r="Z81" s="789"/>
      <c r="AA81" s="789"/>
      <c r="AB81" s="789"/>
      <c r="AC81" s="812"/>
      <c r="AD81" s="174"/>
      <c r="AE81" s="174"/>
      <c r="AF81" s="174"/>
      <c r="AG81" s="174"/>
      <c r="AH81" s="174"/>
      <c r="AI81" s="174"/>
      <c r="AJ81" s="56"/>
      <c r="AK81" s="175"/>
      <c r="AL81" s="175"/>
      <c r="AM81" s="84"/>
      <c r="AN81" s="84"/>
      <c r="AO81" s="84"/>
      <c r="AP81" s="175"/>
      <c r="AQ81" s="175"/>
      <c r="AR81" s="175"/>
      <c r="AS81" s="175"/>
      <c r="AT81" s="175"/>
      <c r="AU81" s="176"/>
      <c r="AV81" s="951">
        <v>2</v>
      </c>
      <c r="AW81" s="955">
        <f>WBT_Master</f>
        <v>0</v>
      </c>
      <c r="AX81" s="956" t="s">
        <v>99</v>
      </c>
      <c r="AY81" s="816"/>
      <c r="AZ81" s="816"/>
      <c r="BA81" s="816"/>
      <c r="BB81" s="822"/>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7"/>
    </row>
    <row r="82" spans="2:80" ht="9.9499999999999993" customHeight="1">
      <c r="B82" s="1"/>
      <c r="C82" s="174"/>
      <c r="D82" s="174"/>
      <c r="E82" s="174"/>
      <c r="F82" s="174"/>
      <c r="G82" s="174"/>
      <c r="H82" s="174"/>
      <c r="I82" s="174"/>
      <c r="J82" s="174"/>
      <c r="K82" s="174"/>
      <c r="L82" s="174"/>
      <c r="M82" s="174"/>
      <c r="N82" s="174"/>
      <c r="O82" s="174"/>
      <c r="P82" s="174"/>
      <c r="Q82" s="174"/>
      <c r="R82" s="174"/>
      <c r="S82" s="174"/>
      <c r="T82" s="174"/>
      <c r="U82" s="174"/>
      <c r="V82" s="174"/>
      <c r="W82" s="911"/>
      <c r="X82" s="1005"/>
      <c r="Y82" s="1007"/>
      <c r="Z82" s="791"/>
      <c r="AA82" s="791"/>
      <c r="AB82" s="791"/>
      <c r="AC82" s="813"/>
      <c r="AD82" s="174"/>
      <c r="AE82" s="174"/>
      <c r="AF82" s="174"/>
      <c r="AG82" s="24"/>
      <c r="AH82" s="18"/>
      <c r="AI82" s="174"/>
      <c r="AJ82" s="58"/>
      <c r="AK82" s="109"/>
      <c r="AL82" s="109"/>
      <c r="AM82" s="85"/>
      <c r="AN82" s="85"/>
      <c r="AO82" s="85"/>
      <c r="AP82" s="109"/>
      <c r="AQ82" s="109"/>
      <c r="AR82" s="109"/>
      <c r="AS82" s="109"/>
      <c r="AT82" s="109"/>
      <c r="AU82" s="60"/>
      <c r="AV82" s="911"/>
      <c r="AW82" s="941"/>
      <c r="AX82" s="944"/>
      <c r="AY82" s="791"/>
      <c r="AZ82" s="791"/>
      <c r="BA82" s="791"/>
      <c r="BB82" s="813"/>
      <c r="BC82" s="174"/>
      <c r="BD82" s="174"/>
      <c r="BE82" s="174"/>
      <c r="BF82" s="174"/>
      <c r="BG82" s="174"/>
      <c r="BH82" s="174"/>
      <c r="BI82" s="174"/>
      <c r="BJ82" s="174"/>
      <c r="BK82" s="174"/>
      <c r="BL82" s="174"/>
      <c r="BM82" s="174"/>
      <c r="BN82" s="174"/>
      <c r="BO82" s="174"/>
      <c r="BP82" s="174"/>
      <c r="BQ82" s="174"/>
      <c r="BR82" s="174"/>
      <c r="BS82" s="174"/>
      <c r="BT82" s="174"/>
      <c r="BU82" s="174"/>
      <c r="BV82" s="174"/>
      <c r="BW82" s="174"/>
      <c r="BX82" s="174"/>
      <c r="BY82" s="174"/>
      <c r="BZ82" s="174"/>
      <c r="CA82" s="174"/>
      <c r="CB82" s="177"/>
    </row>
    <row r="83" spans="2:80" ht="9.9499999999999993" customHeight="1" thickBot="1">
      <c r="B83" s="1"/>
      <c r="C83" s="174"/>
      <c r="D83" s="174"/>
      <c r="E83" s="174"/>
      <c r="F83" s="174"/>
      <c r="G83" s="174"/>
      <c r="H83" s="174"/>
      <c r="I83" s="174"/>
      <c r="J83" s="174"/>
      <c r="K83" s="174"/>
      <c r="L83" s="174"/>
      <c r="M83" s="174"/>
      <c r="N83" s="174"/>
      <c r="O83" s="174"/>
      <c r="P83" s="174"/>
      <c r="Q83" s="174"/>
      <c r="R83" s="174"/>
      <c r="S83" s="174"/>
      <c r="T83" s="174"/>
      <c r="U83" s="174"/>
      <c r="V83" s="174"/>
      <c r="W83" s="957"/>
      <c r="X83" s="1006"/>
      <c r="Y83" s="1008"/>
      <c r="Z83" s="825"/>
      <c r="AA83" s="825"/>
      <c r="AB83" s="825"/>
      <c r="AC83" s="832"/>
      <c r="AD83" s="174"/>
      <c r="AE83" s="174"/>
      <c r="AF83" s="174"/>
      <c r="AG83" s="174"/>
      <c r="AH83" s="174"/>
      <c r="AI83" s="174"/>
      <c r="AJ83" s="58"/>
      <c r="AK83" s="109"/>
      <c r="AL83" s="109"/>
      <c r="AM83" s="85"/>
      <c r="AN83" s="85"/>
      <c r="AO83" s="85"/>
      <c r="AP83" s="109"/>
      <c r="AQ83" s="109"/>
      <c r="AR83" s="109"/>
      <c r="AS83" s="109"/>
      <c r="AT83" s="109"/>
      <c r="AU83" s="60"/>
      <c r="AV83" s="912"/>
      <c r="AW83" s="942"/>
      <c r="AX83" s="945"/>
      <c r="AY83" s="793"/>
      <c r="AZ83" s="793"/>
      <c r="BA83" s="793"/>
      <c r="BB83" s="81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7"/>
    </row>
    <row r="84" spans="2:80" ht="9.9499999999999993" customHeight="1">
      <c r="B84" s="1"/>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58"/>
      <c r="AK84" s="109"/>
      <c r="AL84" s="763"/>
      <c r="AM84" s="764"/>
      <c r="AN84" s="764"/>
      <c r="AO84" s="764"/>
      <c r="AP84" s="764"/>
      <c r="AQ84" s="764"/>
      <c r="AR84" s="764"/>
      <c r="AS84" s="771"/>
      <c r="AT84" s="109"/>
      <c r="AU84" s="60"/>
      <c r="AV84" s="951">
        <v>1</v>
      </c>
      <c r="AW84" s="955">
        <f>WBL_Master</f>
        <v>588</v>
      </c>
      <c r="AX84" s="956" t="s">
        <v>99</v>
      </c>
      <c r="AY84" s="816"/>
      <c r="AZ84" s="816"/>
      <c r="BA84" s="816"/>
      <c r="BB84" s="822"/>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7"/>
    </row>
    <row r="85" spans="2:80" ht="9.9499999999999993" customHeight="1">
      <c r="B85" s="1"/>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58"/>
      <c r="AK85" s="109"/>
      <c r="AL85" s="766"/>
      <c r="AM85" s="767"/>
      <c r="AN85" s="767"/>
      <c r="AO85" s="767"/>
      <c r="AP85" s="767"/>
      <c r="AQ85" s="767"/>
      <c r="AR85" s="767"/>
      <c r="AS85" s="772"/>
      <c r="AT85" s="109"/>
      <c r="AU85" s="60"/>
      <c r="AV85" s="911"/>
      <c r="AW85" s="941"/>
      <c r="AX85" s="944"/>
      <c r="AY85" s="791"/>
      <c r="AZ85" s="791"/>
      <c r="BA85" s="791"/>
      <c r="BB85" s="813"/>
      <c r="BC85" s="174"/>
      <c r="BD85" s="174"/>
      <c r="BE85" s="174"/>
      <c r="BF85" s="174"/>
      <c r="BG85" s="174"/>
      <c r="BH85" s="174"/>
      <c r="BI85" s="174"/>
      <c r="BJ85" s="174"/>
      <c r="BK85" s="174"/>
      <c r="BL85" s="174"/>
      <c r="BM85" s="174"/>
      <c r="BN85" s="174"/>
      <c r="BO85" s="174"/>
      <c r="BP85" s="174"/>
      <c r="BQ85" s="174"/>
      <c r="BR85" s="174"/>
      <c r="BS85" s="174"/>
      <c r="BT85" s="174"/>
      <c r="BU85" s="174"/>
      <c r="BV85" s="174"/>
      <c r="BW85" s="174"/>
      <c r="BX85" s="174"/>
      <c r="BY85" s="174"/>
      <c r="BZ85" s="174"/>
      <c r="CA85" s="174"/>
      <c r="CB85" s="177"/>
    </row>
    <row r="86" spans="2:80" ht="9.9499999999999993" customHeight="1" thickBot="1">
      <c r="B86" s="1"/>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58"/>
      <c r="AK86" s="109"/>
      <c r="AL86" s="766"/>
      <c r="AM86" s="767"/>
      <c r="AN86" s="767"/>
      <c r="AO86" s="767"/>
      <c r="AP86" s="767"/>
      <c r="AQ86" s="767"/>
      <c r="AR86" s="767"/>
      <c r="AS86" s="772"/>
      <c r="AT86" s="109"/>
      <c r="AU86" s="60"/>
      <c r="AV86" s="957"/>
      <c r="AW86" s="966"/>
      <c r="AX86" s="967"/>
      <c r="AY86" s="825"/>
      <c r="AZ86" s="825"/>
      <c r="BA86" s="825"/>
      <c r="BB86" s="832"/>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7"/>
    </row>
    <row r="87" spans="2:80" ht="9.9499999999999993" customHeight="1">
      <c r="B87" s="1"/>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788"/>
      <c r="AD87" s="789"/>
      <c r="AE87" s="789"/>
      <c r="AF87" s="789"/>
      <c r="AG87" s="901" t="s">
        <v>99</v>
      </c>
      <c r="AH87" s="904">
        <f>EBL_Master</f>
        <v>899</v>
      </c>
      <c r="AI87" s="950">
        <v>1</v>
      </c>
      <c r="AJ87" s="109"/>
      <c r="AK87" s="109"/>
      <c r="AL87" s="1833">
        <f>MAX(AH90/AI90,AW81/AV81)+MAX(MAX(AW84/LTAF/AV84, AH87/LTAF/AI87))+MAX(AQ94/LTAF/AQ93,AK79/LTAF/AK80)</f>
        <v>1585.2631578947371</v>
      </c>
      <c r="AM87" s="1834"/>
      <c r="AN87" s="1834"/>
      <c r="AO87" s="1834"/>
      <c r="AP87" s="1834"/>
      <c r="AQ87" s="1834"/>
      <c r="AR87" s="1834"/>
      <c r="AS87" s="1835"/>
      <c r="AT87" s="109"/>
      <c r="AU87" s="60"/>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7"/>
    </row>
    <row r="88" spans="2:80" ht="9.9499999999999993" customHeight="1">
      <c r="B88" s="1"/>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790"/>
      <c r="AD88" s="791"/>
      <c r="AE88" s="791"/>
      <c r="AF88" s="791"/>
      <c r="AG88" s="902"/>
      <c r="AH88" s="905"/>
      <c r="AI88" s="938"/>
      <c r="AJ88" s="109"/>
      <c r="AK88" s="109"/>
      <c r="AL88" s="1833"/>
      <c r="AM88" s="1834"/>
      <c r="AN88" s="1834"/>
      <c r="AO88" s="1834"/>
      <c r="AP88" s="1834"/>
      <c r="AQ88" s="1834"/>
      <c r="AR88" s="1834"/>
      <c r="AS88" s="1835"/>
      <c r="AT88" s="109"/>
      <c r="AU88" s="60"/>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7"/>
    </row>
    <row r="89" spans="2:80" ht="9.9499999999999993" customHeight="1" thickBot="1">
      <c r="B89" s="1"/>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792"/>
      <c r="AD89" s="793"/>
      <c r="AE89" s="793"/>
      <c r="AF89" s="793"/>
      <c r="AG89" s="903"/>
      <c r="AH89" s="906"/>
      <c r="AI89" s="939"/>
      <c r="AJ89" s="109"/>
      <c r="AK89" s="109"/>
      <c r="AL89" s="1836"/>
      <c r="AM89" s="1837"/>
      <c r="AN89" s="1837"/>
      <c r="AO89" s="1837"/>
      <c r="AP89" s="1837"/>
      <c r="AQ89" s="1837"/>
      <c r="AR89" s="1837"/>
      <c r="AS89" s="1838"/>
      <c r="AT89" s="109"/>
      <c r="AU89" s="60"/>
      <c r="AV89" s="174"/>
      <c r="AW89" s="19"/>
      <c r="AX89" s="41"/>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7"/>
    </row>
    <row r="90" spans="2:80" ht="9.9499999999999993" customHeight="1">
      <c r="B90" s="1"/>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815"/>
      <c r="AD90" s="816"/>
      <c r="AE90" s="816"/>
      <c r="AF90" s="816"/>
      <c r="AG90" s="946" t="s">
        <v>99</v>
      </c>
      <c r="AH90" s="947">
        <f>EBT_Master</f>
        <v>0</v>
      </c>
      <c r="AI90" s="937">
        <v>3</v>
      </c>
      <c r="AJ90" s="109"/>
      <c r="AK90" s="109"/>
      <c r="AL90" s="109"/>
      <c r="AM90" s="109"/>
      <c r="AN90" s="109"/>
      <c r="AO90" s="109"/>
      <c r="AP90" s="109"/>
      <c r="AQ90" s="109"/>
      <c r="AR90" s="109"/>
      <c r="AS90" s="109"/>
      <c r="AT90" s="109"/>
      <c r="AU90" s="60"/>
      <c r="AV90" s="174"/>
      <c r="AW90" s="174"/>
      <c r="AX90" s="174"/>
      <c r="AY90" s="174"/>
      <c r="AZ90" s="174"/>
      <c r="BA90" s="788"/>
      <c r="BB90" s="789"/>
      <c r="BC90" s="789"/>
      <c r="BD90" s="789"/>
      <c r="BE90" s="948" t="s">
        <v>99</v>
      </c>
      <c r="BF90" s="949">
        <f>(AK79+AH90)</f>
        <v>607</v>
      </c>
      <c r="BG90" s="950">
        <v>3</v>
      </c>
      <c r="BH90" s="174"/>
      <c r="BI90" s="174"/>
      <c r="BJ90" s="174"/>
      <c r="BK90" s="174"/>
      <c r="BL90" s="174"/>
      <c r="BM90" s="174"/>
      <c r="BN90" s="174"/>
      <c r="BO90" s="174"/>
      <c r="BP90" s="174"/>
      <c r="BQ90" s="174"/>
      <c r="BR90" s="174"/>
      <c r="BS90" s="174"/>
      <c r="BT90" s="174"/>
      <c r="BU90" s="174"/>
      <c r="BV90" s="174"/>
      <c r="BW90" s="174"/>
      <c r="BX90" s="174"/>
      <c r="BY90" s="174"/>
      <c r="BZ90" s="174"/>
      <c r="CA90" s="174"/>
      <c r="CB90" s="177"/>
    </row>
    <row r="91" spans="2:80" ht="9.9499999999999993" customHeight="1">
      <c r="B91" s="1"/>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790"/>
      <c r="AD91" s="791"/>
      <c r="AE91" s="791"/>
      <c r="AF91" s="791"/>
      <c r="AG91" s="902"/>
      <c r="AH91" s="905"/>
      <c r="AI91" s="938"/>
      <c r="AJ91" s="109"/>
      <c r="AK91" s="109"/>
      <c r="AL91" s="85"/>
      <c r="AM91" s="85"/>
      <c r="AN91" s="85"/>
      <c r="AO91" s="85"/>
      <c r="AP91" s="109"/>
      <c r="AQ91" s="109"/>
      <c r="AR91" s="109"/>
      <c r="AS91" s="109"/>
      <c r="AT91" s="109"/>
      <c r="AU91" s="60"/>
      <c r="AV91" s="174"/>
      <c r="AW91" s="174"/>
      <c r="AX91" s="174"/>
      <c r="AY91" s="174"/>
      <c r="AZ91" s="174"/>
      <c r="BA91" s="790"/>
      <c r="BB91" s="791"/>
      <c r="BC91" s="791"/>
      <c r="BD91" s="791"/>
      <c r="BE91" s="932"/>
      <c r="BF91" s="935"/>
      <c r="BG91" s="938"/>
      <c r="BH91" s="174"/>
      <c r="BI91" s="174"/>
      <c r="BJ91" s="174"/>
      <c r="BK91" s="174"/>
      <c r="BL91" s="174"/>
      <c r="BM91" s="174"/>
      <c r="BN91" s="174"/>
      <c r="BO91" s="174"/>
      <c r="BP91" s="174"/>
      <c r="BQ91" s="174"/>
      <c r="BR91" s="174"/>
      <c r="BS91" s="174"/>
      <c r="BT91" s="174"/>
      <c r="BU91" s="174"/>
      <c r="BV91" s="174"/>
      <c r="BW91" s="174"/>
      <c r="BX91" s="174"/>
      <c r="BY91" s="174"/>
      <c r="BZ91" s="174"/>
      <c r="CA91" s="174"/>
      <c r="CB91" s="177"/>
    </row>
    <row r="92" spans="2:80" ht="9.9499999999999993" customHeight="1" thickBot="1">
      <c r="B92" s="1"/>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792"/>
      <c r="AD92" s="793"/>
      <c r="AE92" s="793"/>
      <c r="AF92" s="793"/>
      <c r="AG92" s="903"/>
      <c r="AH92" s="906"/>
      <c r="AI92" s="939"/>
      <c r="AJ92" s="110"/>
      <c r="AK92" s="110"/>
      <c r="AL92" s="86"/>
      <c r="AM92" s="86"/>
      <c r="AN92" s="86"/>
      <c r="AO92" s="86"/>
      <c r="AP92" s="110"/>
      <c r="AQ92" s="110"/>
      <c r="AR92" s="110"/>
      <c r="AS92" s="110"/>
      <c r="AT92" s="110"/>
      <c r="AU92" s="63"/>
      <c r="AV92" s="174"/>
      <c r="AW92" s="174"/>
      <c r="AX92" s="174"/>
      <c r="AY92" s="174"/>
      <c r="AZ92" s="174"/>
      <c r="BA92" s="824"/>
      <c r="BB92" s="825"/>
      <c r="BC92" s="825"/>
      <c r="BD92" s="825"/>
      <c r="BE92" s="963"/>
      <c r="BF92" s="964"/>
      <c r="BG92" s="965"/>
      <c r="BH92" s="174"/>
      <c r="BI92" s="174"/>
      <c r="BJ92" s="174"/>
      <c r="BK92" s="174"/>
      <c r="BL92" s="174"/>
      <c r="BM92" s="174"/>
      <c r="BN92" s="174"/>
      <c r="BO92" s="174"/>
      <c r="BP92" s="174"/>
      <c r="BQ92" s="174"/>
      <c r="BR92" s="174"/>
      <c r="BS92" s="174"/>
      <c r="BT92" s="174"/>
      <c r="BU92" s="174"/>
      <c r="BV92" s="174"/>
      <c r="BW92" s="174"/>
      <c r="BX92" s="174"/>
      <c r="BY92" s="174"/>
      <c r="BZ92" s="174"/>
      <c r="CA92" s="174"/>
      <c r="CB92" s="177"/>
    </row>
    <row r="93" spans="2:80" ht="9.9499999999999993" customHeight="1">
      <c r="B93" s="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815"/>
      <c r="AD93" s="816"/>
      <c r="AE93" s="816"/>
      <c r="AF93" s="816"/>
      <c r="AG93" s="946" t="s">
        <v>99</v>
      </c>
      <c r="AH93" s="947">
        <f>EBR_Master</f>
        <v>208</v>
      </c>
      <c r="AI93" s="937">
        <v>1</v>
      </c>
      <c r="AJ93" s="16"/>
      <c r="AK93" s="16"/>
      <c r="AL93" s="174"/>
      <c r="AM93" s="174"/>
      <c r="AN93" s="174"/>
      <c r="AO93" s="174"/>
      <c r="AP93" s="174"/>
      <c r="AQ93" s="968">
        <v>1</v>
      </c>
      <c r="AR93" s="969"/>
      <c r="AS93" s="972"/>
      <c r="AT93" s="174"/>
      <c r="AU93" s="174"/>
      <c r="AV93" s="174"/>
      <c r="AW93" s="174"/>
      <c r="AX93" s="174"/>
      <c r="AY93" s="56"/>
      <c r="AZ93" s="175"/>
      <c r="BA93" s="175"/>
      <c r="BB93" s="175"/>
      <c r="BC93" s="175"/>
      <c r="BD93" s="175"/>
      <c r="BE93" s="175"/>
      <c r="BF93" s="175"/>
      <c r="BG93" s="175"/>
      <c r="BH93" s="175"/>
      <c r="BI93" s="175"/>
      <c r="BJ93" s="176"/>
      <c r="BK93" s="174"/>
      <c r="BL93" s="174"/>
      <c r="BM93" s="174"/>
      <c r="BN93" s="174"/>
      <c r="BO93" s="174"/>
      <c r="BP93" s="174"/>
      <c r="BQ93" s="174"/>
      <c r="BR93" s="174"/>
      <c r="BS93" s="174"/>
      <c r="BT93" s="174"/>
      <c r="BU93" s="174"/>
      <c r="BV93" s="174"/>
      <c r="BW93" s="174"/>
      <c r="BX93" s="174"/>
      <c r="BY93" s="174"/>
      <c r="BZ93" s="174"/>
      <c r="CA93" s="174"/>
      <c r="CB93" s="177"/>
    </row>
    <row r="94" spans="2:80" ht="9.9499999999999993" customHeight="1">
      <c r="B94" s="1"/>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790"/>
      <c r="AD94" s="791"/>
      <c r="AE94" s="791"/>
      <c r="AF94" s="791"/>
      <c r="AG94" s="902"/>
      <c r="AH94" s="905"/>
      <c r="AI94" s="938"/>
      <c r="AJ94" s="54"/>
      <c r="AK94" s="54"/>
      <c r="AL94" s="174"/>
      <c r="AM94" s="174"/>
      <c r="AN94" s="174"/>
      <c r="AO94" s="174"/>
      <c r="AP94" s="174"/>
      <c r="AQ94" s="983">
        <f>NBL_Master</f>
        <v>0</v>
      </c>
      <c r="AR94" s="984"/>
      <c r="AS94" s="987"/>
      <c r="AT94" s="174"/>
      <c r="AU94" s="174"/>
      <c r="AV94" s="174"/>
      <c r="AW94" s="174"/>
      <c r="AX94" s="174"/>
      <c r="AY94" s="58"/>
      <c r="AZ94" s="109"/>
      <c r="BA94" s="109"/>
      <c r="BB94" s="109"/>
      <c r="BC94" s="109"/>
      <c r="BD94" s="109"/>
      <c r="BE94" s="109"/>
      <c r="BF94" s="109"/>
      <c r="BG94" s="109"/>
      <c r="BH94" s="109"/>
      <c r="BI94" s="109"/>
      <c r="BJ94" s="60"/>
      <c r="BK94" s="174"/>
      <c r="BL94" s="174"/>
      <c r="BM94" s="174"/>
      <c r="BN94" s="174"/>
      <c r="BO94" s="174"/>
      <c r="BP94" s="174"/>
      <c r="BQ94" s="174"/>
      <c r="BR94" s="174"/>
      <c r="BS94" s="174"/>
      <c r="BT94" s="174"/>
      <c r="BU94" s="174"/>
      <c r="BV94" s="174"/>
      <c r="BW94" s="174"/>
      <c r="BX94" s="174"/>
      <c r="BY94" s="174"/>
      <c r="BZ94" s="174"/>
      <c r="CA94" s="174"/>
      <c r="CB94" s="177"/>
    </row>
    <row r="95" spans="2:80" ht="9.9499999999999993" customHeight="1" thickBot="1">
      <c r="B95" s="1"/>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824"/>
      <c r="AD95" s="825"/>
      <c r="AE95" s="825"/>
      <c r="AF95" s="825"/>
      <c r="AG95" s="959"/>
      <c r="AH95" s="960"/>
      <c r="AI95" s="965"/>
      <c r="AJ95" s="174"/>
      <c r="AK95" s="174"/>
      <c r="AL95" s="174"/>
      <c r="AM95" s="174"/>
      <c r="AN95" s="174"/>
      <c r="AO95" s="174"/>
      <c r="AP95" s="174"/>
      <c r="AQ95" s="886" t="s">
        <v>99</v>
      </c>
      <c r="AR95" s="887"/>
      <c r="AS95" s="890"/>
      <c r="AT95" s="174"/>
      <c r="AU95" s="174"/>
      <c r="AV95" s="174"/>
      <c r="AW95" s="174"/>
      <c r="AX95" s="174"/>
      <c r="AY95" s="58"/>
      <c r="AZ95" s="109"/>
      <c r="BA95" s="109"/>
      <c r="BB95" s="109"/>
      <c r="BC95" s="109"/>
      <c r="BD95" s="109"/>
      <c r="BE95" s="109"/>
      <c r="BF95" s="109"/>
      <c r="BG95" s="109"/>
      <c r="BH95" s="109"/>
      <c r="BI95" s="109"/>
      <c r="BJ95" s="60"/>
      <c r="BK95" s="174"/>
      <c r="BL95" s="174"/>
      <c r="BM95" s="174"/>
      <c r="BN95" s="174"/>
      <c r="BO95" s="174"/>
      <c r="BP95" s="174"/>
      <c r="BQ95" s="174"/>
      <c r="BR95" s="174"/>
      <c r="BS95" s="174"/>
      <c r="BT95" s="174"/>
      <c r="BU95" s="174"/>
      <c r="BV95" s="174"/>
      <c r="BW95" s="174"/>
      <c r="BX95" s="174"/>
      <c r="BY95" s="174"/>
      <c r="BZ95" s="174"/>
      <c r="CA95" s="174"/>
      <c r="CB95" s="177"/>
    </row>
    <row r="96" spans="2:80" ht="9.9499999999999993" customHeight="1">
      <c r="B96" s="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25"/>
      <c r="AG96" s="174"/>
      <c r="AH96" s="174"/>
      <c r="AI96" s="174"/>
      <c r="AJ96" s="174"/>
      <c r="AK96" s="174"/>
      <c r="AL96" s="174"/>
      <c r="AM96" s="174"/>
      <c r="AN96" s="174"/>
      <c r="AO96" s="174"/>
      <c r="AP96" s="174"/>
      <c r="AQ96" s="766"/>
      <c r="AR96" s="767"/>
      <c r="AS96" s="772"/>
      <c r="AT96" s="174"/>
      <c r="AU96" s="174"/>
      <c r="AV96" s="174"/>
      <c r="AW96" s="174"/>
      <c r="AX96" s="174"/>
      <c r="AY96" s="58"/>
      <c r="AZ96" s="109"/>
      <c r="BA96" s="763"/>
      <c r="BB96" s="764"/>
      <c r="BC96" s="764"/>
      <c r="BD96" s="764"/>
      <c r="BE96" s="764"/>
      <c r="BF96" s="764"/>
      <c r="BG96" s="764"/>
      <c r="BH96" s="771"/>
      <c r="BI96" s="109"/>
      <c r="BJ96" s="60"/>
      <c r="BK96" s="968">
        <v>1</v>
      </c>
      <c r="BL96" s="969"/>
      <c r="BM96" s="972"/>
      <c r="BN96" s="174"/>
      <c r="BO96" s="174"/>
      <c r="BP96" s="174"/>
      <c r="BQ96" s="174"/>
      <c r="BR96" s="174"/>
      <c r="BS96" s="174"/>
      <c r="BT96" s="174"/>
      <c r="BU96" s="174"/>
      <c r="BV96" s="174"/>
      <c r="BW96" s="174"/>
      <c r="BX96" s="174"/>
      <c r="BY96" s="174"/>
      <c r="BZ96" s="174"/>
      <c r="CA96" s="174"/>
      <c r="CB96" s="177"/>
    </row>
    <row r="97" spans="2:80" ht="9.9499999999999993" customHeight="1">
      <c r="B97" s="1"/>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6"/>
      <c r="AG97" s="174"/>
      <c r="AH97" s="174"/>
      <c r="AI97" s="174"/>
      <c r="AJ97" s="174"/>
      <c r="AK97" s="174"/>
      <c r="AL97" s="174"/>
      <c r="AM97" s="174"/>
      <c r="AN97" s="174"/>
      <c r="AO97" s="174"/>
      <c r="AP97" s="174"/>
      <c r="AQ97" s="766"/>
      <c r="AR97" s="767"/>
      <c r="AS97" s="772"/>
      <c r="AT97" s="174"/>
      <c r="AU97" s="174"/>
      <c r="AV97" s="174"/>
      <c r="AW97" s="174"/>
      <c r="AX97" s="174"/>
      <c r="AY97" s="58"/>
      <c r="AZ97" s="109"/>
      <c r="BA97" s="766"/>
      <c r="BB97" s="767"/>
      <c r="BC97" s="767"/>
      <c r="BD97" s="767"/>
      <c r="BE97" s="767"/>
      <c r="BF97" s="767"/>
      <c r="BG97" s="767"/>
      <c r="BH97" s="772"/>
      <c r="BI97" s="109"/>
      <c r="BJ97" s="60"/>
      <c r="BK97" s="983">
        <f>NBR_Master</f>
        <v>1060</v>
      </c>
      <c r="BL97" s="984"/>
      <c r="BM97" s="987"/>
      <c r="BN97" s="174"/>
      <c r="BO97" s="174"/>
      <c r="BP97" s="174"/>
      <c r="BQ97" s="174"/>
      <c r="BR97" s="174"/>
      <c r="BS97" s="174"/>
      <c r="BT97" s="174"/>
      <c r="BU97" s="174"/>
      <c r="BV97" s="174"/>
      <c r="BW97" s="174"/>
      <c r="BX97" s="174"/>
      <c r="BY97" s="174"/>
      <c r="BZ97" s="174"/>
      <c r="CA97" s="174"/>
      <c r="CB97" s="177"/>
    </row>
    <row r="98" spans="2:80" ht="9.9499999999999993" customHeight="1">
      <c r="B98" s="1"/>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766"/>
      <c r="AR98" s="767"/>
      <c r="AS98" s="772"/>
      <c r="AT98" s="174"/>
      <c r="AU98" s="174"/>
      <c r="AV98" s="174"/>
      <c r="AW98" s="174"/>
      <c r="AX98" s="174"/>
      <c r="AY98" s="58"/>
      <c r="AZ98" s="109"/>
      <c r="BA98" s="766"/>
      <c r="BB98" s="767"/>
      <c r="BC98" s="767"/>
      <c r="BD98" s="767"/>
      <c r="BE98" s="767"/>
      <c r="BF98" s="767"/>
      <c r="BG98" s="767"/>
      <c r="BH98" s="772"/>
      <c r="BI98" s="109"/>
      <c r="BJ98" s="60"/>
      <c r="BK98" s="886" t="s">
        <v>99</v>
      </c>
      <c r="BL98" s="887"/>
      <c r="BM98" s="890"/>
      <c r="BN98" s="174"/>
      <c r="BO98" s="174"/>
      <c r="BP98" s="174"/>
      <c r="BQ98" s="174"/>
      <c r="BR98" s="174"/>
      <c r="BS98" s="174"/>
      <c r="BT98" s="174"/>
      <c r="BU98" s="174"/>
      <c r="BV98" s="174"/>
      <c r="BW98" s="174"/>
      <c r="BX98" s="174"/>
      <c r="BY98" s="174"/>
      <c r="BZ98" s="174"/>
      <c r="CA98" s="174"/>
      <c r="CB98" s="177"/>
    </row>
    <row r="99" spans="2:80" ht="9.9499999999999993" customHeight="1" thickBot="1">
      <c r="B99" s="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849"/>
      <c r="AR99" s="705"/>
      <c r="AS99" s="852"/>
      <c r="AT99" s="174"/>
      <c r="AU99" s="174"/>
      <c r="AV99" s="174"/>
      <c r="AW99" s="174"/>
      <c r="AX99" s="174"/>
      <c r="AY99" s="58"/>
      <c r="AZ99" s="109"/>
      <c r="BA99" s="1833">
        <f>((BK97/RTAF/BK96)+(BF90/BG90))</f>
        <v>1449.392156862745</v>
      </c>
      <c r="BB99" s="1834"/>
      <c r="BC99" s="1834"/>
      <c r="BD99" s="1834"/>
      <c r="BE99" s="1834"/>
      <c r="BF99" s="1834"/>
      <c r="BG99" s="1834"/>
      <c r="BH99" s="1835"/>
      <c r="BI99" s="109"/>
      <c r="BJ99" s="60"/>
      <c r="BK99" s="766"/>
      <c r="BL99" s="767"/>
      <c r="BM99" s="772"/>
      <c r="BN99" s="174"/>
      <c r="BO99" s="174"/>
      <c r="BP99" s="174"/>
      <c r="BQ99" s="174"/>
      <c r="BR99" s="174"/>
      <c r="BS99" s="174"/>
      <c r="BT99" s="174"/>
      <c r="BU99" s="174"/>
      <c r="BV99" s="174"/>
      <c r="BW99" s="174"/>
      <c r="BX99" s="174"/>
      <c r="BY99" s="174"/>
      <c r="BZ99" s="174"/>
      <c r="CA99" s="174"/>
      <c r="CB99" s="177"/>
    </row>
    <row r="100" spans="2:80" ht="9.9499999999999993" customHeight="1">
      <c r="B100" s="1"/>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58"/>
      <c r="AZ100" s="109"/>
      <c r="BA100" s="1833"/>
      <c r="BB100" s="1834"/>
      <c r="BC100" s="1834"/>
      <c r="BD100" s="1834"/>
      <c r="BE100" s="1834"/>
      <c r="BF100" s="1834"/>
      <c r="BG100" s="1834"/>
      <c r="BH100" s="1835"/>
      <c r="BI100" s="109"/>
      <c r="BJ100" s="60"/>
      <c r="BK100" s="766"/>
      <c r="BL100" s="767"/>
      <c r="BM100" s="772"/>
      <c r="BN100" s="174"/>
      <c r="BO100" s="174"/>
      <c r="BP100" s="174"/>
      <c r="BQ100" s="174"/>
      <c r="BR100" s="174"/>
      <c r="BS100" s="174"/>
      <c r="BT100" s="174"/>
      <c r="BU100" s="174"/>
      <c r="BV100" s="174"/>
      <c r="BW100" s="174"/>
      <c r="BX100" s="174"/>
      <c r="BY100" s="174"/>
      <c r="BZ100" s="174"/>
      <c r="CA100" s="174"/>
      <c r="CB100" s="177"/>
    </row>
    <row r="101" spans="2:80" ht="9.9499999999999993" customHeight="1" thickBot="1">
      <c r="B101" s="1"/>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58"/>
      <c r="AZ101" s="109"/>
      <c r="BA101" s="1836"/>
      <c r="BB101" s="1837"/>
      <c r="BC101" s="1837"/>
      <c r="BD101" s="1837"/>
      <c r="BE101" s="1837"/>
      <c r="BF101" s="1837"/>
      <c r="BG101" s="1837"/>
      <c r="BH101" s="1838"/>
      <c r="BI101" s="109"/>
      <c r="BJ101" s="60"/>
      <c r="BK101" s="766"/>
      <c r="BL101" s="767"/>
      <c r="BM101" s="772"/>
      <c r="BN101" s="174"/>
      <c r="BO101" s="174"/>
      <c r="BP101" s="174"/>
      <c r="BQ101" s="174"/>
      <c r="BR101" s="174"/>
      <c r="BS101" s="174"/>
      <c r="BT101" s="174"/>
      <c r="BU101" s="174"/>
      <c r="BV101" s="174"/>
      <c r="BW101" s="174"/>
      <c r="BX101" s="174"/>
      <c r="BY101" s="174"/>
      <c r="BZ101" s="174"/>
      <c r="CA101" s="174"/>
      <c r="CB101" s="177"/>
    </row>
    <row r="102" spans="2:80" ht="9.9499999999999993" customHeight="1" thickBot="1">
      <c r="B102" s="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58"/>
      <c r="AZ102" s="109"/>
      <c r="BA102" s="109"/>
      <c r="BB102" s="109"/>
      <c r="BC102" s="109"/>
      <c r="BD102" s="109"/>
      <c r="BE102" s="109"/>
      <c r="BF102" s="109"/>
      <c r="BG102" s="109"/>
      <c r="BH102" s="109"/>
      <c r="BI102" s="109"/>
      <c r="BJ102" s="60"/>
      <c r="BK102" s="849"/>
      <c r="BL102" s="705"/>
      <c r="BM102" s="852"/>
      <c r="BN102" s="174"/>
      <c r="BO102" s="174"/>
      <c r="BP102" s="174"/>
      <c r="BQ102" s="174"/>
      <c r="BR102" s="174"/>
      <c r="BS102" s="174"/>
      <c r="BT102" s="174"/>
      <c r="BU102" s="174"/>
      <c r="BV102" s="174"/>
      <c r="BW102" s="174"/>
      <c r="BX102" s="174"/>
      <c r="BY102" s="174"/>
      <c r="BZ102" s="174"/>
      <c r="CA102" s="174"/>
      <c r="CB102" s="177"/>
    </row>
    <row r="103" spans="2:80" ht="9.9499999999999993" customHeight="1">
      <c r="B103" s="1"/>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58"/>
      <c r="AZ103" s="109"/>
      <c r="BA103" s="109"/>
      <c r="BB103" s="109"/>
      <c r="BC103" s="109"/>
      <c r="BD103" s="109"/>
      <c r="BE103" s="109"/>
      <c r="BF103" s="109"/>
      <c r="BG103" s="109"/>
      <c r="BH103" s="109"/>
      <c r="BI103" s="109"/>
      <c r="BJ103" s="60"/>
      <c r="BK103" s="174"/>
      <c r="BL103" s="174"/>
      <c r="BM103" s="174"/>
      <c r="BN103" s="174"/>
      <c r="BO103" s="174"/>
      <c r="BP103" s="174"/>
      <c r="BQ103" s="174"/>
      <c r="BR103" s="174"/>
      <c r="BS103" s="174"/>
      <c r="BT103" s="174"/>
      <c r="BU103" s="174"/>
      <c r="BV103" s="174"/>
      <c r="BW103" s="174"/>
      <c r="BX103" s="174"/>
      <c r="BY103" s="174"/>
      <c r="BZ103" s="174"/>
      <c r="CA103" s="174"/>
      <c r="CB103" s="177"/>
    </row>
    <row r="104" spans="2:80" ht="9.9499999999999993" customHeight="1" thickBot="1">
      <c r="B104" s="1"/>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61"/>
      <c r="AZ104" s="110"/>
      <c r="BA104" s="110"/>
      <c r="BB104" s="110"/>
      <c r="BC104" s="110"/>
      <c r="BD104" s="110"/>
      <c r="BE104" s="110"/>
      <c r="BF104" s="110"/>
      <c r="BG104" s="110"/>
      <c r="BH104" s="110"/>
      <c r="BI104" s="110"/>
      <c r="BJ104" s="63"/>
      <c r="BK104" s="174"/>
      <c r="BL104" s="174"/>
      <c r="BM104" s="174"/>
      <c r="BN104" s="174"/>
      <c r="BO104" s="174"/>
      <c r="BP104" s="174"/>
      <c r="BQ104" s="174"/>
      <c r="BR104" s="174"/>
      <c r="BS104" s="174"/>
      <c r="BT104" s="174"/>
      <c r="BU104" s="174"/>
      <c r="BV104" s="174"/>
      <c r="BW104" s="174"/>
      <c r="BX104" s="174"/>
      <c r="BY104" s="174"/>
      <c r="BZ104" s="174"/>
      <c r="CA104" s="174"/>
      <c r="CB104" s="177"/>
    </row>
    <row r="105" spans="2:80" ht="9.9499999999999993" customHeight="1">
      <c r="B105" s="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7"/>
    </row>
    <row r="106" spans="2:80" ht="9.9499999999999993" customHeight="1">
      <c r="B106" s="1"/>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7"/>
    </row>
    <row r="107" spans="2:80" ht="9.9499999999999993" customHeight="1">
      <c r="B107" s="1"/>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7"/>
    </row>
    <row r="108" spans="2:80" ht="9.9499999999999993" customHeight="1">
      <c r="B108" s="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7"/>
    </row>
    <row r="109" spans="2:80" ht="9.9499999999999993" customHeight="1">
      <c r="B109" s="1"/>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83">
    <mergeCell ref="AQ96:AS99"/>
    <mergeCell ref="BA96:BH98"/>
    <mergeCell ref="BK96:BM96"/>
    <mergeCell ref="BK97:BM97"/>
    <mergeCell ref="BK98:BM98"/>
    <mergeCell ref="BA99:BH101"/>
    <mergeCell ref="BK99:BM102"/>
    <mergeCell ref="BA90:BD92"/>
    <mergeCell ref="BE90:BE92"/>
    <mergeCell ref="BF90:BF92"/>
    <mergeCell ref="BG90:BG92"/>
    <mergeCell ref="AC93:AF95"/>
    <mergeCell ref="AG93:AG95"/>
    <mergeCell ref="AH93:AH95"/>
    <mergeCell ref="AI93:AI95"/>
    <mergeCell ref="AQ93:AS93"/>
    <mergeCell ref="AQ94:AS94"/>
    <mergeCell ref="AC90:AF92"/>
    <mergeCell ref="AG90:AG92"/>
    <mergeCell ref="AH90:AH92"/>
    <mergeCell ref="AI90:AI92"/>
    <mergeCell ref="AQ95:AS95"/>
    <mergeCell ref="AC87:AF89"/>
    <mergeCell ref="AG87:AG89"/>
    <mergeCell ref="AH87:AH89"/>
    <mergeCell ref="AI87:AI89"/>
    <mergeCell ref="AL87:AS89"/>
    <mergeCell ref="AX81:AX83"/>
    <mergeCell ref="AY81:BB83"/>
    <mergeCell ref="AL84:AS86"/>
    <mergeCell ref="AV84:AV86"/>
    <mergeCell ref="AW84:AW86"/>
    <mergeCell ref="AX84:AX86"/>
    <mergeCell ref="AY84:BB86"/>
    <mergeCell ref="AW81:AW83"/>
    <mergeCell ref="W81:W83"/>
    <mergeCell ref="X81:X83"/>
    <mergeCell ref="Y81:Y83"/>
    <mergeCell ref="Z81:AC83"/>
    <mergeCell ref="AV81:AV83"/>
    <mergeCell ref="AK78:AM78"/>
    <mergeCell ref="AV78:AV80"/>
    <mergeCell ref="AW78:AW80"/>
    <mergeCell ref="AX78:AX80"/>
    <mergeCell ref="AY78:BB80"/>
    <mergeCell ref="AK79:AM79"/>
    <mergeCell ref="AK80:AM80"/>
    <mergeCell ref="B57:CB58"/>
    <mergeCell ref="B59:CB60"/>
    <mergeCell ref="R71:T74"/>
    <mergeCell ref="W72:AD74"/>
    <mergeCell ref="AK74:AM77"/>
    <mergeCell ref="R75:T75"/>
    <mergeCell ref="W75:AD77"/>
    <mergeCell ref="R76:T76"/>
    <mergeCell ref="R77:T77"/>
    <mergeCell ref="C10:J11"/>
    <mergeCell ref="K10:BC11"/>
    <mergeCell ref="C12:J13"/>
    <mergeCell ref="K12:BC13"/>
    <mergeCell ref="T17:AC19"/>
    <mergeCell ref="AJ17:AS19"/>
    <mergeCell ref="AZ17:BI19"/>
    <mergeCell ref="BD10:BO13"/>
    <mergeCell ref="B1:CB2"/>
    <mergeCell ref="B3:CB4"/>
    <mergeCell ref="C6:J7"/>
    <mergeCell ref="K6:BC7"/>
    <mergeCell ref="C8:J9"/>
    <mergeCell ref="K8:BC9"/>
    <mergeCell ref="BD6:CA7"/>
    <mergeCell ref="BD8:BI9"/>
    <mergeCell ref="BJ8:BO9"/>
    <mergeCell ref="BP8:BU9"/>
    <mergeCell ref="BV8:CA9"/>
    <mergeCell ref="W55:BF55"/>
    <mergeCell ref="BP10:CA13"/>
    <mergeCell ref="T20:X22"/>
    <mergeCell ref="Y20:AC22"/>
    <mergeCell ref="AJ20:AN22"/>
    <mergeCell ref="AO20:AS22"/>
    <mergeCell ref="AZ20:BD22"/>
    <mergeCell ref="BE20:BI22"/>
  </mergeCells>
  <conditionalFormatting sqref="T17 AJ17 AZ17 W75 AL87 BA99">
    <cfRule type="cellIs" dxfId="5" priority="36" operator="between">
      <formula>0.75*CLV_Limit</formula>
      <formula>0.875*CLV_Limit-1</formula>
    </cfRule>
    <cfRule type="cellIs" dxfId="4" priority="37" operator="between">
      <formula>0.875*CLV_Limit</formula>
      <formula>CLV_Limit-1</formula>
    </cfRule>
  </conditionalFormatting>
  <conditionalFormatting sqref="AJ17 AZ17 W75 AL87 BA99">
    <cfRule type="cellIs" dxfId="3" priority="38" operator="greaterThan">
      <formula>CLV_Limit</formula>
    </cfRule>
  </conditionalFormatting>
  <conditionalFormatting sqref="BP10 T20 AJ20 AZ20">
    <cfRule type="cellIs" dxfId="2" priority="19" operator="between">
      <formula>0.75</formula>
      <formula>0.875</formula>
    </cfRule>
    <cfRule type="cellIs" dxfId="1" priority="20" operator="between">
      <formula>0.875</formula>
      <formula>1</formula>
    </cfRule>
    <cfRule type="cellIs" dxfId="0" priority="21" operator="greaterThan">
      <formula>1</formula>
    </cfRule>
  </conditionalFormatting>
  <pageMargins left="0.2" right="0.2" top="0.5" bottom="0.5" header="0.3" footer="0.3"/>
  <pageSetup orientation="landscape" horizontalDpi="1200" verticalDpi="1200" r:id="rId1"/>
  <headerFooter>
    <oddFooter>&amp;CCapacity Analysis for Planning of Junctions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4" tint="-0.249977111117893"/>
  </sheetPr>
  <dimension ref="A1:EH484"/>
  <sheetViews>
    <sheetView showGridLines="0" showRowColHeaders="0" zoomScaleNormal="100" workbookViewId="0">
      <selection activeCell="AA24" sqref="AA24:AF25"/>
    </sheetView>
  </sheetViews>
  <sheetFormatPr defaultColWidth="0" defaultRowHeight="0" customHeight="1" zeroHeight="1"/>
  <cols>
    <col min="1" max="1" width="0.42578125" customWidth="1"/>
    <col min="2" max="80" width="1.7109375" customWidth="1"/>
    <col min="81" max="81" width="0.42578125" customWidth="1"/>
    <col min="82" max="130" width="1.7109375" hidden="1" customWidth="1"/>
    <col min="131" max="138" width="2.7109375" hidden="1" customWidth="1"/>
    <col min="139" max="16384" width="9.140625" hidden="1"/>
  </cols>
  <sheetData>
    <row r="1" spans="2:80" ht="9.9499999999999993" customHeight="1">
      <c r="B1" s="571" t="s">
        <v>40</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80"/>
    </row>
    <row r="2" spans="2:80"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3"/>
    </row>
    <row r="3" spans="2:80" ht="9.9499999999999993" customHeight="1">
      <c r="B3" s="572" t="s">
        <v>2</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c r="BJ3" s="573"/>
      <c r="BK3" s="573"/>
      <c r="BL3" s="573"/>
      <c r="BM3" s="573"/>
      <c r="BN3" s="573"/>
      <c r="BO3" s="573"/>
      <c r="BP3" s="573"/>
      <c r="BQ3" s="573"/>
      <c r="BR3" s="573"/>
      <c r="BS3" s="573"/>
      <c r="BT3" s="573"/>
      <c r="BU3" s="573"/>
      <c r="BV3" s="573"/>
      <c r="BW3" s="573"/>
      <c r="BX3" s="573"/>
      <c r="BY3" s="573"/>
      <c r="BZ3" s="573"/>
      <c r="CA3" s="573"/>
      <c r="CB3" s="574"/>
    </row>
    <row r="4" spans="2:80" ht="9.9499999999999993" customHeight="1">
      <c r="B4" s="572"/>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c r="BV4" s="573"/>
      <c r="BW4" s="573"/>
      <c r="BX4" s="573"/>
      <c r="BY4" s="573"/>
      <c r="BZ4" s="573"/>
      <c r="CA4" s="573"/>
      <c r="CB4" s="574"/>
    </row>
    <row r="5" spans="2:80" ht="9.9499999999999993" customHeigh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7"/>
    </row>
    <row r="6" spans="2:80" ht="9.9499999999999993" customHeight="1" thickBot="1">
      <c r="B6" s="1"/>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7"/>
    </row>
    <row r="7" spans="2:80" ht="9.9499999999999993" customHeight="1">
      <c r="B7" s="1"/>
      <c r="C7" s="174"/>
      <c r="D7" s="174"/>
      <c r="E7" s="205" t="s">
        <v>3</v>
      </c>
      <c r="F7" s="206"/>
      <c r="G7" s="206"/>
      <c r="H7" s="206"/>
      <c r="I7" s="206"/>
      <c r="J7" s="206"/>
      <c r="K7" s="206"/>
      <c r="L7" s="206"/>
      <c r="M7" s="593" t="str">
        <f>P_Name</f>
        <v>"Enter the Project Title here (Input worksheet)"</v>
      </c>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c r="BA7" s="594"/>
      <c r="BB7" s="575" t="s">
        <v>41</v>
      </c>
      <c r="BC7" s="576"/>
      <c r="BD7" s="576"/>
      <c r="BE7" s="576"/>
      <c r="BF7" s="576"/>
      <c r="BG7" s="576"/>
      <c r="BH7" s="576"/>
      <c r="BI7" s="576"/>
      <c r="BJ7" s="576"/>
      <c r="BK7" s="576"/>
      <c r="BL7" s="576"/>
      <c r="BM7" s="576"/>
      <c r="BN7" s="576"/>
      <c r="BO7" s="576"/>
      <c r="BP7" s="576"/>
      <c r="BQ7" s="576"/>
      <c r="BR7" s="576"/>
      <c r="BS7" s="576"/>
      <c r="BT7" s="576"/>
      <c r="BU7" s="576"/>
      <c r="BV7" s="576"/>
      <c r="BW7" s="576"/>
      <c r="BX7" s="576"/>
      <c r="BY7" s="577"/>
      <c r="BZ7" s="174"/>
      <c r="CA7" s="174"/>
      <c r="CB7" s="177"/>
    </row>
    <row r="8" spans="2:80" ht="9.9499999999999993" customHeight="1">
      <c r="B8" s="1"/>
      <c r="C8" s="174"/>
      <c r="D8" s="174"/>
      <c r="E8" s="207"/>
      <c r="F8" s="208"/>
      <c r="G8" s="208"/>
      <c r="H8" s="208"/>
      <c r="I8" s="208"/>
      <c r="J8" s="208"/>
      <c r="K8" s="208"/>
      <c r="L8" s="208"/>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6"/>
      <c r="BB8" s="578"/>
      <c r="BC8" s="579"/>
      <c r="BD8" s="579"/>
      <c r="BE8" s="579"/>
      <c r="BF8" s="579"/>
      <c r="BG8" s="579"/>
      <c r="BH8" s="579"/>
      <c r="BI8" s="579"/>
      <c r="BJ8" s="579"/>
      <c r="BK8" s="579"/>
      <c r="BL8" s="579"/>
      <c r="BM8" s="579"/>
      <c r="BN8" s="579"/>
      <c r="BO8" s="579"/>
      <c r="BP8" s="579"/>
      <c r="BQ8" s="579"/>
      <c r="BR8" s="579"/>
      <c r="BS8" s="579"/>
      <c r="BT8" s="579"/>
      <c r="BU8" s="579"/>
      <c r="BV8" s="579"/>
      <c r="BW8" s="579"/>
      <c r="BX8" s="579"/>
      <c r="BY8" s="580"/>
      <c r="BZ8" s="174"/>
      <c r="CA8" s="174"/>
      <c r="CB8" s="177"/>
    </row>
    <row r="9" spans="2:80" ht="9.9499999999999993" customHeight="1">
      <c r="B9" s="1"/>
      <c r="C9" s="174"/>
      <c r="D9" s="174"/>
      <c r="E9" s="207" t="s">
        <v>5</v>
      </c>
      <c r="F9" s="208"/>
      <c r="G9" s="208"/>
      <c r="H9" s="208"/>
      <c r="I9" s="208"/>
      <c r="J9" s="208"/>
      <c r="K9" s="208"/>
      <c r="L9" s="208"/>
      <c r="M9" s="597" t="str">
        <f>P_Number</f>
        <v>"Enter the Project Number here (Input worksheet)"</v>
      </c>
      <c r="N9" s="597"/>
      <c r="O9" s="597"/>
      <c r="P9" s="597"/>
      <c r="Q9" s="597"/>
      <c r="R9" s="597"/>
      <c r="S9" s="597"/>
      <c r="T9" s="597"/>
      <c r="U9" s="597"/>
      <c r="V9" s="597"/>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c r="AX9" s="597"/>
      <c r="AY9" s="597"/>
      <c r="AZ9" s="597"/>
      <c r="BA9" s="598"/>
      <c r="BB9" s="587" t="s">
        <v>42</v>
      </c>
      <c r="BC9" s="588"/>
      <c r="BD9" s="588"/>
      <c r="BE9" s="588"/>
      <c r="BF9" s="588"/>
      <c r="BG9" s="588"/>
      <c r="BH9" s="588"/>
      <c r="BI9" s="588"/>
      <c r="BJ9" s="588"/>
      <c r="BK9" s="588"/>
      <c r="BL9" s="588"/>
      <c r="BM9" s="588"/>
      <c r="BN9" s="588"/>
      <c r="BO9" s="588"/>
      <c r="BP9" s="588"/>
      <c r="BQ9" s="588"/>
      <c r="BR9" s="588"/>
      <c r="BS9" s="588"/>
      <c r="BT9" s="588"/>
      <c r="BU9" s="588"/>
      <c r="BV9" s="588"/>
      <c r="BW9" s="588"/>
      <c r="BX9" s="588"/>
      <c r="BY9" s="589"/>
      <c r="BZ9" s="174"/>
      <c r="CA9" s="174"/>
      <c r="CB9" s="177"/>
    </row>
    <row r="10" spans="2:80" ht="9.9499999999999993" customHeight="1">
      <c r="B10" s="1"/>
      <c r="C10" s="174"/>
      <c r="D10" s="174"/>
      <c r="E10" s="207"/>
      <c r="F10" s="208"/>
      <c r="G10" s="208"/>
      <c r="H10" s="208"/>
      <c r="I10" s="208"/>
      <c r="J10" s="208"/>
      <c r="K10" s="208"/>
      <c r="L10" s="208"/>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8"/>
      <c r="BB10" s="590"/>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2"/>
      <c r="BZ10" s="174"/>
      <c r="CA10" s="174"/>
      <c r="CB10" s="177"/>
    </row>
    <row r="11" spans="2:80" ht="9.9499999999999993" customHeight="1">
      <c r="B11" s="1"/>
      <c r="C11" s="174"/>
      <c r="D11" s="174"/>
      <c r="E11" s="207" t="s">
        <v>7</v>
      </c>
      <c r="F11" s="208"/>
      <c r="G11" s="208"/>
      <c r="H11" s="208"/>
      <c r="I11" s="208"/>
      <c r="J11" s="208"/>
      <c r="K11" s="208"/>
      <c r="L11" s="208"/>
      <c r="M11" s="597" t="str">
        <f>Location</f>
        <v>"Enter the Project Location here (Input worksheet)"</v>
      </c>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597"/>
      <c r="AY11" s="597"/>
      <c r="AZ11" s="597"/>
      <c r="BA11" s="598"/>
      <c r="BB11" s="603" t="str">
        <f xml:space="preserve"> "&lt; " &amp; 0.75*CLV_Limit</f>
        <v>&lt; 1200</v>
      </c>
      <c r="BC11" s="604"/>
      <c r="BD11" s="604"/>
      <c r="BE11" s="604"/>
      <c r="BF11" s="604"/>
      <c r="BG11" s="604"/>
      <c r="BH11" s="605" t="str">
        <f xml:space="preserve"> ROUND(0.75*CLV_Limit,0) &amp; " - " &amp; ROUND(0.875*CLV_Limit-1,0)</f>
        <v>1200 - 1399</v>
      </c>
      <c r="BI11" s="605"/>
      <c r="BJ11" s="605"/>
      <c r="BK11" s="605"/>
      <c r="BL11" s="605"/>
      <c r="BM11" s="605"/>
      <c r="BN11" s="606" t="str">
        <f>ROUND(0.875*CLV_Limit,0)&amp;" - "&amp; ROUND(CLV_Limit-1,0)</f>
        <v>1400 - 1599</v>
      </c>
      <c r="BO11" s="606"/>
      <c r="BP11" s="606"/>
      <c r="BQ11" s="606"/>
      <c r="BR11" s="606"/>
      <c r="BS11" s="606"/>
      <c r="BT11" s="607" t="str">
        <f>"≥ " &amp;CLV_Limit</f>
        <v>≥ 1600</v>
      </c>
      <c r="BU11" s="607"/>
      <c r="BV11" s="607"/>
      <c r="BW11" s="607"/>
      <c r="BX11" s="607"/>
      <c r="BY11" s="608"/>
      <c r="BZ11" s="174"/>
      <c r="CA11" s="174"/>
      <c r="CB11" s="177"/>
    </row>
    <row r="12" spans="2:80" ht="9.9499999999999993" customHeight="1">
      <c r="B12" s="1"/>
      <c r="C12" s="174"/>
      <c r="D12" s="174"/>
      <c r="E12" s="207"/>
      <c r="F12" s="208"/>
      <c r="G12" s="208"/>
      <c r="H12" s="208"/>
      <c r="I12" s="208"/>
      <c r="J12" s="208"/>
      <c r="K12" s="208"/>
      <c r="L12" s="208"/>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8"/>
      <c r="BB12" s="603"/>
      <c r="BC12" s="604"/>
      <c r="BD12" s="604"/>
      <c r="BE12" s="604"/>
      <c r="BF12" s="604"/>
      <c r="BG12" s="604"/>
      <c r="BH12" s="605"/>
      <c r="BI12" s="605"/>
      <c r="BJ12" s="605"/>
      <c r="BK12" s="605"/>
      <c r="BL12" s="605"/>
      <c r="BM12" s="605"/>
      <c r="BN12" s="606"/>
      <c r="BO12" s="606"/>
      <c r="BP12" s="606"/>
      <c r="BQ12" s="606"/>
      <c r="BR12" s="606"/>
      <c r="BS12" s="606"/>
      <c r="BT12" s="607"/>
      <c r="BU12" s="607"/>
      <c r="BV12" s="607"/>
      <c r="BW12" s="607"/>
      <c r="BX12" s="607"/>
      <c r="BY12" s="608"/>
      <c r="BZ12" s="174"/>
      <c r="CA12" s="174"/>
      <c r="CB12" s="177"/>
    </row>
    <row r="13" spans="2:80" ht="9.9499999999999993" customHeight="1">
      <c r="B13" s="1"/>
      <c r="C13" s="174"/>
      <c r="D13" s="174"/>
      <c r="E13" s="207" t="s">
        <v>9</v>
      </c>
      <c r="F13" s="208"/>
      <c r="G13" s="208"/>
      <c r="H13" s="208"/>
      <c r="I13" s="208"/>
      <c r="J13" s="208"/>
      <c r="K13" s="208"/>
      <c r="L13" s="208"/>
      <c r="M13" s="599" t="str">
        <f>Date</f>
        <v>"Enter the date here (Input worksheet)"</v>
      </c>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600"/>
      <c r="BB13" s="581">
        <f>COUNTIF(BZ24:BZ53,1)+COUNTIF(BZ90:BZ109,1)+COUNTIF(BZ69:BZ82,1)</f>
        <v>2</v>
      </c>
      <c r="BC13" s="582"/>
      <c r="BD13" s="582"/>
      <c r="BE13" s="582"/>
      <c r="BF13" s="582"/>
      <c r="BG13" s="582"/>
      <c r="BH13" s="582">
        <f>COUNTIF(BZ24:BZ53,2)+COUNTIF(BZ90:BZ109,2)+COUNTIF(BZ69:BZ82,2)</f>
        <v>0</v>
      </c>
      <c r="BI13" s="582"/>
      <c r="BJ13" s="582"/>
      <c r="BK13" s="582"/>
      <c r="BL13" s="582"/>
      <c r="BM13" s="582"/>
      <c r="BN13" s="582">
        <f>COUNTIF(BZ24:BZ53,3)+COUNTIF(BZ90:BZ109,3)+COUNTIF(BZ69:BZ82,3)</f>
        <v>5</v>
      </c>
      <c r="BO13" s="582"/>
      <c r="BP13" s="582"/>
      <c r="BQ13" s="582"/>
      <c r="BR13" s="582"/>
      <c r="BS13" s="582"/>
      <c r="BT13" s="582">
        <f>COUNTIF(BZ24:BZ53,4)+COUNTIF(BZ90:BZ109,4)+COUNTIF(BZ69:BZ82,4)</f>
        <v>25</v>
      </c>
      <c r="BU13" s="582"/>
      <c r="BV13" s="582"/>
      <c r="BW13" s="582"/>
      <c r="BX13" s="582"/>
      <c r="BY13" s="585"/>
      <c r="BZ13" s="174"/>
      <c r="CA13" s="174"/>
      <c r="CB13" s="177"/>
    </row>
    <row r="14" spans="2:80" ht="9.9499999999999993" customHeight="1" thickBot="1">
      <c r="B14" s="1"/>
      <c r="C14" s="174"/>
      <c r="D14" s="174"/>
      <c r="E14" s="239"/>
      <c r="F14" s="240"/>
      <c r="G14" s="240"/>
      <c r="H14" s="240"/>
      <c r="I14" s="240"/>
      <c r="J14" s="240"/>
      <c r="K14" s="240"/>
      <c r="L14" s="240"/>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2"/>
      <c r="BB14" s="583"/>
      <c r="BC14" s="584"/>
      <c r="BD14" s="584"/>
      <c r="BE14" s="584"/>
      <c r="BF14" s="584"/>
      <c r="BG14" s="584"/>
      <c r="BH14" s="584"/>
      <c r="BI14" s="584"/>
      <c r="BJ14" s="584"/>
      <c r="BK14" s="584"/>
      <c r="BL14" s="584"/>
      <c r="BM14" s="584"/>
      <c r="BN14" s="584"/>
      <c r="BO14" s="584"/>
      <c r="BP14" s="584"/>
      <c r="BQ14" s="584"/>
      <c r="BR14" s="584"/>
      <c r="BS14" s="584"/>
      <c r="BT14" s="584"/>
      <c r="BU14" s="584"/>
      <c r="BV14" s="584"/>
      <c r="BW14" s="584"/>
      <c r="BX14" s="584"/>
      <c r="BY14" s="586"/>
      <c r="BZ14" s="174"/>
      <c r="CA14" s="174"/>
      <c r="CB14" s="177"/>
    </row>
    <row r="15" spans="2:80"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48"/>
      <c r="AX15" s="148"/>
      <c r="AY15" s="148"/>
      <c r="AZ15" s="148"/>
      <c r="BA15" s="148"/>
      <c r="BB15" s="148"/>
      <c r="BC15" s="148"/>
      <c r="BD15" s="148"/>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7"/>
    </row>
    <row r="16" spans="2:80"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7"/>
    </row>
    <row r="17" spans="2:80" ht="9.9499999999999993" customHeight="1" thickBo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7"/>
    </row>
    <row r="18" spans="2:80" ht="9.9499999999999993" customHeight="1">
      <c r="B18" s="1"/>
      <c r="C18" s="174"/>
      <c r="D18" s="174"/>
      <c r="E18" s="466" t="s">
        <v>43</v>
      </c>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467"/>
      <c r="AK18" s="467"/>
      <c r="AL18" s="467"/>
      <c r="AM18" s="467"/>
      <c r="AN18" s="467"/>
      <c r="AO18" s="467"/>
      <c r="AP18" s="467"/>
      <c r="AQ18" s="467"/>
      <c r="AR18" s="467"/>
      <c r="AS18" s="467"/>
      <c r="AT18" s="467"/>
      <c r="AU18" s="467"/>
      <c r="AV18" s="467"/>
      <c r="AW18" s="467"/>
      <c r="AX18" s="467"/>
      <c r="AY18" s="467"/>
      <c r="AZ18" s="467"/>
      <c r="BA18" s="467"/>
      <c r="BB18" s="467"/>
      <c r="BC18" s="467"/>
      <c r="BD18" s="467"/>
      <c r="BE18" s="467"/>
      <c r="BF18" s="467"/>
      <c r="BG18" s="467"/>
      <c r="BH18" s="467"/>
      <c r="BI18" s="467"/>
      <c r="BJ18" s="467"/>
      <c r="BK18" s="467"/>
      <c r="BL18" s="467"/>
      <c r="BM18" s="467"/>
      <c r="BN18" s="467"/>
      <c r="BO18" s="467"/>
      <c r="BP18" s="467"/>
      <c r="BQ18" s="467"/>
      <c r="BR18" s="467"/>
      <c r="BS18" s="467"/>
      <c r="BT18" s="467"/>
      <c r="BU18" s="467"/>
      <c r="BV18" s="467"/>
      <c r="BW18" s="467"/>
      <c r="BX18" s="467"/>
      <c r="BY18" s="468"/>
      <c r="BZ18" s="174"/>
      <c r="CA18" s="174"/>
      <c r="CB18" s="177"/>
    </row>
    <row r="19" spans="2:80" ht="9.9499999999999993" customHeight="1" thickBot="1">
      <c r="B19" s="1"/>
      <c r="C19" s="174"/>
      <c r="D19" s="174"/>
      <c r="E19" s="469"/>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1"/>
      <c r="BZ19" s="174"/>
      <c r="CA19" s="174"/>
      <c r="CB19" s="177"/>
    </row>
    <row r="20" spans="2:80" ht="9.9499999999999993" customHeight="1">
      <c r="B20" s="1"/>
      <c r="C20" s="174"/>
      <c r="D20" s="174"/>
      <c r="E20" s="685" t="s">
        <v>44</v>
      </c>
      <c r="F20" s="678"/>
      <c r="G20" s="678"/>
      <c r="H20" s="682" t="s">
        <v>45</v>
      </c>
      <c r="I20" s="682"/>
      <c r="J20" s="682"/>
      <c r="K20" s="682"/>
      <c r="L20" s="682"/>
      <c r="M20" s="682"/>
      <c r="N20" s="682"/>
      <c r="O20" s="682"/>
      <c r="P20" s="682"/>
      <c r="Q20" s="682"/>
      <c r="R20" s="682"/>
      <c r="S20" s="682"/>
      <c r="T20" s="682"/>
      <c r="U20" s="682"/>
      <c r="V20" s="682"/>
      <c r="W20" s="682"/>
      <c r="X20" s="682"/>
      <c r="Y20" s="682"/>
      <c r="Z20" s="682"/>
      <c r="AA20" s="678" t="s">
        <v>46</v>
      </c>
      <c r="AB20" s="678"/>
      <c r="AC20" s="678"/>
      <c r="AD20" s="678"/>
      <c r="AE20" s="678"/>
      <c r="AF20" s="678"/>
      <c r="AG20" s="693" t="s">
        <v>47</v>
      </c>
      <c r="AH20" s="693"/>
      <c r="AI20" s="693"/>
      <c r="AJ20" s="693"/>
      <c r="AK20" s="693"/>
      <c r="AL20" s="693"/>
      <c r="AM20" s="693" t="s">
        <v>48</v>
      </c>
      <c r="AN20" s="693"/>
      <c r="AO20" s="693"/>
      <c r="AP20" s="693"/>
      <c r="AQ20" s="693"/>
      <c r="AR20" s="693"/>
      <c r="AS20" s="693" t="s">
        <v>49</v>
      </c>
      <c r="AT20" s="693"/>
      <c r="AU20" s="693"/>
      <c r="AV20" s="693"/>
      <c r="AW20" s="693"/>
      <c r="AX20" s="693"/>
      <c r="AY20" s="693" t="s">
        <v>50</v>
      </c>
      <c r="AZ20" s="693"/>
      <c r="BA20" s="693"/>
      <c r="BB20" s="693"/>
      <c r="BC20" s="693"/>
      <c r="BD20" s="693"/>
      <c r="BE20" s="693" t="s">
        <v>51</v>
      </c>
      <c r="BF20" s="693"/>
      <c r="BG20" s="693"/>
      <c r="BH20" s="693"/>
      <c r="BI20" s="693"/>
      <c r="BJ20" s="693"/>
      <c r="BK20" s="429" t="s">
        <v>52</v>
      </c>
      <c r="BL20" s="429"/>
      <c r="BM20" s="429"/>
      <c r="BN20" s="429"/>
      <c r="BO20" s="429"/>
      <c r="BP20" s="429"/>
      <c r="BQ20" s="429"/>
      <c r="BR20" s="678" t="s">
        <v>53</v>
      </c>
      <c r="BS20" s="678"/>
      <c r="BT20" s="678"/>
      <c r="BU20" s="678"/>
      <c r="BV20" s="678"/>
      <c r="BW20" s="678"/>
      <c r="BX20" s="678"/>
      <c r="BY20" s="679"/>
      <c r="BZ20" s="174"/>
      <c r="CA20" s="134"/>
      <c r="CB20" s="177"/>
    </row>
    <row r="21" spans="2:80" ht="9.9499999999999993" customHeight="1">
      <c r="B21" s="1"/>
      <c r="C21" s="174"/>
      <c r="D21" s="174"/>
      <c r="E21" s="572"/>
      <c r="F21" s="573"/>
      <c r="G21" s="573"/>
      <c r="H21" s="683"/>
      <c r="I21" s="683"/>
      <c r="J21" s="683"/>
      <c r="K21" s="683"/>
      <c r="L21" s="683"/>
      <c r="M21" s="683"/>
      <c r="N21" s="683"/>
      <c r="O21" s="683"/>
      <c r="P21" s="683"/>
      <c r="Q21" s="683"/>
      <c r="R21" s="683"/>
      <c r="S21" s="683"/>
      <c r="T21" s="683"/>
      <c r="U21" s="683"/>
      <c r="V21" s="683"/>
      <c r="W21" s="683"/>
      <c r="X21" s="683"/>
      <c r="Y21" s="683"/>
      <c r="Z21" s="683"/>
      <c r="AA21" s="573"/>
      <c r="AB21" s="573"/>
      <c r="AC21" s="573"/>
      <c r="AD21" s="573"/>
      <c r="AE21" s="573"/>
      <c r="AF21" s="573"/>
      <c r="AG21" s="694"/>
      <c r="AH21" s="694"/>
      <c r="AI21" s="694"/>
      <c r="AJ21" s="694"/>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570"/>
      <c r="BL21" s="570"/>
      <c r="BM21" s="570"/>
      <c r="BN21" s="570"/>
      <c r="BO21" s="570"/>
      <c r="BP21" s="570"/>
      <c r="BQ21" s="570"/>
      <c r="BR21" s="573"/>
      <c r="BS21" s="573"/>
      <c r="BT21" s="573"/>
      <c r="BU21" s="573"/>
      <c r="BV21" s="573"/>
      <c r="BW21" s="573"/>
      <c r="BX21" s="573"/>
      <c r="BY21" s="574"/>
      <c r="BZ21" s="174"/>
      <c r="CA21" s="134"/>
      <c r="CB21" s="177"/>
    </row>
    <row r="22" spans="2:80" ht="9.9499999999999993" customHeight="1">
      <c r="B22" s="1"/>
      <c r="C22" s="174"/>
      <c r="D22" s="174"/>
      <c r="E22" s="572"/>
      <c r="F22" s="573"/>
      <c r="G22" s="573"/>
      <c r="H22" s="683"/>
      <c r="I22" s="683"/>
      <c r="J22" s="683"/>
      <c r="K22" s="683"/>
      <c r="L22" s="683"/>
      <c r="M22" s="683"/>
      <c r="N22" s="683"/>
      <c r="O22" s="683"/>
      <c r="P22" s="683"/>
      <c r="Q22" s="683"/>
      <c r="R22" s="683"/>
      <c r="S22" s="683"/>
      <c r="T22" s="683"/>
      <c r="U22" s="683"/>
      <c r="V22" s="683"/>
      <c r="W22" s="683"/>
      <c r="X22" s="683"/>
      <c r="Y22" s="683"/>
      <c r="Z22" s="683"/>
      <c r="AA22" s="573"/>
      <c r="AB22" s="573"/>
      <c r="AC22" s="573"/>
      <c r="AD22" s="573"/>
      <c r="AE22" s="573"/>
      <c r="AF22" s="573"/>
      <c r="AG22" s="687" t="s">
        <v>54</v>
      </c>
      <c r="AH22" s="688"/>
      <c r="AI22" s="688"/>
      <c r="AJ22" s="688" t="s">
        <v>55</v>
      </c>
      <c r="AK22" s="688"/>
      <c r="AL22" s="691"/>
      <c r="AM22" s="687" t="s">
        <v>54</v>
      </c>
      <c r="AN22" s="688"/>
      <c r="AO22" s="688"/>
      <c r="AP22" s="688" t="s">
        <v>55</v>
      </c>
      <c r="AQ22" s="688"/>
      <c r="AR22" s="691"/>
      <c r="AS22" s="687" t="s">
        <v>54</v>
      </c>
      <c r="AT22" s="688"/>
      <c r="AU22" s="688"/>
      <c r="AV22" s="688" t="s">
        <v>55</v>
      </c>
      <c r="AW22" s="688"/>
      <c r="AX22" s="691"/>
      <c r="AY22" s="687" t="s">
        <v>54</v>
      </c>
      <c r="AZ22" s="688"/>
      <c r="BA22" s="688"/>
      <c r="BB22" s="688" t="s">
        <v>55</v>
      </c>
      <c r="BC22" s="688"/>
      <c r="BD22" s="691"/>
      <c r="BE22" s="687" t="s">
        <v>54</v>
      </c>
      <c r="BF22" s="688"/>
      <c r="BG22" s="688"/>
      <c r="BH22" s="688" t="s">
        <v>55</v>
      </c>
      <c r="BI22" s="688"/>
      <c r="BJ22" s="691"/>
      <c r="BK22" s="570"/>
      <c r="BL22" s="570"/>
      <c r="BM22" s="570"/>
      <c r="BN22" s="570"/>
      <c r="BO22" s="570"/>
      <c r="BP22" s="570"/>
      <c r="BQ22" s="570"/>
      <c r="BR22" s="573"/>
      <c r="BS22" s="573"/>
      <c r="BT22" s="573"/>
      <c r="BU22" s="573"/>
      <c r="BV22" s="573"/>
      <c r="BW22" s="573"/>
      <c r="BX22" s="573"/>
      <c r="BY22" s="574"/>
      <c r="BZ22" s="174"/>
      <c r="CA22" s="134"/>
      <c r="CB22" s="177"/>
    </row>
    <row r="23" spans="2:80" ht="9.9499999999999993" customHeight="1" thickBot="1">
      <c r="B23" s="1"/>
      <c r="C23" s="174"/>
      <c r="D23" s="174"/>
      <c r="E23" s="686"/>
      <c r="F23" s="680"/>
      <c r="G23" s="680"/>
      <c r="H23" s="684"/>
      <c r="I23" s="684"/>
      <c r="J23" s="684"/>
      <c r="K23" s="684"/>
      <c r="L23" s="684"/>
      <c r="M23" s="684"/>
      <c r="N23" s="684"/>
      <c r="O23" s="684"/>
      <c r="P23" s="684"/>
      <c r="Q23" s="684"/>
      <c r="R23" s="684"/>
      <c r="S23" s="684"/>
      <c r="T23" s="684"/>
      <c r="U23" s="684"/>
      <c r="V23" s="684"/>
      <c r="W23" s="684"/>
      <c r="X23" s="684"/>
      <c r="Y23" s="684"/>
      <c r="Z23" s="684"/>
      <c r="AA23" s="680"/>
      <c r="AB23" s="680"/>
      <c r="AC23" s="680"/>
      <c r="AD23" s="680"/>
      <c r="AE23" s="680"/>
      <c r="AF23" s="680"/>
      <c r="AG23" s="689"/>
      <c r="AH23" s="690"/>
      <c r="AI23" s="690"/>
      <c r="AJ23" s="690"/>
      <c r="AK23" s="690"/>
      <c r="AL23" s="692"/>
      <c r="AM23" s="689"/>
      <c r="AN23" s="690"/>
      <c r="AO23" s="690"/>
      <c r="AP23" s="690"/>
      <c r="AQ23" s="690"/>
      <c r="AR23" s="692"/>
      <c r="AS23" s="689"/>
      <c r="AT23" s="690"/>
      <c r="AU23" s="690"/>
      <c r="AV23" s="690"/>
      <c r="AW23" s="690"/>
      <c r="AX23" s="692"/>
      <c r="AY23" s="689"/>
      <c r="AZ23" s="690"/>
      <c r="BA23" s="690"/>
      <c r="BB23" s="690"/>
      <c r="BC23" s="690"/>
      <c r="BD23" s="692"/>
      <c r="BE23" s="689"/>
      <c r="BF23" s="690"/>
      <c r="BG23" s="690"/>
      <c r="BH23" s="690"/>
      <c r="BI23" s="690"/>
      <c r="BJ23" s="692"/>
      <c r="BK23" s="695"/>
      <c r="BL23" s="695"/>
      <c r="BM23" s="695"/>
      <c r="BN23" s="695"/>
      <c r="BO23" s="695"/>
      <c r="BP23" s="695"/>
      <c r="BQ23" s="695"/>
      <c r="BR23" s="680"/>
      <c r="BS23" s="680"/>
      <c r="BT23" s="680"/>
      <c r="BU23" s="680"/>
      <c r="BV23" s="680"/>
      <c r="BW23" s="680"/>
      <c r="BX23" s="680"/>
      <c r="BY23" s="681"/>
      <c r="BZ23" s="174"/>
      <c r="CA23" s="134"/>
      <c r="CB23" s="177"/>
    </row>
    <row r="24" spans="2:80" ht="9.9499999999999993" customHeight="1">
      <c r="B24" s="1"/>
      <c r="C24" s="4"/>
      <c r="D24" s="4"/>
      <c r="E24" s="520">
        <v>1</v>
      </c>
      <c r="F24" s="521"/>
      <c r="G24" s="521"/>
      <c r="H24" s="569" t="s">
        <v>56</v>
      </c>
      <c r="I24" s="569"/>
      <c r="J24" s="569"/>
      <c r="K24" s="569"/>
      <c r="L24" s="569"/>
      <c r="M24" s="569"/>
      <c r="N24" s="569"/>
      <c r="O24" s="569"/>
      <c r="P24" s="569"/>
      <c r="Q24" s="569"/>
      <c r="R24" s="569"/>
      <c r="S24" s="569"/>
      <c r="T24" s="569"/>
      <c r="U24" s="569"/>
      <c r="V24" s="569"/>
      <c r="W24" s="569"/>
      <c r="X24" s="569"/>
      <c r="Y24" s="569"/>
      <c r="Z24" s="569"/>
      <c r="AA24" s="562" t="s">
        <v>57</v>
      </c>
      <c r="AB24" s="562"/>
      <c r="AC24" s="562"/>
      <c r="AD24" s="562"/>
      <c r="AE24" s="562"/>
      <c r="AF24" s="563"/>
      <c r="AG24" s="700"/>
      <c r="AH24" s="701"/>
      <c r="AI24" s="701"/>
      <c r="AJ24" s="701"/>
      <c r="AK24" s="701"/>
      <c r="AL24" s="702"/>
      <c r="AM24" s="504"/>
      <c r="AN24" s="505"/>
      <c r="AO24" s="505"/>
      <c r="AP24" s="505"/>
      <c r="AQ24" s="505"/>
      <c r="AR24" s="544"/>
      <c r="AS24" s="504"/>
      <c r="AT24" s="505"/>
      <c r="AU24" s="505"/>
      <c r="AV24" s="505"/>
      <c r="AW24" s="505"/>
      <c r="AX24" s="544"/>
      <c r="AY24" s="504"/>
      <c r="AZ24" s="505"/>
      <c r="BA24" s="505"/>
      <c r="BB24" s="505"/>
      <c r="BC24" s="505"/>
      <c r="BD24" s="544"/>
      <c r="BE24" s="528">
        <f>Conventional!H28</f>
        <v>2974.8919667590026</v>
      </c>
      <c r="BF24" s="529"/>
      <c r="BG24" s="529"/>
      <c r="BH24" s="542">
        <f>BE24/CLV_Limit</f>
        <v>1.8593074792243767</v>
      </c>
      <c r="BI24" s="542"/>
      <c r="BJ24" s="543"/>
      <c r="BK24" s="499">
        <f>IF((CA24/CLV_Limit)&gt;1,((CA24/CLV_Limit)),(CA24/CLV_Limit))</f>
        <v>1.8593074792243767</v>
      </c>
      <c r="BL24" s="558"/>
      <c r="BM24" s="558"/>
      <c r="BN24" s="558"/>
      <c r="BO24" s="558"/>
      <c r="BP24" s="558"/>
      <c r="BQ24" s="558"/>
      <c r="BR24" s="561">
        <f>RANK(CA24,$CA$24:$CA$53,1)</f>
        <v>9</v>
      </c>
      <c r="BS24" s="375"/>
      <c r="BT24" s="375"/>
      <c r="BU24" s="375"/>
      <c r="BV24" s="375"/>
      <c r="BW24" s="375"/>
      <c r="BX24" s="375"/>
      <c r="BY24" s="376"/>
      <c r="BZ24" s="399">
        <f>IF(MAX(BE24)&lt;0.75*CLV_Limit,1,IF(MAX(BE24)&lt;0.875*CLV_Limit-1,"2",IF(MAX(BE24)&lt;CLV_Limit-1,3,4)))</f>
        <v>4</v>
      </c>
      <c r="CA24" s="400">
        <f>MAX(BE24)</f>
        <v>2974.8919667590026</v>
      </c>
      <c r="CB24" s="151"/>
    </row>
    <row r="25" spans="2:80" ht="9.9499999999999993" customHeight="1">
      <c r="B25" s="1"/>
      <c r="C25" s="4"/>
      <c r="D25" s="4"/>
      <c r="E25" s="516"/>
      <c r="F25" s="517"/>
      <c r="G25" s="517"/>
      <c r="H25" s="570"/>
      <c r="I25" s="570"/>
      <c r="J25" s="570"/>
      <c r="K25" s="570"/>
      <c r="L25" s="570"/>
      <c r="M25" s="570"/>
      <c r="N25" s="570"/>
      <c r="O25" s="570"/>
      <c r="P25" s="570"/>
      <c r="Q25" s="570"/>
      <c r="R25" s="570"/>
      <c r="S25" s="570"/>
      <c r="T25" s="570"/>
      <c r="U25" s="570"/>
      <c r="V25" s="570"/>
      <c r="W25" s="570"/>
      <c r="X25" s="570"/>
      <c r="Y25" s="570"/>
      <c r="Z25" s="570"/>
      <c r="AA25" s="396"/>
      <c r="AB25" s="396"/>
      <c r="AC25" s="396"/>
      <c r="AD25" s="396"/>
      <c r="AE25" s="396"/>
      <c r="AF25" s="398"/>
      <c r="AG25" s="506"/>
      <c r="AH25" s="507"/>
      <c r="AI25" s="507"/>
      <c r="AJ25" s="507"/>
      <c r="AK25" s="507"/>
      <c r="AL25" s="545"/>
      <c r="AM25" s="506"/>
      <c r="AN25" s="507"/>
      <c r="AO25" s="507"/>
      <c r="AP25" s="507"/>
      <c r="AQ25" s="507"/>
      <c r="AR25" s="545"/>
      <c r="AS25" s="506"/>
      <c r="AT25" s="507"/>
      <c r="AU25" s="507"/>
      <c r="AV25" s="507"/>
      <c r="AW25" s="507"/>
      <c r="AX25" s="545"/>
      <c r="AY25" s="506"/>
      <c r="AZ25" s="507"/>
      <c r="BA25" s="507"/>
      <c r="BB25" s="507"/>
      <c r="BC25" s="507"/>
      <c r="BD25" s="545"/>
      <c r="BE25" s="526"/>
      <c r="BF25" s="527"/>
      <c r="BG25" s="527"/>
      <c r="BH25" s="540"/>
      <c r="BI25" s="540"/>
      <c r="BJ25" s="541"/>
      <c r="BK25" s="559"/>
      <c r="BL25" s="560"/>
      <c r="BM25" s="560"/>
      <c r="BN25" s="560"/>
      <c r="BO25" s="560"/>
      <c r="BP25" s="560"/>
      <c r="BQ25" s="560"/>
      <c r="BR25" s="561"/>
      <c r="BS25" s="375"/>
      <c r="BT25" s="375"/>
      <c r="BU25" s="375"/>
      <c r="BV25" s="375"/>
      <c r="BW25" s="375"/>
      <c r="BX25" s="375"/>
      <c r="BY25" s="376"/>
      <c r="BZ25" s="399"/>
      <c r="CA25" s="399"/>
      <c r="CB25" s="151"/>
    </row>
    <row r="26" spans="2:80" ht="9.9499999999999993" customHeight="1">
      <c r="B26" s="1"/>
      <c r="C26" s="4"/>
      <c r="D26" s="4"/>
      <c r="E26" s="516">
        <v>2</v>
      </c>
      <c r="F26" s="517"/>
      <c r="G26" s="517"/>
      <c r="H26" s="570" t="s">
        <v>58</v>
      </c>
      <c r="I26" s="570"/>
      <c r="J26" s="570"/>
      <c r="K26" s="570"/>
      <c r="L26" s="570"/>
      <c r="M26" s="570"/>
      <c r="N26" s="570"/>
      <c r="O26" s="570"/>
      <c r="P26" s="570"/>
      <c r="Q26" s="570"/>
      <c r="R26" s="570"/>
      <c r="S26" s="570"/>
      <c r="T26" s="570"/>
      <c r="U26" s="570"/>
      <c r="V26" s="570"/>
      <c r="W26" s="570"/>
      <c r="X26" s="570"/>
      <c r="Y26" s="570"/>
      <c r="Z26" s="570"/>
      <c r="AA26" s="562" t="s">
        <v>59</v>
      </c>
      <c r="AB26" s="562"/>
      <c r="AC26" s="562"/>
      <c r="AD26" s="562"/>
      <c r="AE26" s="562"/>
      <c r="AF26" s="563"/>
      <c r="AG26" s="504"/>
      <c r="AH26" s="505"/>
      <c r="AI26" s="505"/>
      <c r="AJ26" s="505"/>
      <c r="AK26" s="505"/>
      <c r="AL26" s="544"/>
      <c r="AM26" s="504"/>
      <c r="AN26" s="505"/>
      <c r="AO26" s="505"/>
      <c r="AP26" s="505"/>
      <c r="AQ26" s="505"/>
      <c r="AR26" s="544"/>
      <c r="AS26" s="504"/>
      <c r="AT26" s="505"/>
      <c r="AU26" s="505"/>
      <c r="AV26" s="505"/>
      <c r="AW26" s="505"/>
      <c r="AX26" s="544"/>
      <c r="AY26" s="504"/>
      <c r="AZ26" s="505"/>
      <c r="BA26" s="505"/>
      <c r="BB26" s="505"/>
      <c r="BC26" s="505"/>
      <c r="BD26" s="544"/>
      <c r="BE26" s="528">
        <f>'Conventional Shared RT LT'!CL37</f>
        <v>3291</v>
      </c>
      <c r="BF26" s="529"/>
      <c r="BG26" s="529"/>
      <c r="BH26" s="542">
        <f>BE26/CLV_Limit</f>
        <v>2.0568749999999998</v>
      </c>
      <c r="BI26" s="542"/>
      <c r="BJ26" s="543"/>
      <c r="BK26" s="559">
        <f>IF((CA26/CLV_Limit)&gt;1,((CA26/CLV_Limit)),(CA26/CLV_Limit))</f>
        <v>2.0568749999999998</v>
      </c>
      <c r="BL26" s="560"/>
      <c r="BM26" s="560"/>
      <c r="BN26" s="560"/>
      <c r="BO26" s="560"/>
      <c r="BP26" s="560"/>
      <c r="BQ26" s="560"/>
      <c r="BR26" s="561">
        <f>RANK(CA26,$CA$24:$CA$53,1)</f>
        <v>13</v>
      </c>
      <c r="BS26" s="375"/>
      <c r="BT26" s="375"/>
      <c r="BU26" s="375"/>
      <c r="BV26" s="375"/>
      <c r="BW26" s="375"/>
      <c r="BX26" s="375"/>
      <c r="BY26" s="376"/>
      <c r="BZ26" s="399">
        <f>IF(MAX(BE26)&lt;0.75*CLV_Limit,1,IF(MAX(BE26)&lt;0.875*CLV_Limit-1,"2",IF(MAX(BE26)&lt;CLV_Limit-1,3,4)))</f>
        <v>4</v>
      </c>
      <c r="CA26" s="400">
        <f>MAX(BE26)</f>
        <v>3291</v>
      </c>
      <c r="CB26" s="151"/>
    </row>
    <row r="27" spans="2:80" ht="9.9499999999999993" customHeight="1">
      <c r="B27" s="1"/>
      <c r="C27" s="4"/>
      <c r="D27" s="4"/>
      <c r="E27" s="516"/>
      <c r="F27" s="517"/>
      <c r="G27" s="517"/>
      <c r="H27" s="570"/>
      <c r="I27" s="570"/>
      <c r="J27" s="570"/>
      <c r="K27" s="570"/>
      <c r="L27" s="570"/>
      <c r="M27" s="570"/>
      <c r="N27" s="570"/>
      <c r="O27" s="570"/>
      <c r="P27" s="570"/>
      <c r="Q27" s="570"/>
      <c r="R27" s="570"/>
      <c r="S27" s="570"/>
      <c r="T27" s="570"/>
      <c r="U27" s="570"/>
      <c r="V27" s="570"/>
      <c r="W27" s="570"/>
      <c r="X27" s="570"/>
      <c r="Y27" s="570"/>
      <c r="Z27" s="570"/>
      <c r="AA27" s="564"/>
      <c r="AB27" s="564"/>
      <c r="AC27" s="564"/>
      <c r="AD27" s="564"/>
      <c r="AE27" s="564"/>
      <c r="AF27" s="565"/>
      <c r="AG27" s="506"/>
      <c r="AH27" s="507"/>
      <c r="AI27" s="507"/>
      <c r="AJ27" s="507"/>
      <c r="AK27" s="507"/>
      <c r="AL27" s="545"/>
      <c r="AM27" s="506"/>
      <c r="AN27" s="507"/>
      <c r="AO27" s="507"/>
      <c r="AP27" s="507"/>
      <c r="AQ27" s="507"/>
      <c r="AR27" s="545"/>
      <c r="AS27" s="506"/>
      <c r="AT27" s="507"/>
      <c r="AU27" s="507"/>
      <c r="AV27" s="507"/>
      <c r="AW27" s="507"/>
      <c r="AX27" s="545"/>
      <c r="AY27" s="506"/>
      <c r="AZ27" s="507"/>
      <c r="BA27" s="507"/>
      <c r="BB27" s="507"/>
      <c r="BC27" s="507"/>
      <c r="BD27" s="545"/>
      <c r="BE27" s="530"/>
      <c r="BF27" s="531"/>
      <c r="BG27" s="531"/>
      <c r="BH27" s="552"/>
      <c r="BI27" s="552"/>
      <c r="BJ27" s="553"/>
      <c r="BK27" s="559"/>
      <c r="BL27" s="560"/>
      <c r="BM27" s="560"/>
      <c r="BN27" s="560"/>
      <c r="BO27" s="560"/>
      <c r="BP27" s="560"/>
      <c r="BQ27" s="560"/>
      <c r="BR27" s="561"/>
      <c r="BS27" s="375"/>
      <c r="BT27" s="375"/>
      <c r="BU27" s="375"/>
      <c r="BV27" s="375"/>
      <c r="BW27" s="375"/>
      <c r="BX27" s="375"/>
      <c r="BY27" s="376"/>
      <c r="BZ27" s="399"/>
      <c r="CA27" s="399"/>
      <c r="CB27" s="151"/>
    </row>
    <row r="28" spans="2:80" ht="9.9499999999999993" customHeight="1">
      <c r="B28" s="1"/>
      <c r="C28" s="174"/>
      <c r="D28" s="174"/>
      <c r="E28" s="512">
        <v>3.1</v>
      </c>
      <c r="F28" s="513"/>
      <c r="G28" s="513"/>
      <c r="H28" s="433" t="s">
        <v>60</v>
      </c>
      <c r="I28" s="349"/>
      <c r="J28" s="349"/>
      <c r="K28" s="349"/>
      <c r="L28" s="349"/>
      <c r="M28" s="349"/>
      <c r="N28" s="349"/>
      <c r="O28" s="349"/>
      <c r="P28" s="349"/>
      <c r="Q28" s="349"/>
      <c r="R28" s="349"/>
      <c r="S28" s="349"/>
      <c r="T28" s="349"/>
      <c r="U28" s="349"/>
      <c r="V28" s="349"/>
      <c r="W28" s="349"/>
      <c r="X28" s="349"/>
      <c r="Y28" s="349"/>
      <c r="Z28" s="431"/>
      <c r="AA28" s="536" t="s">
        <v>61</v>
      </c>
      <c r="AB28" s="536"/>
      <c r="AC28" s="536"/>
      <c r="AD28" s="536"/>
      <c r="AE28" s="536"/>
      <c r="AF28" s="537"/>
      <c r="AG28" s="504"/>
      <c r="AH28" s="505"/>
      <c r="AI28" s="505"/>
      <c r="AJ28" s="505"/>
      <c r="AK28" s="505"/>
      <c r="AL28" s="544"/>
      <c r="AM28" s="546">
        <f>'QR S-W'!AY63</f>
        <v>2106.3157894736842</v>
      </c>
      <c r="AN28" s="547"/>
      <c r="AO28" s="547"/>
      <c r="AP28" s="556">
        <f>AM28/CLV_Limit</f>
        <v>1.3164473684210527</v>
      </c>
      <c r="AQ28" s="556"/>
      <c r="AR28" s="557"/>
      <c r="AS28" s="504"/>
      <c r="AT28" s="505"/>
      <c r="AU28" s="505"/>
      <c r="AV28" s="505"/>
      <c r="AW28" s="505"/>
      <c r="AX28" s="544"/>
      <c r="AY28" s="546">
        <f>'QR S-W'!E18</f>
        <v>2015.9473684210527</v>
      </c>
      <c r="AZ28" s="547"/>
      <c r="BA28" s="547"/>
      <c r="BB28" s="556">
        <f>AY28/CLV_Limit</f>
        <v>1.259967105263158</v>
      </c>
      <c r="BC28" s="556"/>
      <c r="BD28" s="557"/>
      <c r="BE28" s="546">
        <f>'QR S-W'!AM18</f>
        <v>1982.3529411764707</v>
      </c>
      <c r="BF28" s="547"/>
      <c r="BG28" s="547"/>
      <c r="BH28" s="556">
        <f>BE28/CLV_Limit</f>
        <v>1.2389705882352942</v>
      </c>
      <c r="BI28" s="556"/>
      <c r="BJ28" s="557"/>
      <c r="BK28" s="496">
        <f>IF((CA28/CLV_Limit)&gt;1,((CA28/CLV_Limit)),(CA28/CLV_Limit))</f>
        <v>1.3164473684210527</v>
      </c>
      <c r="BL28" s="496"/>
      <c r="BM28" s="496"/>
      <c r="BN28" s="496"/>
      <c r="BO28" s="496"/>
      <c r="BP28" s="496"/>
      <c r="BQ28" s="497"/>
      <c r="BR28" s="561">
        <f>RANK(CA28,$CA$24:$CA$53,1)</f>
        <v>7</v>
      </c>
      <c r="BS28" s="375"/>
      <c r="BT28" s="375"/>
      <c r="BU28" s="375"/>
      <c r="BV28" s="375"/>
      <c r="BW28" s="375"/>
      <c r="BX28" s="375"/>
      <c r="BY28" s="376"/>
      <c r="BZ28" s="399">
        <f>IF(MAX(AM28,AY28,BE28)&lt;0.75*CLV_Limit,1,IF(MAX(AM28,AY28,BE28)&lt;0.875*CLV_Limit-1,"2",IF(MAX(AM28,AY28,BE28)&lt;CLV_Limit-1,3,4)))</f>
        <v>4</v>
      </c>
      <c r="CA28" s="400">
        <f>MAX(AM28,AY28,BE28)</f>
        <v>2106.3157894736842</v>
      </c>
      <c r="CB28" s="151"/>
    </row>
    <row r="29" spans="2:80" ht="9.9499999999999993" customHeight="1">
      <c r="B29" s="1"/>
      <c r="C29" s="174"/>
      <c r="D29" s="174"/>
      <c r="E29" s="514"/>
      <c r="F29" s="515"/>
      <c r="G29" s="515"/>
      <c r="H29" s="508"/>
      <c r="I29" s="352"/>
      <c r="J29" s="352"/>
      <c r="K29" s="352"/>
      <c r="L29" s="352"/>
      <c r="M29" s="352"/>
      <c r="N29" s="352"/>
      <c r="O29" s="352"/>
      <c r="P29" s="352"/>
      <c r="Q29" s="352"/>
      <c r="R29" s="352"/>
      <c r="S29" s="352"/>
      <c r="T29" s="352"/>
      <c r="U29" s="352"/>
      <c r="V29" s="352"/>
      <c r="W29" s="352"/>
      <c r="X29" s="352"/>
      <c r="Y29" s="352"/>
      <c r="Z29" s="509"/>
      <c r="AA29" s="532"/>
      <c r="AB29" s="532"/>
      <c r="AC29" s="532"/>
      <c r="AD29" s="532"/>
      <c r="AE29" s="532"/>
      <c r="AF29" s="533"/>
      <c r="AG29" s="506"/>
      <c r="AH29" s="507"/>
      <c r="AI29" s="507"/>
      <c r="AJ29" s="507"/>
      <c r="AK29" s="507"/>
      <c r="AL29" s="545"/>
      <c r="AM29" s="524"/>
      <c r="AN29" s="525"/>
      <c r="AO29" s="525"/>
      <c r="AP29" s="538"/>
      <c r="AQ29" s="538"/>
      <c r="AR29" s="539"/>
      <c r="AS29" s="506"/>
      <c r="AT29" s="507"/>
      <c r="AU29" s="507"/>
      <c r="AV29" s="507"/>
      <c r="AW29" s="507"/>
      <c r="AX29" s="545"/>
      <c r="AY29" s="524"/>
      <c r="AZ29" s="525"/>
      <c r="BA29" s="525"/>
      <c r="BB29" s="538"/>
      <c r="BC29" s="538"/>
      <c r="BD29" s="539"/>
      <c r="BE29" s="524"/>
      <c r="BF29" s="525"/>
      <c r="BG29" s="525"/>
      <c r="BH29" s="538"/>
      <c r="BI29" s="538"/>
      <c r="BJ29" s="539"/>
      <c r="BK29" s="498"/>
      <c r="BL29" s="498"/>
      <c r="BM29" s="498"/>
      <c r="BN29" s="498"/>
      <c r="BO29" s="498"/>
      <c r="BP29" s="498"/>
      <c r="BQ29" s="499"/>
      <c r="BR29" s="561"/>
      <c r="BS29" s="375"/>
      <c r="BT29" s="375"/>
      <c r="BU29" s="375"/>
      <c r="BV29" s="375"/>
      <c r="BW29" s="375"/>
      <c r="BX29" s="375"/>
      <c r="BY29" s="376"/>
      <c r="BZ29" s="399"/>
      <c r="CA29" s="399"/>
      <c r="CB29" s="151"/>
    </row>
    <row r="30" spans="2:80" ht="9.9499999999999993" customHeight="1">
      <c r="B30" s="1"/>
      <c r="C30" s="174"/>
      <c r="D30" s="174"/>
      <c r="E30" s="514">
        <v>3.2</v>
      </c>
      <c r="F30" s="515"/>
      <c r="G30" s="515"/>
      <c r="H30" s="508"/>
      <c r="I30" s="352"/>
      <c r="J30" s="352"/>
      <c r="K30" s="352"/>
      <c r="L30" s="352"/>
      <c r="M30" s="352"/>
      <c r="N30" s="352"/>
      <c r="O30" s="352"/>
      <c r="P30" s="352"/>
      <c r="Q30" s="352"/>
      <c r="R30" s="352"/>
      <c r="S30" s="352"/>
      <c r="T30" s="352"/>
      <c r="U30" s="352"/>
      <c r="V30" s="352"/>
      <c r="W30" s="352"/>
      <c r="X30" s="352"/>
      <c r="Y30" s="352"/>
      <c r="Z30" s="509"/>
      <c r="AA30" s="532" t="s">
        <v>62</v>
      </c>
      <c r="AB30" s="532"/>
      <c r="AC30" s="532"/>
      <c r="AD30" s="532"/>
      <c r="AE30" s="532"/>
      <c r="AF30" s="533"/>
      <c r="AG30" s="524">
        <f>'QR N-E'!C28</f>
        <v>2422.9473684210525</v>
      </c>
      <c r="AH30" s="525"/>
      <c r="AI30" s="525"/>
      <c r="AJ30" s="538">
        <f>AG30/CLV_Limit</f>
        <v>1.5143421052631578</v>
      </c>
      <c r="AK30" s="538"/>
      <c r="AL30" s="539"/>
      <c r="AM30" s="696"/>
      <c r="AN30" s="697"/>
      <c r="AO30" s="697"/>
      <c r="AP30" s="697"/>
      <c r="AQ30" s="697"/>
      <c r="AR30" s="703"/>
      <c r="AS30" s="524">
        <f>'QR N-E'!AV67</f>
        <v>2373.2631578947367</v>
      </c>
      <c r="AT30" s="525"/>
      <c r="AU30" s="525"/>
      <c r="AV30" s="538">
        <f>AS30/CLV_Limit</f>
        <v>1.4832894736842104</v>
      </c>
      <c r="AW30" s="538"/>
      <c r="AX30" s="539"/>
      <c r="AY30" s="504"/>
      <c r="AZ30" s="505"/>
      <c r="BA30" s="505"/>
      <c r="BB30" s="505"/>
      <c r="BC30" s="505"/>
      <c r="BD30" s="544"/>
      <c r="BE30" s="524">
        <f>'QR N-E'!C50</f>
        <v>1696.5588235294117</v>
      </c>
      <c r="BF30" s="525"/>
      <c r="BG30" s="525"/>
      <c r="BH30" s="538">
        <f>BE30/CLV_Limit</f>
        <v>1.0603492647058823</v>
      </c>
      <c r="BI30" s="538"/>
      <c r="BJ30" s="539"/>
      <c r="BK30" s="496">
        <f>IF((CA30/CLV_Limit)&gt;1,((CA30/CLV_Limit)),(CA30/CLV_Limit))</f>
        <v>1.5143421052631578</v>
      </c>
      <c r="BL30" s="496"/>
      <c r="BM30" s="496"/>
      <c r="BN30" s="496"/>
      <c r="BO30" s="496"/>
      <c r="BP30" s="496"/>
      <c r="BQ30" s="497"/>
      <c r="BR30" s="561">
        <f t="shared" ref="BR30" si="0">RANK(CA30,$CA$24:$CA$53,1)</f>
        <v>8</v>
      </c>
      <c r="BS30" s="375"/>
      <c r="BT30" s="375"/>
      <c r="BU30" s="375"/>
      <c r="BV30" s="375"/>
      <c r="BW30" s="375"/>
      <c r="BX30" s="375"/>
      <c r="BY30" s="376"/>
      <c r="BZ30" s="399">
        <f>IF(MAX(AG30,AS30,BE30)&lt;0.75*CLV_Limit,1,IF(MAX(AG30,AS30,BE30)&lt;0.875*CLV_Limit-1,"2",IF(MAX(AG30,AS30,BE30)&lt;CLV_Limit-1,3,4)))</f>
        <v>4</v>
      </c>
      <c r="CA30" s="400">
        <f>MAX(AG30,AS30,BE30)</f>
        <v>2422.9473684210525</v>
      </c>
      <c r="CB30" s="151"/>
    </row>
    <row r="31" spans="2:80" ht="9.9499999999999993" customHeight="1">
      <c r="B31" s="1"/>
      <c r="C31" s="174"/>
      <c r="D31" s="174"/>
      <c r="E31" s="514"/>
      <c r="F31" s="515"/>
      <c r="G31" s="515"/>
      <c r="H31" s="508"/>
      <c r="I31" s="352"/>
      <c r="J31" s="352"/>
      <c r="K31" s="352"/>
      <c r="L31" s="352"/>
      <c r="M31" s="352"/>
      <c r="N31" s="352"/>
      <c r="O31" s="352"/>
      <c r="P31" s="352"/>
      <c r="Q31" s="352"/>
      <c r="R31" s="352"/>
      <c r="S31" s="352"/>
      <c r="T31" s="352"/>
      <c r="U31" s="352"/>
      <c r="V31" s="352"/>
      <c r="W31" s="352"/>
      <c r="X31" s="352"/>
      <c r="Y31" s="352"/>
      <c r="Z31" s="509"/>
      <c r="AA31" s="532"/>
      <c r="AB31" s="532"/>
      <c r="AC31" s="532"/>
      <c r="AD31" s="532"/>
      <c r="AE31" s="532"/>
      <c r="AF31" s="533"/>
      <c r="AG31" s="524"/>
      <c r="AH31" s="525"/>
      <c r="AI31" s="525"/>
      <c r="AJ31" s="538"/>
      <c r="AK31" s="538"/>
      <c r="AL31" s="539"/>
      <c r="AM31" s="698"/>
      <c r="AN31" s="699"/>
      <c r="AO31" s="699"/>
      <c r="AP31" s="699"/>
      <c r="AQ31" s="699"/>
      <c r="AR31" s="704"/>
      <c r="AS31" s="524"/>
      <c r="AT31" s="525"/>
      <c r="AU31" s="525"/>
      <c r="AV31" s="538"/>
      <c r="AW31" s="538"/>
      <c r="AX31" s="539"/>
      <c r="AY31" s="506"/>
      <c r="AZ31" s="507"/>
      <c r="BA31" s="507"/>
      <c r="BB31" s="507"/>
      <c r="BC31" s="507"/>
      <c r="BD31" s="545"/>
      <c r="BE31" s="524"/>
      <c r="BF31" s="525"/>
      <c r="BG31" s="525"/>
      <c r="BH31" s="538"/>
      <c r="BI31" s="538"/>
      <c r="BJ31" s="539"/>
      <c r="BK31" s="498"/>
      <c r="BL31" s="498"/>
      <c r="BM31" s="498"/>
      <c r="BN31" s="498"/>
      <c r="BO31" s="498"/>
      <c r="BP31" s="498"/>
      <c r="BQ31" s="499"/>
      <c r="BR31" s="561"/>
      <c r="BS31" s="375"/>
      <c r="BT31" s="375"/>
      <c r="BU31" s="375"/>
      <c r="BV31" s="375"/>
      <c r="BW31" s="375"/>
      <c r="BX31" s="375"/>
      <c r="BY31" s="376"/>
      <c r="BZ31" s="399"/>
      <c r="CA31" s="399"/>
      <c r="CB31" s="151"/>
    </row>
    <row r="32" spans="2:80" ht="9.9499999999999993" customHeight="1">
      <c r="B32" s="1"/>
      <c r="C32" s="174"/>
      <c r="D32" s="174"/>
      <c r="E32" s="514">
        <v>3.3</v>
      </c>
      <c r="F32" s="515"/>
      <c r="G32" s="515"/>
      <c r="H32" s="508"/>
      <c r="I32" s="352"/>
      <c r="J32" s="352"/>
      <c r="K32" s="352"/>
      <c r="L32" s="352"/>
      <c r="M32" s="352"/>
      <c r="N32" s="352"/>
      <c r="O32" s="352"/>
      <c r="P32" s="352"/>
      <c r="Q32" s="352"/>
      <c r="R32" s="352"/>
      <c r="S32" s="352"/>
      <c r="T32" s="352"/>
      <c r="U32" s="352"/>
      <c r="V32" s="352"/>
      <c r="W32" s="352"/>
      <c r="X32" s="352"/>
      <c r="Y32" s="352"/>
      <c r="Z32" s="509"/>
      <c r="AA32" s="532" t="s">
        <v>63</v>
      </c>
      <c r="AB32" s="532"/>
      <c r="AC32" s="532"/>
      <c r="AD32" s="532"/>
      <c r="AE32" s="532"/>
      <c r="AF32" s="533"/>
      <c r="AG32" s="504"/>
      <c r="AH32" s="505"/>
      <c r="AI32" s="505"/>
      <c r="AJ32" s="505"/>
      <c r="AK32" s="505"/>
      <c r="AL32" s="544"/>
      <c r="AM32" s="524">
        <f>'QR S-E'!C62</f>
        <v>1887.8947368421054</v>
      </c>
      <c r="AN32" s="525"/>
      <c r="AO32" s="525"/>
      <c r="AP32" s="538">
        <f>AM32/CLV_Limit</f>
        <v>1.179934210526316</v>
      </c>
      <c r="AQ32" s="538"/>
      <c r="AR32" s="539"/>
      <c r="AS32" s="524">
        <f>'QR S-E'!AS17</f>
        <v>1887.8947368421054</v>
      </c>
      <c r="AT32" s="525"/>
      <c r="AU32" s="525"/>
      <c r="AV32" s="538">
        <f>AS32/CLV_Limit</f>
        <v>1.179934210526316</v>
      </c>
      <c r="AW32" s="538"/>
      <c r="AX32" s="539"/>
      <c r="AY32" s="504"/>
      <c r="AZ32" s="505"/>
      <c r="BA32" s="505"/>
      <c r="BB32" s="505"/>
      <c r="BC32" s="505"/>
      <c r="BD32" s="544"/>
      <c r="BE32" s="524">
        <f>'QR S-E'!C24</f>
        <v>1762.294117647059</v>
      </c>
      <c r="BF32" s="525"/>
      <c r="BG32" s="525"/>
      <c r="BH32" s="538">
        <f>BE32/CLV_Limit</f>
        <v>1.1014338235294119</v>
      </c>
      <c r="BI32" s="538"/>
      <c r="BJ32" s="539"/>
      <c r="BK32" s="496">
        <f>IF((CA32/CLV_Limit)&gt;1,((CA32/CLV_Limit)),(CA32/CLV_Limit))</f>
        <v>1.179934210526316</v>
      </c>
      <c r="BL32" s="496"/>
      <c r="BM32" s="496"/>
      <c r="BN32" s="496"/>
      <c r="BO32" s="496"/>
      <c r="BP32" s="496"/>
      <c r="BQ32" s="497"/>
      <c r="BR32" s="561">
        <f t="shared" ref="BR32" si="1">RANK(CA32,$CA$24:$CA$53,1)</f>
        <v>3</v>
      </c>
      <c r="BS32" s="375"/>
      <c r="BT32" s="375"/>
      <c r="BU32" s="375"/>
      <c r="BV32" s="375"/>
      <c r="BW32" s="375"/>
      <c r="BX32" s="375"/>
      <c r="BY32" s="376"/>
      <c r="BZ32" s="399">
        <f>IF(MAX(AM32,AS32,BE32)&lt;0.75*CLV_Limit,1,IF(MAX(AM32,AS32,BE32)&lt;0.875*CLV_Limit-1,"2",IF(MAX(AM32,AS32,BE32)&lt;CLV_Limit-1,3,4)))</f>
        <v>4</v>
      </c>
      <c r="CA32" s="400">
        <f>MAX(AM32,AS32,BE32)</f>
        <v>1887.8947368421054</v>
      </c>
      <c r="CB32" s="151"/>
    </row>
    <row r="33" spans="2:80" ht="9.9499999999999993" customHeight="1">
      <c r="B33" s="1"/>
      <c r="C33" s="174"/>
      <c r="D33" s="174"/>
      <c r="E33" s="514"/>
      <c r="F33" s="515"/>
      <c r="G33" s="515"/>
      <c r="H33" s="508"/>
      <c r="I33" s="352"/>
      <c r="J33" s="352"/>
      <c r="K33" s="352"/>
      <c r="L33" s="352"/>
      <c r="M33" s="352"/>
      <c r="N33" s="352"/>
      <c r="O33" s="352"/>
      <c r="P33" s="352"/>
      <c r="Q33" s="352"/>
      <c r="R33" s="352"/>
      <c r="S33" s="352"/>
      <c r="T33" s="352"/>
      <c r="U33" s="352"/>
      <c r="V33" s="352"/>
      <c r="W33" s="352"/>
      <c r="X33" s="352"/>
      <c r="Y33" s="352"/>
      <c r="Z33" s="509"/>
      <c r="AA33" s="532"/>
      <c r="AB33" s="532"/>
      <c r="AC33" s="532"/>
      <c r="AD33" s="532"/>
      <c r="AE33" s="532"/>
      <c r="AF33" s="533"/>
      <c r="AG33" s="506"/>
      <c r="AH33" s="507"/>
      <c r="AI33" s="507"/>
      <c r="AJ33" s="507"/>
      <c r="AK33" s="507"/>
      <c r="AL33" s="545"/>
      <c r="AM33" s="524"/>
      <c r="AN33" s="525"/>
      <c r="AO33" s="525"/>
      <c r="AP33" s="538"/>
      <c r="AQ33" s="538"/>
      <c r="AR33" s="539"/>
      <c r="AS33" s="524"/>
      <c r="AT33" s="525"/>
      <c r="AU33" s="525"/>
      <c r="AV33" s="538"/>
      <c r="AW33" s="538"/>
      <c r="AX33" s="539"/>
      <c r="AY33" s="506"/>
      <c r="AZ33" s="507"/>
      <c r="BA33" s="507"/>
      <c r="BB33" s="507"/>
      <c r="BC33" s="507"/>
      <c r="BD33" s="545"/>
      <c r="BE33" s="524"/>
      <c r="BF33" s="525"/>
      <c r="BG33" s="525"/>
      <c r="BH33" s="538"/>
      <c r="BI33" s="538"/>
      <c r="BJ33" s="539"/>
      <c r="BK33" s="498"/>
      <c r="BL33" s="498"/>
      <c r="BM33" s="498"/>
      <c r="BN33" s="498"/>
      <c r="BO33" s="498"/>
      <c r="BP33" s="498"/>
      <c r="BQ33" s="499"/>
      <c r="BR33" s="561"/>
      <c r="BS33" s="375"/>
      <c r="BT33" s="375"/>
      <c r="BU33" s="375"/>
      <c r="BV33" s="375"/>
      <c r="BW33" s="375"/>
      <c r="BX33" s="375"/>
      <c r="BY33" s="376"/>
      <c r="BZ33" s="399"/>
      <c r="CA33" s="399"/>
      <c r="CB33" s="151"/>
    </row>
    <row r="34" spans="2:80" ht="9.9499999999999993" customHeight="1">
      <c r="B34" s="1"/>
      <c r="C34" s="174"/>
      <c r="D34" s="174"/>
      <c r="E34" s="514">
        <v>3.4</v>
      </c>
      <c r="F34" s="515"/>
      <c r="G34" s="515"/>
      <c r="H34" s="508"/>
      <c r="I34" s="352"/>
      <c r="J34" s="352"/>
      <c r="K34" s="352"/>
      <c r="L34" s="352"/>
      <c r="M34" s="352"/>
      <c r="N34" s="352"/>
      <c r="O34" s="352"/>
      <c r="P34" s="352"/>
      <c r="Q34" s="352"/>
      <c r="R34" s="352"/>
      <c r="S34" s="352"/>
      <c r="T34" s="352"/>
      <c r="U34" s="352"/>
      <c r="V34" s="352"/>
      <c r="W34" s="352"/>
      <c r="X34" s="352"/>
      <c r="Y34" s="352"/>
      <c r="Z34" s="509"/>
      <c r="AA34" s="532" t="s">
        <v>64</v>
      </c>
      <c r="AB34" s="532"/>
      <c r="AC34" s="532"/>
      <c r="AD34" s="532"/>
      <c r="AE34" s="532"/>
      <c r="AF34" s="533"/>
      <c r="AG34" s="524">
        <f>'QR N-W'!AW24</f>
        <v>1888.8157894736842</v>
      </c>
      <c r="AH34" s="525"/>
      <c r="AI34" s="525"/>
      <c r="AJ34" s="538">
        <f>AG34/CLV_Limit</f>
        <v>1.1805098684210527</v>
      </c>
      <c r="AK34" s="538"/>
      <c r="AL34" s="539"/>
      <c r="AM34" s="504"/>
      <c r="AN34" s="505"/>
      <c r="AO34" s="505"/>
      <c r="AP34" s="505"/>
      <c r="AQ34" s="505"/>
      <c r="AR34" s="544"/>
      <c r="AS34" s="504"/>
      <c r="AT34" s="505"/>
      <c r="AU34" s="505"/>
      <c r="AV34" s="505"/>
      <c r="AW34" s="505"/>
      <c r="AX34" s="544"/>
      <c r="AY34" s="524">
        <f>'QR N-W'!I65</f>
        <v>1681.2631578947369</v>
      </c>
      <c r="AZ34" s="525"/>
      <c r="BA34" s="525"/>
      <c r="BB34" s="538">
        <f>AY34/CLV_Limit</f>
        <v>1.0507894736842105</v>
      </c>
      <c r="BC34" s="538"/>
      <c r="BD34" s="539"/>
      <c r="BE34" s="524">
        <f>(ROUND('QR N-W'!AW54,0))</f>
        <v>1982</v>
      </c>
      <c r="BF34" s="525"/>
      <c r="BG34" s="525"/>
      <c r="BH34" s="538">
        <f>BE34/CLV_Limit</f>
        <v>1.23875</v>
      </c>
      <c r="BI34" s="538"/>
      <c r="BJ34" s="539"/>
      <c r="BK34" s="496">
        <f>IF((CA34/CLV_Limit)&gt;1,((CA34/CLV_Limit)),(CA34/CLV_Limit))</f>
        <v>1.23875</v>
      </c>
      <c r="BL34" s="496"/>
      <c r="BM34" s="496"/>
      <c r="BN34" s="496"/>
      <c r="BO34" s="496"/>
      <c r="BP34" s="496"/>
      <c r="BQ34" s="497"/>
      <c r="BR34" s="561">
        <f t="shared" ref="BR34" si="2">RANK(CA34,$CA$24:$CA$53,1)</f>
        <v>5</v>
      </c>
      <c r="BS34" s="375"/>
      <c r="BT34" s="375"/>
      <c r="BU34" s="375"/>
      <c r="BV34" s="375"/>
      <c r="BW34" s="375"/>
      <c r="BX34" s="375"/>
      <c r="BY34" s="376"/>
      <c r="BZ34" s="399">
        <f>IF(MAX(AG34,AY34,BE34)&lt;0.75*CLV_Limit,1,IF(MAX(AG34,AY34,BE34)&lt;0.875*CLV_Limit-1,"2",IF(MAX(AG34,AY34,BE34)&lt;CLV_Limit-1,3,4)))</f>
        <v>4</v>
      </c>
      <c r="CA34" s="400">
        <f>MAX(AG34,AY34,BE34)</f>
        <v>1982</v>
      </c>
      <c r="CB34" s="151"/>
    </row>
    <row r="35" spans="2:80" ht="9.9499999999999993" customHeight="1">
      <c r="B35" s="1"/>
      <c r="C35" s="174"/>
      <c r="D35" s="174"/>
      <c r="E35" s="518"/>
      <c r="F35" s="519"/>
      <c r="G35" s="519"/>
      <c r="H35" s="510"/>
      <c r="I35" s="367"/>
      <c r="J35" s="367"/>
      <c r="K35" s="367"/>
      <c r="L35" s="367"/>
      <c r="M35" s="367"/>
      <c r="N35" s="367"/>
      <c r="O35" s="367"/>
      <c r="P35" s="367"/>
      <c r="Q35" s="367"/>
      <c r="R35" s="367"/>
      <c r="S35" s="367"/>
      <c r="T35" s="367"/>
      <c r="U35" s="367"/>
      <c r="V35" s="367"/>
      <c r="W35" s="367"/>
      <c r="X35" s="367"/>
      <c r="Y35" s="367"/>
      <c r="Z35" s="511"/>
      <c r="AA35" s="534"/>
      <c r="AB35" s="534"/>
      <c r="AC35" s="534"/>
      <c r="AD35" s="534"/>
      <c r="AE35" s="534"/>
      <c r="AF35" s="535"/>
      <c r="AG35" s="526"/>
      <c r="AH35" s="527"/>
      <c r="AI35" s="527"/>
      <c r="AJ35" s="540"/>
      <c r="AK35" s="540"/>
      <c r="AL35" s="541"/>
      <c r="AM35" s="506"/>
      <c r="AN35" s="507"/>
      <c r="AO35" s="507"/>
      <c r="AP35" s="507"/>
      <c r="AQ35" s="507"/>
      <c r="AR35" s="545"/>
      <c r="AS35" s="506"/>
      <c r="AT35" s="507"/>
      <c r="AU35" s="507"/>
      <c r="AV35" s="507"/>
      <c r="AW35" s="507"/>
      <c r="AX35" s="545"/>
      <c r="AY35" s="526"/>
      <c r="AZ35" s="527"/>
      <c r="BA35" s="527"/>
      <c r="BB35" s="540"/>
      <c r="BC35" s="540"/>
      <c r="BD35" s="541"/>
      <c r="BE35" s="526"/>
      <c r="BF35" s="527"/>
      <c r="BG35" s="527"/>
      <c r="BH35" s="540"/>
      <c r="BI35" s="540"/>
      <c r="BJ35" s="541"/>
      <c r="BK35" s="498"/>
      <c r="BL35" s="498"/>
      <c r="BM35" s="498"/>
      <c r="BN35" s="498"/>
      <c r="BO35" s="498"/>
      <c r="BP35" s="498"/>
      <c r="BQ35" s="499"/>
      <c r="BR35" s="561"/>
      <c r="BS35" s="375"/>
      <c r="BT35" s="375"/>
      <c r="BU35" s="375"/>
      <c r="BV35" s="375"/>
      <c r="BW35" s="375"/>
      <c r="BX35" s="375"/>
      <c r="BY35" s="376"/>
      <c r="BZ35" s="399"/>
      <c r="CA35" s="399"/>
      <c r="CB35" s="151"/>
    </row>
    <row r="36" spans="2:80" ht="9.9499999999999993" customHeight="1">
      <c r="B36" s="1"/>
      <c r="C36" s="174"/>
      <c r="D36" s="174"/>
      <c r="E36" s="512">
        <v>4.0999999999999996</v>
      </c>
      <c r="F36" s="513"/>
      <c r="G36" s="513"/>
      <c r="H36" s="433" t="s">
        <v>65</v>
      </c>
      <c r="I36" s="349"/>
      <c r="J36" s="349"/>
      <c r="K36" s="349"/>
      <c r="L36" s="349"/>
      <c r="M36" s="349"/>
      <c r="N36" s="349"/>
      <c r="O36" s="349"/>
      <c r="P36" s="349"/>
      <c r="Q36" s="349"/>
      <c r="R36" s="349"/>
      <c r="S36" s="349"/>
      <c r="T36" s="349"/>
      <c r="U36" s="349"/>
      <c r="V36" s="349"/>
      <c r="W36" s="349"/>
      <c r="X36" s="349"/>
      <c r="Y36" s="349"/>
      <c r="Z36" s="431"/>
      <c r="AA36" s="536" t="s">
        <v>66</v>
      </c>
      <c r="AB36" s="536"/>
      <c r="AC36" s="536"/>
      <c r="AD36" s="536"/>
      <c r="AE36" s="536"/>
      <c r="AF36" s="537"/>
      <c r="AG36" s="546">
        <f>'P DLT N-S'!I19</f>
        <v>1718.4473684210527</v>
      </c>
      <c r="AH36" s="547"/>
      <c r="AI36" s="547"/>
      <c r="AJ36" s="556">
        <f>AG36/CLV_Limit</f>
        <v>1.0740296052631579</v>
      </c>
      <c r="AK36" s="556"/>
      <c r="AL36" s="557"/>
      <c r="AM36" s="546">
        <f>'P DLT N-S'!AS57</f>
        <v>1017.5</v>
      </c>
      <c r="AN36" s="547"/>
      <c r="AO36" s="547"/>
      <c r="AP36" s="556">
        <f>AM36/CLV_Limit</f>
        <v>0.63593750000000004</v>
      </c>
      <c r="AQ36" s="556"/>
      <c r="AR36" s="557"/>
      <c r="AS36" s="504"/>
      <c r="AT36" s="505"/>
      <c r="AU36" s="505"/>
      <c r="AV36" s="505"/>
      <c r="AW36" s="505"/>
      <c r="AX36" s="544"/>
      <c r="AY36" s="504"/>
      <c r="AZ36" s="505"/>
      <c r="BA36" s="505"/>
      <c r="BB36" s="505"/>
      <c r="BC36" s="505"/>
      <c r="BD36" s="544"/>
      <c r="BE36" s="546">
        <f>'P DLT N-S'!AS25</f>
        <v>1343.1578947368421</v>
      </c>
      <c r="BF36" s="547"/>
      <c r="BG36" s="547"/>
      <c r="BH36" s="556">
        <f>BE36/CLV_Limit</f>
        <v>0.83947368421052626</v>
      </c>
      <c r="BI36" s="556"/>
      <c r="BJ36" s="557"/>
      <c r="BK36" s="496">
        <f>IF((CA36/CLV_Limit)&gt;1,((CA36/CLV_Limit)),(CA36/CLV_Limit))</f>
        <v>1.0740296052631579</v>
      </c>
      <c r="BL36" s="496"/>
      <c r="BM36" s="496"/>
      <c r="BN36" s="496"/>
      <c r="BO36" s="496"/>
      <c r="BP36" s="496"/>
      <c r="BQ36" s="497"/>
      <c r="BR36" s="561">
        <f t="shared" ref="BR36" si="3">RANK(CA36,$CA$24:$CA$53,1)</f>
        <v>1</v>
      </c>
      <c r="BS36" s="375"/>
      <c r="BT36" s="375"/>
      <c r="BU36" s="375"/>
      <c r="BV36" s="375"/>
      <c r="BW36" s="375"/>
      <c r="BX36" s="375"/>
      <c r="BY36" s="376"/>
      <c r="BZ36" s="399">
        <f>IF(MAX(AG36,AM36,BE36)&lt;0.75*CLV_Limit,1,IF(MAX(AG36,AM36,BE36)&lt;0.875*CLV_Limit-1,"2",IF(MAX(AG36,AM36,BE36)&lt;CLV_Limit-1,3,4)))</f>
        <v>4</v>
      </c>
      <c r="CA36" s="400">
        <f>MAX(AG36,AM36,BE36)</f>
        <v>1718.4473684210527</v>
      </c>
      <c r="CB36" s="151"/>
    </row>
    <row r="37" spans="2:80" ht="9.9499999999999993" customHeight="1">
      <c r="B37" s="1"/>
      <c r="C37" s="174"/>
      <c r="D37" s="174"/>
      <c r="E37" s="514"/>
      <c r="F37" s="515"/>
      <c r="G37" s="515"/>
      <c r="H37" s="508"/>
      <c r="I37" s="352"/>
      <c r="J37" s="352"/>
      <c r="K37" s="352"/>
      <c r="L37" s="352"/>
      <c r="M37" s="352"/>
      <c r="N37" s="352"/>
      <c r="O37" s="352"/>
      <c r="P37" s="352"/>
      <c r="Q37" s="352"/>
      <c r="R37" s="352"/>
      <c r="S37" s="352"/>
      <c r="T37" s="352"/>
      <c r="U37" s="352"/>
      <c r="V37" s="352"/>
      <c r="W37" s="352"/>
      <c r="X37" s="352"/>
      <c r="Y37" s="352"/>
      <c r="Z37" s="509"/>
      <c r="AA37" s="532"/>
      <c r="AB37" s="532"/>
      <c r="AC37" s="532"/>
      <c r="AD37" s="532"/>
      <c r="AE37" s="532"/>
      <c r="AF37" s="533"/>
      <c r="AG37" s="524"/>
      <c r="AH37" s="525"/>
      <c r="AI37" s="525"/>
      <c r="AJ37" s="538"/>
      <c r="AK37" s="538"/>
      <c r="AL37" s="539"/>
      <c r="AM37" s="524"/>
      <c r="AN37" s="525"/>
      <c r="AO37" s="525"/>
      <c r="AP37" s="538"/>
      <c r="AQ37" s="538"/>
      <c r="AR37" s="539"/>
      <c r="AS37" s="506"/>
      <c r="AT37" s="507"/>
      <c r="AU37" s="507"/>
      <c r="AV37" s="507"/>
      <c r="AW37" s="507"/>
      <c r="AX37" s="545"/>
      <c r="AY37" s="506"/>
      <c r="AZ37" s="507"/>
      <c r="BA37" s="507"/>
      <c r="BB37" s="507"/>
      <c r="BC37" s="507"/>
      <c r="BD37" s="545"/>
      <c r="BE37" s="524"/>
      <c r="BF37" s="525"/>
      <c r="BG37" s="525"/>
      <c r="BH37" s="538"/>
      <c r="BI37" s="538"/>
      <c r="BJ37" s="539"/>
      <c r="BK37" s="498"/>
      <c r="BL37" s="498"/>
      <c r="BM37" s="498"/>
      <c r="BN37" s="498"/>
      <c r="BO37" s="498"/>
      <c r="BP37" s="498"/>
      <c r="BQ37" s="499"/>
      <c r="BR37" s="561"/>
      <c r="BS37" s="375"/>
      <c r="BT37" s="375"/>
      <c r="BU37" s="375"/>
      <c r="BV37" s="375"/>
      <c r="BW37" s="375"/>
      <c r="BX37" s="375"/>
      <c r="BY37" s="376"/>
      <c r="BZ37" s="399"/>
      <c r="CA37" s="399"/>
      <c r="CB37" s="151"/>
    </row>
    <row r="38" spans="2:80" ht="9.9499999999999993" customHeight="1">
      <c r="B38" s="1"/>
      <c r="C38" s="174"/>
      <c r="D38" s="174"/>
      <c r="E38" s="514">
        <v>4.2</v>
      </c>
      <c r="F38" s="515"/>
      <c r="G38" s="515"/>
      <c r="H38" s="508"/>
      <c r="I38" s="352"/>
      <c r="J38" s="352"/>
      <c r="K38" s="352"/>
      <c r="L38" s="352"/>
      <c r="M38" s="352"/>
      <c r="N38" s="352"/>
      <c r="O38" s="352"/>
      <c r="P38" s="352"/>
      <c r="Q38" s="352"/>
      <c r="R38" s="352"/>
      <c r="S38" s="352"/>
      <c r="T38" s="352"/>
      <c r="U38" s="352"/>
      <c r="V38" s="352"/>
      <c r="W38" s="352"/>
      <c r="X38" s="352"/>
      <c r="Y38" s="352"/>
      <c r="Z38" s="509"/>
      <c r="AA38" s="532" t="s">
        <v>67</v>
      </c>
      <c r="AB38" s="532"/>
      <c r="AC38" s="532"/>
      <c r="AD38" s="532"/>
      <c r="AE38" s="532"/>
      <c r="AF38" s="533"/>
      <c r="AG38" s="504"/>
      <c r="AH38" s="505"/>
      <c r="AI38" s="505"/>
      <c r="AJ38" s="505"/>
      <c r="AK38" s="505"/>
      <c r="AL38" s="544"/>
      <c r="AM38" s="504"/>
      <c r="AN38" s="505"/>
      <c r="AO38" s="505"/>
      <c r="AP38" s="505"/>
      <c r="AQ38" s="505"/>
      <c r="AR38" s="544"/>
      <c r="AS38" s="524">
        <f>'P DLT E-W'!AU58</f>
        <v>511.80701754385973</v>
      </c>
      <c r="AT38" s="525"/>
      <c r="AU38" s="525"/>
      <c r="AV38" s="538">
        <f>AS38/CLV_Limit</f>
        <v>0.31987938596491233</v>
      </c>
      <c r="AW38" s="538"/>
      <c r="AX38" s="539"/>
      <c r="AY38" s="524">
        <f>'P DLT E-W'!G28</f>
        <v>473.15789473684214</v>
      </c>
      <c r="AZ38" s="525"/>
      <c r="BA38" s="525"/>
      <c r="BB38" s="538">
        <f>AY38/CLV_Limit</f>
        <v>0.29572368421052636</v>
      </c>
      <c r="BC38" s="538"/>
      <c r="BD38" s="539"/>
      <c r="BE38" s="524">
        <f>'P DLT E-W'!AQ27</f>
        <v>2050.105263157895</v>
      </c>
      <c r="BF38" s="525"/>
      <c r="BG38" s="525"/>
      <c r="BH38" s="538">
        <f>BE38/CLV_Limit</f>
        <v>1.2813157894736844</v>
      </c>
      <c r="BI38" s="538"/>
      <c r="BJ38" s="539"/>
      <c r="BK38" s="496">
        <f>IF((CA38/CLV_Limit)&gt;1,((CA38/CLV_Limit)),(CA38/CLV_Limit))</f>
        <v>1.2813157894736844</v>
      </c>
      <c r="BL38" s="496"/>
      <c r="BM38" s="496"/>
      <c r="BN38" s="496"/>
      <c r="BO38" s="496"/>
      <c r="BP38" s="496"/>
      <c r="BQ38" s="497"/>
      <c r="BR38" s="561">
        <f t="shared" ref="BR38" si="4">RANK(CA38,$CA$24:$CA$53,1)</f>
        <v>6</v>
      </c>
      <c r="BS38" s="375"/>
      <c r="BT38" s="375"/>
      <c r="BU38" s="375"/>
      <c r="BV38" s="375"/>
      <c r="BW38" s="375"/>
      <c r="BX38" s="375"/>
      <c r="BY38" s="376"/>
      <c r="BZ38" s="399">
        <f>IF(MAX(AS38,AY38,BE38)&lt;0.75*CLV_Limit,1,IF(MAX(AS38,AY38,BE38)&lt;0.875*CLV_Limit-1,"2",IF(MAX(AS38,AY38,BE38)&lt;CLV_Limit-1,3,4)))</f>
        <v>4</v>
      </c>
      <c r="CA38" s="400">
        <f>MAX(AS38,AY38,BE38)</f>
        <v>2050.105263157895</v>
      </c>
      <c r="CB38" s="151"/>
    </row>
    <row r="39" spans="2:80" ht="9.9499999999999993" customHeight="1">
      <c r="B39" s="1"/>
      <c r="C39" s="174"/>
      <c r="D39" s="174"/>
      <c r="E39" s="518"/>
      <c r="F39" s="519"/>
      <c r="G39" s="519"/>
      <c r="H39" s="510"/>
      <c r="I39" s="367"/>
      <c r="J39" s="367"/>
      <c r="K39" s="367"/>
      <c r="L39" s="367"/>
      <c r="M39" s="367"/>
      <c r="N39" s="367"/>
      <c r="O39" s="367"/>
      <c r="P39" s="367"/>
      <c r="Q39" s="367"/>
      <c r="R39" s="367"/>
      <c r="S39" s="367"/>
      <c r="T39" s="367"/>
      <c r="U39" s="367"/>
      <c r="V39" s="367"/>
      <c r="W39" s="367"/>
      <c r="X39" s="367"/>
      <c r="Y39" s="367"/>
      <c r="Z39" s="511"/>
      <c r="AA39" s="534"/>
      <c r="AB39" s="534"/>
      <c r="AC39" s="534"/>
      <c r="AD39" s="534"/>
      <c r="AE39" s="534"/>
      <c r="AF39" s="535"/>
      <c r="AG39" s="506"/>
      <c r="AH39" s="507"/>
      <c r="AI39" s="507"/>
      <c r="AJ39" s="507"/>
      <c r="AK39" s="507"/>
      <c r="AL39" s="545"/>
      <c r="AM39" s="506"/>
      <c r="AN39" s="507"/>
      <c r="AO39" s="507"/>
      <c r="AP39" s="507"/>
      <c r="AQ39" s="507"/>
      <c r="AR39" s="545"/>
      <c r="AS39" s="526"/>
      <c r="AT39" s="527"/>
      <c r="AU39" s="527"/>
      <c r="AV39" s="540"/>
      <c r="AW39" s="540"/>
      <c r="AX39" s="541"/>
      <c r="AY39" s="526"/>
      <c r="AZ39" s="527"/>
      <c r="BA39" s="527"/>
      <c r="BB39" s="540"/>
      <c r="BC39" s="540"/>
      <c r="BD39" s="541"/>
      <c r="BE39" s="526"/>
      <c r="BF39" s="527"/>
      <c r="BG39" s="527"/>
      <c r="BH39" s="540"/>
      <c r="BI39" s="540"/>
      <c r="BJ39" s="541"/>
      <c r="BK39" s="498"/>
      <c r="BL39" s="498"/>
      <c r="BM39" s="498"/>
      <c r="BN39" s="498"/>
      <c r="BO39" s="498"/>
      <c r="BP39" s="498"/>
      <c r="BQ39" s="499"/>
      <c r="BR39" s="561"/>
      <c r="BS39" s="375"/>
      <c r="BT39" s="375"/>
      <c r="BU39" s="375"/>
      <c r="BV39" s="375"/>
      <c r="BW39" s="375"/>
      <c r="BX39" s="375"/>
      <c r="BY39" s="376"/>
      <c r="BZ39" s="399"/>
      <c r="CA39" s="399"/>
      <c r="CB39" s="151"/>
    </row>
    <row r="40" spans="2:80" ht="9.9499999999999993" customHeight="1">
      <c r="B40" s="1"/>
      <c r="C40" s="174"/>
      <c r="D40" s="174"/>
      <c r="E40" s="520">
        <v>5</v>
      </c>
      <c r="F40" s="521"/>
      <c r="G40" s="521"/>
      <c r="H40" s="508" t="s">
        <v>68</v>
      </c>
      <c r="I40" s="352"/>
      <c r="J40" s="352"/>
      <c r="K40" s="352"/>
      <c r="L40" s="352"/>
      <c r="M40" s="352"/>
      <c r="N40" s="352"/>
      <c r="O40" s="352"/>
      <c r="P40" s="352"/>
      <c r="Q40" s="352"/>
      <c r="R40" s="352"/>
      <c r="S40" s="352"/>
      <c r="T40" s="352"/>
      <c r="U40" s="352"/>
      <c r="V40" s="352"/>
      <c r="W40" s="352"/>
      <c r="X40" s="352"/>
      <c r="Y40" s="352"/>
      <c r="Z40" s="509"/>
      <c r="AA40" s="562" t="s">
        <v>57</v>
      </c>
      <c r="AB40" s="562"/>
      <c r="AC40" s="562"/>
      <c r="AD40" s="562"/>
      <c r="AE40" s="562"/>
      <c r="AF40" s="563"/>
      <c r="AG40" s="546">
        <f>'Full DLT'!E17</f>
        <v>1718.4473684210527</v>
      </c>
      <c r="AH40" s="547"/>
      <c r="AI40" s="547"/>
      <c r="AJ40" s="556">
        <f>AG40/CLV_Limit</f>
        <v>1.0740296052631579</v>
      </c>
      <c r="AK40" s="556"/>
      <c r="AL40" s="557"/>
      <c r="AM40" s="528">
        <f>'Full DLT'!AW66</f>
        <v>1017.5</v>
      </c>
      <c r="AN40" s="529"/>
      <c r="AO40" s="529"/>
      <c r="AP40" s="542">
        <f>AM40/CLV_Limit</f>
        <v>0.63593750000000004</v>
      </c>
      <c r="AQ40" s="542"/>
      <c r="AR40" s="543"/>
      <c r="AS40" s="528">
        <f>'Full DLT'!AW17</f>
        <v>511.80701754385973</v>
      </c>
      <c r="AT40" s="529"/>
      <c r="AU40" s="529"/>
      <c r="AV40" s="542">
        <f>AS40/CLV_Limit</f>
        <v>0.31987938596491233</v>
      </c>
      <c r="AW40" s="542"/>
      <c r="AX40" s="543"/>
      <c r="AY40" s="528">
        <f>'Full DLT'!E66</f>
        <v>473.15789473684214</v>
      </c>
      <c r="AZ40" s="529"/>
      <c r="BA40" s="529"/>
      <c r="BB40" s="542">
        <f>AY40/CLV_Limit</f>
        <v>0.29572368421052636</v>
      </c>
      <c r="BC40" s="542"/>
      <c r="BD40" s="543"/>
      <c r="BE40" s="528">
        <f>'Full DLT'!E27</f>
        <v>1411.1578947368421</v>
      </c>
      <c r="BF40" s="529"/>
      <c r="BG40" s="529"/>
      <c r="BH40" s="542">
        <f>BE40/CLV_Limit</f>
        <v>0.88197368421052635</v>
      </c>
      <c r="BI40" s="542"/>
      <c r="BJ40" s="543"/>
      <c r="BK40" s="496">
        <f>IF((CA40/CLV_Limit)&gt;1,((CA40/CLV_Limit)),(CA40/CLV_Limit))</f>
        <v>1.0740296052631579</v>
      </c>
      <c r="BL40" s="496"/>
      <c r="BM40" s="496"/>
      <c r="BN40" s="496"/>
      <c r="BO40" s="496"/>
      <c r="BP40" s="496"/>
      <c r="BQ40" s="497"/>
      <c r="BR40" s="561">
        <f t="shared" ref="BR40" si="5">RANK(CA40,$CA$24:$CA$53,1)</f>
        <v>1</v>
      </c>
      <c r="BS40" s="375"/>
      <c r="BT40" s="375"/>
      <c r="BU40" s="375"/>
      <c r="BV40" s="375"/>
      <c r="BW40" s="375"/>
      <c r="BX40" s="375"/>
      <c r="BY40" s="376"/>
      <c r="BZ40" s="399">
        <f>IF(MAX(AG40,AM40,AS40,AY40,BE40)&lt;0.75*CLV_Limit,1,IF(MAX(AG40,AM40,AS40,AY40,BE40)&lt;0.875*CLV_Limit-1,"2",IF(MAX(AG40,AM40,AS40,AY40,BE40)&lt;CLV_Limit-1,3,4)))</f>
        <v>4</v>
      </c>
      <c r="CA40" s="400">
        <f>MAX(AG40,AM40,AS40,AY40,BE40)</f>
        <v>1718.4473684210527</v>
      </c>
      <c r="CB40" s="151"/>
    </row>
    <row r="41" spans="2:80" ht="9.9499999999999993" customHeight="1">
      <c r="B41" s="1"/>
      <c r="C41" s="174"/>
      <c r="D41" s="174"/>
      <c r="E41" s="522"/>
      <c r="F41" s="523"/>
      <c r="G41" s="523"/>
      <c r="H41" s="508"/>
      <c r="I41" s="352"/>
      <c r="J41" s="352"/>
      <c r="K41" s="352"/>
      <c r="L41" s="352"/>
      <c r="M41" s="352"/>
      <c r="N41" s="352"/>
      <c r="O41" s="352"/>
      <c r="P41" s="352"/>
      <c r="Q41" s="352"/>
      <c r="R41" s="352"/>
      <c r="S41" s="352"/>
      <c r="T41" s="352"/>
      <c r="U41" s="352"/>
      <c r="V41" s="352"/>
      <c r="W41" s="352"/>
      <c r="X41" s="352"/>
      <c r="Y41" s="352"/>
      <c r="Z41" s="509"/>
      <c r="AA41" s="564"/>
      <c r="AB41" s="564"/>
      <c r="AC41" s="564"/>
      <c r="AD41" s="564"/>
      <c r="AE41" s="564"/>
      <c r="AF41" s="565"/>
      <c r="AG41" s="530"/>
      <c r="AH41" s="531"/>
      <c r="AI41" s="531"/>
      <c r="AJ41" s="552"/>
      <c r="AK41" s="552"/>
      <c r="AL41" s="553"/>
      <c r="AM41" s="530"/>
      <c r="AN41" s="531"/>
      <c r="AO41" s="531"/>
      <c r="AP41" s="552"/>
      <c r="AQ41" s="552"/>
      <c r="AR41" s="553"/>
      <c r="AS41" s="530"/>
      <c r="AT41" s="531"/>
      <c r="AU41" s="531"/>
      <c r="AV41" s="552"/>
      <c r="AW41" s="552"/>
      <c r="AX41" s="553"/>
      <c r="AY41" s="530"/>
      <c r="AZ41" s="531"/>
      <c r="BA41" s="531"/>
      <c r="BB41" s="552"/>
      <c r="BC41" s="552"/>
      <c r="BD41" s="553"/>
      <c r="BE41" s="530"/>
      <c r="BF41" s="531"/>
      <c r="BG41" s="531"/>
      <c r="BH41" s="552"/>
      <c r="BI41" s="552"/>
      <c r="BJ41" s="553"/>
      <c r="BK41" s="498"/>
      <c r="BL41" s="498"/>
      <c r="BM41" s="498"/>
      <c r="BN41" s="498"/>
      <c r="BO41" s="498"/>
      <c r="BP41" s="498"/>
      <c r="BQ41" s="499"/>
      <c r="BR41" s="561"/>
      <c r="BS41" s="375"/>
      <c r="BT41" s="375"/>
      <c r="BU41" s="375"/>
      <c r="BV41" s="375"/>
      <c r="BW41" s="375"/>
      <c r="BX41" s="375"/>
      <c r="BY41" s="376"/>
      <c r="BZ41" s="399"/>
      <c r="CA41" s="399"/>
      <c r="CB41" s="151"/>
    </row>
    <row r="42" spans="2:80" ht="9.9499999999999993" customHeight="1">
      <c r="B42" s="1"/>
      <c r="C42" s="174"/>
      <c r="D42" s="174"/>
      <c r="E42" s="512">
        <v>6.1</v>
      </c>
      <c r="F42" s="513"/>
      <c r="G42" s="513"/>
      <c r="H42" s="433" t="s">
        <v>69</v>
      </c>
      <c r="I42" s="349"/>
      <c r="J42" s="349"/>
      <c r="K42" s="349"/>
      <c r="L42" s="349"/>
      <c r="M42" s="349"/>
      <c r="N42" s="349"/>
      <c r="O42" s="349"/>
      <c r="P42" s="349"/>
      <c r="Q42" s="349"/>
      <c r="R42" s="349"/>
      <c r="S42" s="349"/>
      <c r="T42" s="349"/>
      <c r="U42" s="349"/>
      <c r="V42" s="349"/>
      <c r="W42" s="349"/>
      <c r="X42" s="349"/>
      <c r="Y42" s="349"/>
      <c r="Z42" s="431"/>
      <c r="AA42" s="536" t="s">
        <v>66</v>
      </c>
      <c r="AB42" s="536"/>
      <c r="AC42" s="536"/>
      <c r="AD42" s="536"/>
      <c r="AE42" s="536"/>
      <c r="AF42" s="537"/>
      <c r="AG42" s="546">
        <f>'RCUT N-S'!F20</f>
        <v>1394.5</v>
      </c>
      <c r="AH42" s="547"/>
      <c r="AI42" s="547"/>
      <c r="AJ42" s="556">
        <f>AG42/CLV_Limit</f>
        <v>0.87156250000000002</v>
      </c>
      <c r="AK42" s="556"/>
      <c r="AL42" s="557"/>
      <c r="AM42" s="546">
        <f>'RCUT N-S'!AV65</f>
        <v>1721.875</v>
      </c>
      <c r="AN42" s="547"/>
      <c r="AO42" s="547"/>
      <c r="AP42" s="556">
        <f>AM42/CLV_Limit</f>
        <v>1.076171875</v>
      </c>
      <c r="AQ42" s="556"/>
      <c r="AR42" s="557"/>
      <c r="AS42" s="546">
        <f>'RCUT N-S'!AV28</f>
        <v>1960.5882352941176</v>
      </c>
      <c r="AT42" s="547"/>
      <c r="AU42" s="547"/>
      <c r="AV42" s="556">
        <f>AS42/CLV_Limit</f>
        <v>1.2253676470588235</v>
      </c>
      <c r="AW42" s="556"/>
      <c r="AX42" s="557"/>
      <c r="AY42" s="546">
        <f>'RCUT N-S'!F57</f>
        <v>1668.6764705882354</v>
      </c>
      <c r="AZ42" s="547"/>
      <c r="BA42" s="547"/>
      <c r="BB42" s="556">
        <f>AY42/CLV_Limit</f>
        <v>1.0429227941176471</v>
      </c>
      <c r="BC42" s="556"/>
      <c r="BD42" s="557"/>
      <c r="BE42" s="504"/>
      <c r="BF42" s="505"/>
      <c r="BG42" s="505"/>
      <c r="BH42" s="505"/>
      <c r="BI42" s="505"/>
      <c r="BJ42" s="544"/>
      <c r="BK42" s="496">
        <f>IF((CA42/CLV_Limit)&gt;1,((CA42/CLV_Limit)),(CA42/CLV_Limit))</f>
        <v>1.2253676470588235</v>
      </c>
      <c r="BL42" s="496"/>
      <c r="BM42" s="496"/>
      <c r="BN42" s="496"/>
      <c r="BO42" s="496"/>
      <c r="BP42" s="496"/>
      <c r="BQ42" s="497"/>
      <c r="BR42" s="561">
        <f t="shared" ref="BR42" si="6">RANK(CA42,$CA$24:$CA$53,1)</f>
        <v>4</v>
      </c>
      <c r="BS42" s="375"/>
      <c r="BT42" s="375"/>
      <c r="BU42" s="375"/>
      <c r="BV42" s="375"/>
      <c r="BW42" s="375"/>
      <c r="BX42" s="375"/>
      <c r="BY42" s="376"/>
      <c r="BZ42" s="399">
        <f>IF(MAX(AG42,AM42,AS42,AY42)&lt;0.75*CLV_Limit,1,IF(MAX(AG42,AM42,AS42,AY42)&lt;0.875*CLV_Limit-1,"2",IF(MAX(AG42,AM42,AS42,AY42)&lt;CLV_Limit-1,3,4)))</f>
        <v>4</v>
      </c>
      <c r="CA42" s="400">
        <f>MAX(AG42,AM42,AS42,AY42)</f>
        <v>1960.5882352941176</v>
      </c>
      <c r="CB42" s="151"/>
    </row>
    <row r="43" spans="2:80" ht="9.9499999999999993" customHeight="1">
      <c r="B43" s="1"/>
      <c r="C43" s="174"/>
      <c r="D43" s="174"/>
      <c r="E43" s="514"/>
      <c r="F43" s="515"/>
      <c r="G43" s="515"/>
      <c r="H43" s="508"/>
      <c r="I43" s="352"/>
      <c r="J43" s="352"/>
      <c r="K43" s="352"/>
      <c r="L43" s="352"/>
      <c r="M43" s="352"/>
      <c r="N43" s="352"/>
      <c r="O43" s="352"/>
      <c r="P43" s="352"/>
      <c r="Q43" s="352"/>
      <c r="R43" s="352"/>
      <c r="S43" s="352"/>
      <c r="T43" s="352"/>
      <c r="U43" s="352"/>
      <c r="V43" s="352"/>
      <c r="W43" s="352"/>
      <c r="X43" s="352"/>
      <c r="Y43" s="352"/>
      <c r="Z43" s="509"/>
      <c r="AA43" s="532"/>
      <c r="AB43" s="532"/>
      <c r="AC43" s="532"/>
      <c r="AD43" s="532"/>
      <c r="AE43" s="532"/>
      <c r="AF43" s="533"/>
      <c r="AG43" s="524"/>
      <c r="AH43" s="525"/>
      <c r="AI43" s="525"/>
      <c r="AJ43" s="538"/>
      <c r="AK43" s="538"/>
      <c r="AL43" s="539"/>
      <c r="AM43" s="524"/>
      <c r="AN43" s="525"/>
      <c r="AO43" s="525"/>
      <c r="AP43" s="538"/>
      <c r="AQ43" s="538"/>
      <c r="AR43" s="539"/>
      <c r="AS43" s="524"/>
      <c r="AT43" s="525"/>
      <c r="AU43" s="525"/>
      <c r="AV43" s="538"/>
      <c r="AW43" s="538"/>
      <c r="AX43" s="539"/>
      <c r="AY43" s="524"/>
      <c r="AZ43" s="525"/>
      <c r="BA43" s="525"/>
      <c r="BB43" s="538"/>
      <c r="BC43" s="538"/>
      <c r="BD43" s="539"/>
      <c r="BE43" s="506"/>
      <c r="BF43" s="507"/>
      <c r="BG43" s="507"/>
      <c r="BH43" s="507"/>
      <c r="BI43" s="507"/>
      <c r="BJ43" s="545"/>
      <c r="BK43" s="498"/>
      <c r="BL43" s="498"/>
      <c r="BM43" s="498"/>
      <c r="BN43" s="498"/>
      <c r="BO43" s="498"/>
      <c r="BP43" s="498"/>
      <c r="BQ43" s="499"/>
      <c r="BR43" s="561"/>
      <c r="BS43" s="375"/>
      <c r="BT43" s="375"/>
      <c r="BU43" s="375"/>
      <c r="BV43" s="375"/>
      <c r="BW43" s="375"/>
      <c r="BX43" s="375"/>
      <c r="BY43" s="376"/>
      <c r="BZ43" s="399"/>
      <c r="CA43" s="399"/>
      <c r="CB43" s="151"/>
    </row>
    <row r="44" spans="2:80" ht="9.9499999999999993" customHeight="1">
      <c r="B44" s="1"/>
      <c r="C44" s="174"/>
      <c r="D44" s="174"/>
      <c r="E44" s="514">
        <v>6.2</v>
      </c>
      <c r="F44" s="515"/>
      <c r="G44" s="515"/>
      <c r="H44" s="508"/>
      <c r="I44" s="352"/>
      <c r="J44" s="352"/>
      <c r="K44" s="352"/>
      <c r="L44" s="352"/>
      <c r="M44" s="352"/>
      <c r="N44" s="352"/>
      <c r="O44" s="352"/>
      <c r="P44" s="352"/>
      <c r="Q44" s="352"/>
      <c r="R44" s="352"/>
      <c r="S44" s="352"/>
      <c r="T44" s="352"/>
      <c r="U44" s="352"/>
      <c r="V44" s="352"/>
      <c r="W44" s="352"/>
      <c r="X44" s="352"/>
      <c r="Y44" s="352"/>
      <c r="Z44" s="509"/>
      <c r="AA44" s="532" t="s">
        <v>67</v>
      </c>
      <c r="AB44" s="532"/>
      <c r="AC44" s="532"/>
      <c r="AD44" s="532"/>
      <c r="AE44" s="532"/>
      <c r="AF44" s="533"/>
      <c r="AG44" s="524">
        <f>'RCUT E-W'!P17</f>
        <v>3155.2941176470586</v>
      </c>
      <c r="AH44" s="525"/>
      <c r="AI44" s="525"/>
      <c r="AJ44" s="538">
        <f>AG44/CLV_Limit</f>
        <v>1.9720588235294116</v>
      </c>
      <c r="AK44" s="538"/>
      <c r="AL44" s="539"/>
      <c r="AM44" s="524">
        <f>'RCUT E-W'!BG49</f>
        <v>3311.7647058823532</v>
      </c>
      <c r="AN44" s="525"/>
      <c r="AO44" s="525"/>
      <c r="AP44" s="538">
        <f>AM44/CLV_Limit</f>
        <v>2.0698529411764706</v>
      </c>
      <c r="AQ44" s="538"/>
      <c r="AR44" s="539"/>
      <c r="AS44" s="524">
        <f>'RCUT E-W'!BG17</f>
        <v>1394</v>
      </c>
      <c r="AT44" s="525"/>
      <c r="AU44" s="525"/>
      <c r="AV44" s="538">
        <f>AS44/CLV_Limit</f>
        <v>0.87124999999999997</v>
      </c>
      <c r="AW44" s="538"/>
      <c r="AX44" s="539"/>
      <c r="AY44" s="524">
        <f>'RCUT E-W'!N49</f>
        <v>1837.25</v>
      </c>
      <c r="AZ44" s="525"/>
      <c r="BA44" s="525"/>
      <c r="BB44" s="538">
        <f>AY44/CLV_Limit</f>
        <v>1.1482812499999999</v>
      </c>
      <c r="BC44" s="538"/>
      <c r="BD44" s="539"/>
      <c r="BE44" s="504"/>
      <c r="BF44" s="505"/>
      <c r="BG44" s="505"/>
      <c r="BH44" s="505"/>
      <c r="BI44" s="505"/>
      <c r="BJ44" s="544"/>
      <c r="BK44" s="496">
        <f>IF((CA44/CLV_Limit)&gt;1,((CA44/CLV_Limit)),(CA44/CLV_Limit))</f>
        <v>2.0698529411764706</v>
      </c>
      <c r="BL44" s="496"/>
      <c r="BM44" s="496"/>
      <c r="BN44" s="496"/>
      <c r="BO44" s="496"/>
      <c r="BP44" s="496"/>
      <c r="BQ44" s="497"/>
      <c r="BR44" s="561">
        <f t="shared" ref="BR44" si="7">RANK(CA44,$CA$24:$CA$53,1)</f>
        <v>14</v>
      </c>
      <c r="BS44" s="375"/>
      <c r="BT44" s="375"/>
      <c r="BU44" s="375"/>
      <c r="BV44" s="375"/>
      <c r="BW44" s="375"/>
      <c r="BX44" s="375"/>
      <c r="BY44" s="376"/>
      <c r="BZ44" s="399">
        <f>IF(MAX(AG44,AM44,AS44,AY44)&lt;0.75*CLV_Limit,1,IF(MAX(AG44,AM44,AS44,AY44)&lt;0.875*CLV_Limit-1,"2",IF(MAX(AG44,AM44,AS44,AY44)&lt;CLV_Limit-1,3,4)))</f>
        <v>4</v>
      </c>
      <c r="CA44" s="400">
        <f>MAX(AG44,AM44,AS44,AY44)</f>
        <v>3311.7647058823532</v>
      </c>
      <c r="CB44" s="151"/>
    </row>
    <row r="45" spans="2:80" ht="9.9499999999999993" customHeight="1">
      <c r="B45" s="1"/>
      <c r="C45" s="174"/>
      <c r="D45" s="174"/>
      <c r="E45" s="518"/>
      <c r="F45" s="519"/>
      <c r="G45" s="519"/>
      <c r="H45" s="510"/>
      <c r="I45" s="367"/>
      <c r="J45" s="367"/>
      <c r="K45" s="367"/>
      <c r="L45" s="367"/>
      <c r="M45" s="367"/>
      <c r="N45" s="367"/>
      <c r="O45" s="367"/>
      <c r="P45" s="367"/>
      <c r="Q45" s="367"/>
      <c r="R45" s="367"/>
      <c r="S45" s="367"/>
      <c r="T45" s="367"/>
      <c r="U45" s="367"/>
      <c r="V45" s="367"/>
      <c r="W45" s="367"/>
      <c r="X45" s="367"/>
      <c r="Y45" s="367"/>
      <c r="Z45" s="511"/>
      <c r="AA45" s="534"/>
      <c r="AB45" s="534"/>
      <c r="AC45" s="534"/>
      <c r="AD45" s="534"/>
      <c r="AE45" s="534"/>
      <c r="AF45" s="535"/>
      <c r="AG45" s="526"/>
      <c r="AH45" s="527"/>
      <c r="AI45" s="527"/>
      <c r="AJ45" s="540"/>
      <c r="AK45" s="540"/>
      <c r="AL45" s="541"/>
      <c r="AM45" s="526"/>
      <c r="AN45" s="527"/>
      <c r="AO45" s="527"/>
      <c r="AP45" s="540"/>
      <c r="AQ45" s="540"/>
      <c r="AR45" s="541"/>
      <c r="AS45" s="526"/>
      <c r="AT45" s="527"/>
      <c r="AU45" s="527"/>
      <c r="AV45" s="540"/>
      <c r="AW45" s="540"/>
      <c r="AX45" s="541"/>
      <c r="AY45" s="526"/>
      <c r="AZ45" s="527"/>
      <c r="BA45" s="527"/>
      <c r="BB45" s="540"/>
      <c r="BC45" s="540"/>
      <c r="BD45" s="541"/>
      <c r="BE45" s="506"/>
      <c r="BF45" s="507"/>
      <c r="BG45" s="507"/>
      <c r="BH45" s="507"/>
      <c r="BI45" s="507"/>
      <c r="BJ45" s="545"/>
      <c r="BK45" s="498"/>
      <c r="BL45" s="498"/>
      <c r="BM45" s="498"/>
      <c r="BN45" s="498"/>
      <c r="BO45" s="498"/>
      <c r="BP45" s="498"/>
      <c r="BQ45" s="499"/>
      <c r="BR45" s="561"/>
      <c r="BS45" s="375"/>
      <c r="BT45" s="375"/>
      <c r="BU45" s="375"/>
      <c r="BV45" s="375"/>
      <c r="BW45" s="375"/>
      <c r="BX45" s="375"/>
      <c r="BY45" s="376"/>
      <c r="BZ45" s="399"/>
      <c r="CA45" s="399"/>
      <c r="CB45" s="151"/>
    </row>
    <row r="46" spans="2:80" ht="9.9499999999999993" customHeight="1">
      <c r="B46" s="1"/>
      <c r="C46" s="174"/>
      <c r="D46" s="174"/>
      <c r="E46" s="609">
        <v>7.1</v>
      </c>
      <c r="F46" s="610"/>
      <c r="G46" s="610"/>
      <c r="H46" s="508" t="s">
        <v>70</v>
      </c>
      <c r="I46" s="352"/>
      <c r="J46" s="352"/>
      <c r="K46" s="352"/>
      <c r="L46" s="352"/>
      <c r="M46" s="352"/>
      <c r="N46" s="352"/>
      <c r="O46" s="352"/>
      <c r="P46" s="352"/>
      <c r="Q46" s="352"/>
      <c r="R46" s="352"/>
      <c r="S46" s="352"/>
      <c r="T46" s="352"/>
      <c r="U46" s="352"/>
      <c r="V46" s="352"/>
      <c r="W46" s="352"/>
      <c r="X46" s="352"/>
      <c r="Y46" s="352"/>
      <c r="Z46" s="509"/>
      <c r="AA46" s="611" t="s">
        <v>66</v>
      </c>
      <c r="AB46" s="611"/>
      <c r="AC46" s="611"/>
      <c r="AD46" s="611"/>
      <c r="AE46" s="611"/>
      <c r="AF46" s="612"/>
      <c r="AG46" s="528">
        <f>'MUT N-S '!AM24</f>
        <v>1394.5</v>
      </c>
      <c r="AH46" s="529"/>
      <c r="AI46" s="529"/>
      <c r="AJ46" s="542">
        <f>AG46/CLV_Limit</f>
        <v>0.87156250000000002</v>
      </c>
      <c r="AK46" s="542"/>
      <c r="AL46" s="543"/>
      <c r="AM46" s="528">
        <f>'MUT N-S '!AM59</f>
        <v>2101.25</v>
      </c>
      <c r="AN46" s="529"/>
      <c r="AO46" s="529"/>
      <c r="AP46" s="542">
        <f>AM46/CLV_Limit</f>
        <v>1.31328125</v>
      </c>
      <c r="AQ46" s="542"/>
      <c r="AR46" s="543"/>
      <c r="AS46" s="504"/>
      <c r="AT46" s="505"/>
      <c r="AU46" s="505"/>
      <c r="AV46" s="505"/>
      <c r="AW46" s="505"/>
      <c r="AX46" s="544"/>
      <c r="AY46" s="504"/>
      <c r="AZ46" s="505"/>
      <c r="BA46" s="505"/>
      <c r="BB46" s="505"/>
      <c r="BC46" s="505"/>
      <c r="BD46" s="544"/>
      <c r="BE46" s="528">
        <f>'MUT N-S '!AT41</f>
        <v>3388.2352941176468</v>
      </c>
      <c r="BF46" s="529"/>
      <c r="BG46" s="529"/>
      <c r="BH46" s="542">
        <f>BE46/CLV_Limit</f>
        <v>2.1176470588235294</v>
      </c>
      <c r="BI46" s="542"/>
      <c r="BJ46" s="543"/>
      <c r="BK46" s="496">
        <f>IF((CA46/CLV_Limit)&gt;1,((CA46/CLV_Limit)),(CA46/CLV_Limit))</f>
        <v>2.1176470588235294</v>
      </c>
      <c r="BL46" s="496"/>
      <c r="BM46" s="496"/>
      <c r="BN46" s="496"/>
      <c r="BO46" s="496"/>
      <c r="BP46" s="496"/>
      <c r="BQ46" s="497"/>
      <c r="BR46" s="561">
        <f t="shared" ref="BR46" si="8">RANK(CA46,$CA$24:$CA$53,1)</f>
        <v>15</v>
      </c>
      <c r="BS46" s="375"/>
      <c r="BT46" s="375"/>
      <c r="BU46" s="375"/>
      <c r="BV46" s="375"/>
      <c r="BW46" s="375"/>
      <c r="BX46" s="375"/>
      <c r="BY46" s="376"/>
      <c r="BZ46" s="399">
        <f>IF(MAX(AG46,AM46,BE46)&lt;0.75*CLV_Limit,1,IF(MAX(AG46,AM46,BE46)&lt;0.875*CLV_Limit-1,"2",IF(MAX(AG46,AM46,BE46)&lt;CLV_Limit-1,3,4)))</f>
        <v>4</v>
      </c>
      <c r="CA46" s="400">
        <f>MAX(AG46,AM46,BE46)</f>
        <v>3388.2352941176468</v>
      </c>
      <c r="CB46" s="151"/>
    </row>
    <row r="47" spans="2:80" ht="9.9499999999999993" customHeight="1">
      <c r="B47" s="1"/>
      <c r="C47" s="174"/>
      <c r="D47" s="174"/>
      <c r="E47" s="514"/>
      <c r="F47" s="515"/>
      <c r="G47" s="515"/>
      <c r="H47" s="508"/>
      <c r="I47" s="352"/>
      <c r="J47" s="352"/>
      <c r="K47" s="352"/>
      <c r="L47" s="352"/>
      <c r="M47" s="352"/>
      <c r="N47" s="352"/>
      <c r="O47" s="352"/>
      <c r="P47" s="352"/>
      <c r="Q47" s="352"/>
      <c r="R47" s="352"/>
      <c r="S47" s="352"/>
      <c r="T47" s="352"/>
      <c r="U47" s="352"/>
      <c r="V47" s="352"/>
      <c r="W47" s="352"/>
      <c r="X47" s="352"/>
      <c r="Y47" s="352"/>
      <c r="Z47" s="509"/>
      <c r="AA47" s="532"/>
      <c r="AB47" s="532"/>
      <c r="AC47" s="532"/>
      <c r="AD47" s="532"/>
      <c r="AE47" s="532"/>
      <c r="AF47" s="533"/>
      <c r="AG47" s="524"/>
      <c r="AH47" s="525"/>
      <c r="AI47" s="525"/>
      <c r="AJ47" s="538"/>
      <c r="AK47" s="538"/>
      <c r="AL47" s="539"/>
      <c r="AM47" s="524"/>
      <c r="AN47" s="525"/>
      <c r="AO47" s="525"/>
      <c r="AP47" s="538"/>
      <c r="AQ47" s="538"/>
      <c r="AR47" s="539"/>
      <c r="AS47" s="506"/>
      <c r="AT47" s="507"/>
      <c r="AU47" s="507"/>
      <c r="AV47" s="507"/>
      <c r="AW47" s="507"/>
      <c r="AX47" s="545"/>
      <c r="AY47" s="506"/>
      <c r="AZ47" s="507"/>
      <c r="BA47" s="507"/>
      <c r="BB47" s="507"/>
      <c r="BC47" s="507"/>
      <c r="BD47" s="545"/>
      <c r="BE47" s="524"/>
      <c r="BF47" s="525"/>
      <c r="BG47" s="525"/>
      <c r="BH47" s="538"/>
      <c r="BI47" s="538"/>
      <c r="BJ47" s="539"/>
      <c r="BK47" s="498"/>
      <c r="BL47" s="498"/>
      <c r="BM47" s="498"/>
      <c r="BN47" s="498"/>
      <c r="BO47" s="498"/>
      <c r="BP47" s="498"/>
      <c r="BQ47" s="499"/>
      <c r="BR47" s="561"/>
      <c r="BS47" s="375"/>
      <c r="BT47" s="375"/>
      <c r="BU47" s="375"/>
      <c r="BV47" s="375"/>
      <c r="BW47" s="375"/>
      <c r="BX47" s="375"/>
      <c r="BY47" s="376"/>
      <c r="BZ47" s="399"/>
      <c r="CA47" s="399"/>
      <c r="CB47" s="151"/>
    </row>
    <row r="48" spans="2:80" ht="9.9499999999999993" customHeight="1">
      <c r="B48" s="1"/>
      <c r="C48" s="174"/>
      <c r="D48" s="174"/>
      <c r="E48" s="514">
        <v>7.2</v>
      </c>
      <c r="F48" s="515"/>
      <c r="G48" s="515"/>
      <c r="H48" s="508"/>
      <c r="I48" s="352"/>
      <c r="J48" s="352"/>
      <c r="K48" s="352"/>
      <c r="L48" s="352"/>
      <c r="M48" s="352"/>
      <c r="N48" s="352"/>
      <c r="O48" s="352"/>
      <c r="P48" s="352"/>
      <c r="Q48" s="352"/>
      <c r="R48" s="352"/>
      <c r="S48" s="352"/>
      <c r="T48" s="352"/>
      <c r="U48" s="352"/>
      <c r="V48" s="352"/>
      <c r="W48" s="352"/>
      <c r="X48" s="352"/>
      <c r="Y48" s="352"/>
      <c r="Z48" s="509"/>
      <c r="AA48" s="532" t="s">
        <v>67</v>
      </c>
      <c r="AB48" s="532"/>
      <c r="AC48" s="532"/>
      <c r="AD48" s="532"/>
      <c r="AE48" s="532"/>
      <c r="AF48" s="533"/>
      <c r="AG48" s="504"/>
      <c r="AH48" s="505"/>
      <c r="AI48" s="505"/>
      <c r="AJ48" s="505"/>
      <c r="AK48" s="505"/>
      <c r="AL48" s="544"/>
      <c r="AM48" s="504"/>
      <c r="AN48" s="505"/>
      <c r="AO48" s="505"/>
      <c r="AP48" s="505"/>
      <c r="AQ48" s="505"/>
      <c r="AR48" s="544"/>
      <c r="AS48" s="524">
        <f>'MUT E-W'!BP22</f>
        <v>1168.375</v>
      </c>
      <c r="AT48" s="525"/>
      <c r="AU48" s="525"/>
      <c r="AV48" s="538">
        <f>AS48/CLV_Limit</f>
        <v>0.73023437499999999</v>
      </c>
      <c r="AW48" s="538"/>
      <c r="AX48" s="539"/>
      <c r="AY48" s="524">
        <f>'MUT E-W'!F22</f>
        <v>1300.375</v>
      </c>
      <c r="AZ48" s="525"/>
      <c r="BA48" s="525"/>
      <c r="BB48" s="538">
        <f>AY48/CLV_Limit</f>
        <v>0.81273437500000001</v>
      </c>
      <c r="BC48" s="538"/>
      <c r="BD48" s="539"/>
      <c r="BE48" s="524">
        <f>'MUT E-W'!AK22</f>
        <v>3040</v>
      </c>
      <c r="BF48" s="525"/>
      <c r="BG48" s="525"/>
      <c r="BH48" s="538">
        <f>BE48/CLV_Limit</f>
        <v>1.9</v>
      </c>
      <c r="BI48" s="538"/>
      <c r="BJ48" s="539"/>
      <c r="BK48" s="496">
        <f>IF((CA48/CLV_Limit)&gt;1,((CA48/CLV_Limit)),(CA48/CLV_Limit))</f>
        <v>1.9</v>
      </c>
      <c r="BL48" s="496"/>
      <c r="BM48" s="496"/>
      <c r="BN48" s="496"/>
      <c r="BO48" s="496"/>
      <c r="BP48" s="496"/>
      <c r="BQ48" s="497"/>
      <c r="BR48" s="561">
        <f t="shared" ref="BR48" si="9">RANK(CA48,$CA$24:$CA$53,1)</f>
        <v>10</v>
      </c>
      <c r="BS48" s="375"/>
      <c r="BT48" s="375"/>
      <c r="BU48" s="375"/>
      <c r="BV48" s="375"/>
      <c r="BW48" s="375"/>
      <c r="BX48" s="375"/>
      <c r="BY48" s="376"/>
      <c r="BZ48" s="399">
        <f>IF(MAX(AS48,AY48,BE48)&lt;0.75*CLV_Limit,1,IF(MAX(AS48,AY48,BE48)&lt;0.875*CLV_Limit-1,"2",IF(MAX(AS48,AY48,BE48)&lt;CLV_Limit-1,3,4)))</f>
        <v>4</v>
      </c>
      <c r="CA48" s="400">
        <f>MAX(AS48,AY48,BE48)</f>
        <v>3040</v>
      </c>
      <c r="CB48" s="151"/>
    </row>
    <row r="49" spans="2:80" ht="9.9499999999999993" customHeight="1">
      <c r="B49" s="1"/>
      <c r="C49" s="174"/>
      <c r="D49" s="174"/>
      <c r="E49" s="613"/>
      <c r="F49" s="614"/>
      <c r="G49" s="614"/>
      <c r="H49" s="508"/>
      <c r="I49" s="352"/>
      <c r="J49" s="352"/>
      <c r="K49" s="352"/>
      <c r="L49" s="352"/>
      <c r="M49" s="352"/>
      <c r="N49" s="352"/>
      <c r="O49" s="352"/>
      <c r="P49" s="352"/>
      <c r="Q49" s="352"/>
      <c r="R49" s="352"/>
      <c r="S49" s="352"/>
      <c r="T49" s="352"/>
      <c r="U49" s="352"/>
      <c r="V49" s="352"/>
      <c r="W49" s="352"/>
      <c r="X49" s="352"/>
      <c r="Y49" s="352"/>
      <c r="Z49" s="509"/>
      <c r="AA49" s="615"/>
      <c r="AB49" s="615"/>
      <c r="AC49" s="615"/>
      <c r="AD49" s="615"/>
      <c r="AE49" s="615"/>
      <c r="AF49" s="616"/>
      <c r="AG49" s="506"/>
      <c r="AH49" s="507"/>
      <c r="AI49" s="507"/>
      <c r="AJ49" s="507"/>
      <c r="AK49" s="507"/>
      <c r="AL49" s="545"/>
      <c r="AM49" s="506"/>
      <c r="AN49" s="507"/>
      <c r="AO49" s="507"/>
      <c r="AP49" s="507"/>
      <c r="AQ49" s="507"/>
      <c r="AR49" s="545"/>
      <c r="AS49" s="530"/>
      <c r="AT49" s="531"/>
      <c r="AU49" s="531"/>
      <c r="AV49" s="552"/>
      <c r="AW49" s="552"/>
      <c r="AX49" s="553"/>
      <c r="AY49" s="530"/>
      <c r="AZ49" s="531"/>
      <c r="BA49" s="531"/>
      <c r="BB49" s="552"/>
      <c r="BC49" s="552"/>
      <c r="BD49" s="553"/>
      <c r="BE49" s="530"/>
      <c r="BF49" s="531"/>
      <c r="BG49" s="531"/>
      <c r="BH49" s="552"/>
      <c r="BI49" s="552"/>
      <c r="BJ49" s="553"/>
      <c r="BK49" s="498"/>
      <c r="BL49" s="498"/>
      <c r="BM49" s="498"/>
      <c r="BN49" s="498"/>
      <c r="BO49" s="498"/>
      <c r="BP49" s="498"/>
      <c r="BQ49" s="499"/>
      <c r="BR49" s="561"/>
      <c r="BS49" s="375"/>
      <c r="BT49" s="375"/>
      <c r="BU49" s="375"/>
      <c r="BV49" s="375"/>
      <c r="BW49" s="375"/>
      <c r="BX49" s="375"/>
      <c r="BY49" s="376"/>
      <c r="BZ49" s="399"/>
      <c r="CA49" s="399"/>
      <c r="CB49" s="151"/>
    </row>
    <row r="50" spans="2:80" ht="9.9499999999999993" customHeight="1">
      <c r="B50" s="1"/>
      <c r="C50" s="174"/>
      <c r="D50" s="174"/>
      <c r="E50" s="512">
        <v>8.1</v>
      </c>
      <c r="F50" s="513"/>
      <c r="G50" s="513"/>
      <c r="H50" s="433" t="s">
        <v>71</v>
      </c>
      <c r="I50" s="349"/>
      <c r="J50" s="349"/>
      <c r="K50" s="349"/>
      <c r="L50" s="349"/>
      <c r="M50" s="349"/>
      <c r="N50" s="349"/>
      <c r="O50" s="349"/>
      <c r="P50" s="349"/>
      <c r="Q50" s="349"/>
      <c r="R50" s="349"/>
      <c r="S50" s="349"/>
      <c r="T50" s="349"/>
      <c r="U50" s="349"/>
      <c r="V50" s="349"/>
      <c r="W50" s="349"/>
      <c r="X50" s="349"/>
      <c r="Y50" s="349"/>
      <c r="Z50" s="431"/>
      <c r="AA50" s="536" t="s">
        <v>66</v>
      </c>
      <c r="AB50" s="536"/>
      <c r="AC50" s="536"/>
      <c r="AD50" s="536"/>
      <c r="AE50" s="536"/>
      <c r="AF50" s="537"/>
      <c r="AG50" s="546">
        <f>'PMUT N-S'!AM24</f>
        <v>1027</v>
      </c>
      <c r="AH50" s="547"/>
      <c r="AI50" s="547"/>
      <c r="AJ50" s="556">
        <f>AG50/CLV_Limit</f>
        <v>0.64187499999999997</v>
      </c>
      <c r="AK50" s="556"/>
      <c r="AL50" s="557"/>
      <c r="AM50" s="546">
        <f>'PMUT N-S'!AM59</f>
        <v>1918.75</v>
      </c>
      <c r="AN50" s="547"/>
      <c r="AO50" s="547"/>
      <c r="AP50" s="556">
        <f>AM50/CLV_Limit</f>
        <v>1.19921875</v>
      </c>
      <c r="AQ50" s="556"/>
      <c r="AR50" s="557"/>
      <c r="AS50" s="504"/>
      <c r="AT50" s="505"/>
      <c r="AU50" s="505"/>
      <c r="AV50" s="505"/>
      <c r="AW50" s="505"/>
      <c r="AX50" s="544"/>
      <c r="AY50" s="504"/>
      <c r="AZ50" s="505"/>
      <c r="BA50" s="505"/>
      <c r="BB50" s="505"/>
      <c r="BC50" s="505"/>
      <c r="BD50" s="544"/>
      <c r="BE50" s="546">
        <f>'PMUT E-W'!AK21</f>
        <v>3040.0061919504642</v>
      </c>
      <c r="BF50" s="547"/>
      <c r="BG50" s="547"/>
      <c r="BH50" s="556">
        <f>BE50/CLV_Limit</f>
        <v>1.90000386996904</v>
      </c>
      <c r="BI50" s="556"/>
      <c r="BJ50" s="557"/>
      <c r="BK50" s="496">
        <f>IF((CA50/CLV_Limit)&gt;1,((CA50/CLV_Limit)),(CA50/CLV_Limit))</f>
        <v>1.90000386996904</v>
      </c>
      <c r="BL50" s="496"/>
      <c r="BM50" s="496"/>
      <c r="BN50" s="496"/>
      <c r="BO50" s="496"/>
      <c r="BP50" s="496"/>
      <c r="BQ50" s="497"/>
      <c r="BR50" s="561">
        <f t="shared" ref="BR50" si="10">RANK(CA50,$CA$24:$CA$53,1)</f>
        <v>11</v>
      </c>
      <c r="BS50" s="375"/>
      <c r="BT50" s="375"/>
      <c r="BU50" s="375"/>
      <c r="BV50" s="375"/>
      <c r="BW50" s="375"/>
      <c r="BX50" s="375"/>
      <c r="BY50" s="376"/>
      <c r="BZ50" s="399">
        <f>IF(MAX(AG50,AM50,BE50)&lt;0.75*CLV_Limit,1,IF(MAX(AG50,AM50,BE50)&lt;0.875*CLV_Limit-1,"2",IF(MAX(AG50,AM50,BE50)&lt;CLV_Limit-1,3,4)))</f>
        <v>4</v>
      </c>
      <c r="CA50" s="400">
        <f>MAX(AG50,AM50,BE50)</f>
        <v>3040.0061919504642</v>
      </c>
      <c r="CB50" s="151"/>
    </row>
    <row r="51" spans="2:80" ht="9.9499999999999993" customHeight="1">
      <c r="B51" s="1"/>
      <c r="C51" s="174"/>
      <c r="D51" s="174"/>
      <c r="E51" s="514"/>
      <c r="F51" s="515"/>
      <c r="G51" s="515"/>
      <c r="H51" s="508"/>
      <c r="I51" s="352"/>
      <c r="J51" s="352"/>
      <c r="K51" s="352"/>
      <c r="L51" s="352"/>
      <c r="M51" s="352"/>
      <c r="N51" s="352"/>
      <c r="O51" s="352"/>
      <c r="P51" s="352"/>
      <c r="Q51" s="352"/>
      <c r="R51" s="352"/>
      <c r="S51" s="352"/>
      <c r="T51" s="352"/>
      <c r="U51" s="352"/>
      <c r="V51" s="352"/>
      <c r="W51" s="352"/>
      <c r="X51" s="352"/>
      <c r="Y51" s="352"/>
      <c r="Z51" s="509"/>
      <c r="AA51" s="532"/>
      <c r="AB51" s="532"/>
      <c r="AC51" s="532"/>
      <c r="AD51" s="532"/>
      <c r="AE51" s="532"/>
      <c r="AF51" s="533"/>
      <c r="AG51" s="524"/>
      <c r="AH51" s="525"/>
      <c r="AI51" s="525"/>
      <c r="AJ51" s="538"/>
      <c r="AK51" s="538"/>
      <c r="AL51" s="539"/>
      <c r="AM51" s="524"/>
      <c r="AN51" s="525"/>
      <c r="AO51" s="525"/>
      <c r="AP51" s="538"/>
      <c r="AQ51" s="538"/>
      <c r="AR51" s="539"/>
      <c r="AS51" s="506"/>
      <c r="AT51" s="507"/>
      <c r="AU51" s="507"/>
      <c r="AV51" s="507"/>
      <c r="AW51" s="507"/>
      <c r="AX51" s="545"/>
      <c r="AY51" s="506"/>
      <c r="AZ51" s="507"/>
      <c r="BA51" s="507"/>
      <c r="BB51" s="507"/>
      <c r="BC51" s="507"/>
      <c r="BD51" s="545"/>
      <c r="BE51" s="524"/>
      <c r="BF51" s="525"/>
      <c r="BG51" s="525"/>
      <c r="BH51" s="538"/>
      <c r="BI51" s="538"/>
      <c r="BJ51" s="539"/>
      <c r="BK51" s="498"/>
      <c r="BL51" s="498"/>
      <c r="BM51" s="498"/>
      <c r="BN51" s="498"/>
      <c r="BO51" s="498"/>
      <c r="BP51" s="498"/>
      <c r="BQ51" s="499"/>
      <c r="BR51" s="561"/>
      <c r="BS51" s="375"/>
      <c r="BT51" s="375"/>
      <c r="BU51" s="375"/>
      <c r="BV51" s="375"/>
      <c r="BW51" s="375"/>
      <c r="BX51" s="375"/>
      <c r="BY51" s="376"/>
      <c r="BZ51" s="399"/>
      <c r="CA51" s="399"/>
      <c r="CB51" s="151"/>
    </row>
    <row r="52" spans="2:80" ht="9.9499999999999993" customHeight="1">
      <c r="B52" s="1"/>
      <c r="C52" s="174"/>
      <c r="D52" s="174"/>
      <c r="E52" s="514">
        <v>8.1999999999999993</v>
      </c>
      <c r="F52" s="515"/>
      <c r="G52" s="515"/>
      <c r="H52" s="508"/>
      <c r="I52" s="352"/>
      <c r="J52" s="352"/>
      <c r="K52" s="352"/>
      <c r="L52" s="352"/>
      <c r="M52" s="352"/>
      <c r="N52" s="352"/>
      <c r="O52" s="352"/>
      <c r="P52" s="352"/>
      <c r="Q52" s="352"/>
      <c r="R52" s="352"/>
      <c r="S52" s="352"/>
      <c r="T52" s="352"/>
      <c r="U52" s="352"/>
      <c r="V52" s="352"/>
      <c r="W52" s="352"/>
      <c r="X52" s="352"/>
      <c r="Y52" s="352"/>
      <c r="Z52" s="509"/>
      <c r="AA52" s="532" t="s">
        <v>67</v>
      </c>
      <c r="AB52" s="532"/>
      <c r="AC52" s="532"/>
      <c r="AD52" s="532"/>
      <c r="AE52" s="532"/>
      <c r="AF52" s="533"/>
      <c r="AG52" s="504"/>
      <c r="AH52" s="505"/>
      <c r="AI52" s="505"/>
      <c r="AJ52" s="505"/>
      <c r="AK52" s="505"/>
      <c r="AL52" s="544"/>
      <c r="AM52" s="504"/>
      <c r="AN52" s="505"/>
      <c r="AO52" s="505"/>
      <c r="AP52" s="505"/>
      <c r="AQ52" s="505"/>
      <c r="AR52" s="544"/>
      <c r="AS52" s="524">
        <f>'PMUT E-W'!BP22</f>
        <v>1168.375</v>
      </c>
      <c r="AT52" s="525"/>
      <c r="AU52" s="525"/>
      <c r="AV52" s="538">
        <f>AS52/CLV_Limit</f>
        <v>0.73023437499999999</v>
      </c>
      <c r="AW52" s="538"/>
      <c r="AX52" s="539"/>
      <c r="AY52" s="524">
        <f>'PMUT E-W'!F22</f>
        <v>921</v>
      </c>
      <c r="AZ52" s="525"/>
      <c r="BA52" s="525"/>
      <c r="BB52" s="538">
        <f>AY52/CLV_Limit</f>
        <v>0.57562500000000005</v>
      </c>
      <c r="BC52" s="538"/>
      <c r="BD52" s="539"/>
      <c r="BE52" s="524">
        <f>'PMUT E-W'!AK21</f>
        <v>3040.0061919504642</v>
      </c>
      <c r="BF52" s="525"/>
      <c r="BG52" s="525"/>
      <c r="BH52" s="538">
        <f>BE52/CLV_Limit</f>
        <v>1.90000386996904</v>
      </c>
      <c r="BI52" s="538"/>
      <c r="BJ52" s="539"/>
      <c r="BK52" s="496">
        <f>IF((CA52/CLV_Limit)&gt;1,((CA52/CLV_Limit)),(CA52/CLV_Limit))</f>
        <v>1.90000386996904</v>
      </c>
      <c r="BL52" s="496"/>
      <c r="BM52" s="496"/>
      <c r="BN52" s="496"/>
      <c r="BO52" s="496"/>
      <c r="BP52" s="496"/>
      <c r="BQ52" s="497"/>
      <c r="BR52" s="561">
        <f t="shared" ref="BR52" si="11">RANK(CA52,$CA$24:$CA$53,1)</f>
        <v>11</v>
      </c>
      <c r="BS52" s="375"/>
      <c r="BT52" s="375"/>
      <c r="BU52" s="375"/>
      <c r="BV52" s="375"/>
      <c r="BW52" s="375"/>
      <c r="BX52" s="375"/>
      <c r="BY52" s="376"/>
      <c r="BZ52" s="399">
        <f>IF(MAX(AS52,AY52,BE52)&lt;0.75*CLV_Limit,1,IF(MAX(AS52,AY52,BE52)&lt;0.875*CLV_Limit-1,"2",IF(MAX(AS52,AY52,BE52)&lt;CLV_Limit-1,3,4)))</f>
        <v>4</v>
      </c>
      <c r="CA52" s="400">
        <f>MAX(AS52,AY52,BE52)</f>
        <v>3040.0061919504642</v>
      </c>
      <c r="CB52" s="151"/>
    </row>
    <row r="53" spans="2:80" ht="9.9499999999999993" customHeight="1" thickBot="1">
      <c r="B53" s="1"/>
      <c r="C53" s="174"/>
      <c r="D53" s="174"/>
      <c r="E53" s="620"/>
      <c r="F53" s="621"/>
      <c r="G53" s="621"/>
      <c r="H53" s="624"/>
      <c r="I53" s="355"/>
      <c r="J53" s="355"/>
      <c r="K53" s="355"/>
      <c r="L53" s="355"/>
      <c r="M53" s="355"/>
      <c r="N53" s="355"/>
      <c r="O53" s="355"/>
      <c r="P53" s="355"/>
      <c r="Q53" s="355"/>
      <c r="R53" s="355"/>
      <c r="S53" s="355"/>
      <c r="T53" s="355"/>
      <c r="U53" s="355"/>
      <c r="V53" s="355"/>
      <c r="W53" s="355"/>
      <c r="X53" s="355"/>
      <c r="Y53" s="355"/>
      <c r="Z53" s="625"/>
      <c r="AA53" s="622"/>
      <c r="AB53" s="622"/>
      <c r="AC53" s="622"/>
      <c r="AD53" s="622"/>
      <c r="AE53" s="622"/>
      <c r="AF53" s="623"/>
      <c r="AG53" s="617"/>
      <c r="AH53" s="618"/>
      <c r="AI53" s="618"/>
      <c r="AJ53" s="618"/>
      <c r="AK53" s="618"/>
      <c r="AL53" s="619"/>
      <c r="AM53" s="617"/>
      <c r="AN53" s="618"/>
      <c r="AO53" s="618"/>
      <c r="AP53" s="618"/>
      <c r="AQ53" s="618"/>
      <c r="AR53" s="619"/>
      <c r="AS53" s="550"/>
      <c r="AT53" s="551"/>
      <c r="AU53" s="551"/>
      <c r="AV53" s="554"/>
      <c r="AW53" s="554"/>
      <c r="AX53" s="555"/>
      <c r="AY53" s="550"/>
      <c r="AZ53" s="551"/>
      <c r="BA53" s="551"/>
      <c r="BB53" s="554"/>
      <c r="BC53" s="554"/>
      <c r="BD53" s="555"/>
      <c r="BE53" s="550"/>
      <c r="BF53" s="551"/>
      <c r="BG53" s="551"/>
      <c r="BH53" s="554"/>
      <c r="BI53" s="554"/>
      <c r="BJ53" s="555"/>
      <c r="BK53" s="548"/>
      <c r="BL53" s="548"/>
      <c r="BM53" s="548"/>
      <c r="BN53" s="548"/>
      <c r="BO53" s="548"/>
      <c r="BP53" s="548"/>
      <c r="BQ53" s="549"/>
      <c r="BR53" s="626"/>
      <c r="BS53" s="627"/>
      <c r="BT53" s="627"/>
      <c r="BU53" s="627"/>
      <c r="BV53" s="627"/>
      <c r="BW53" s="627"/>
      <c r="BX53" s="627"/>
      <c r="BY53" s="628"/>
      <c r="BZ53" s="399"/>
      <c r="CA53" s="399"/>
      <c r="CB53" s="151"/>
    </row>
    <row r="54" spans="2:80"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7"/>
    </row>
    <row r="55" spans="2:80" ht="9.9499999999999993" customHeight="1" thickBot="1">
      <c r="B55" s="12"/>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71"/>
    </row>
    <row r="56" spans="2:80" ht="2.85" customHeight="1" thickBot="1">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row>
    <row r="57" spans="2:80" ht="9.9499999999999993" customHeight="1">
      <c r="B57" s="571" t="s">
        <v>40</v>
      </c>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80"/>
    </row>
    <row r="58" spans="2:80" ht="9.9499999999999993" customHeight="1">
      <c r="B58" s="181"/>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3"/>
    </row>
    <row r="59" spans="2:80" ht="9.9499999999999993" customHeight="1">
      <c r="B59" s="572" t="s">
        <v>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73"/>
      <c r="BU59" s="573"/>
      <c r="BV59" s="573"/>
      <c r="BW59" s="573"/>
      <c r="BX59" s="573"/>
      <c r="BY59" s="573"/>
      <c r="BZ59" s="573"/>
      <c r="CA59" s="573"/>
      <c r="CB59" s="574"/>
    </row>
    <row r="60" spans="2:80" ht="9.9499999999999993" customHeight="1">
      <c r="B60" s="572"/>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73"/>
      <c r="BM60" s="573"/>
      <c r="BN60" s="573"/>
      <c r="BO60" s="573"/>
      <c r="BP60" s="573"/>
      <c r="BQ60" s="573"/>
      <c r="BR60" s="573"/>
      <c r="BS60" s="573"/>
      <c r="BT60" s="573"/>
      <c r="BU60" s="573"/>
      <c r="BV60" s="573"/>
      <c r="BW60" s="573"/>
      <c r="BX60" s="573"/>
      <c r="BY60" s="573"/>
      <c r="BZ60" s="573"/>
      <c r="CA60" s="573"/>
      <c r="CB60" s="574"/>
    </row>
    <row r="61" spans="2:80"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7"/>
    </row>
    <row r="62" spans="2:80"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7"/>
    </row>
    <row r="63" spans="2:80" ht="9.9499999999999993" customHeight="1">
      <c r="B63" s="1"/>
      <c r="C63" s="174"/>
      <c r="D63" s="174"/>
      <c r="E63" s="466" t="s">
        <v>72</v>
      </c>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8"/>
      <c r="BZ63" s="174"/>
      <c r="CA63" s="174"/>
      <c r="CB63" s="177"/>
    </row>
    <row r="64" spans="2:80" ht="9.9499999999999993" customHeight="1" thickBot="1">
      <c r="B64" s="1"/>
      <c r="C64" s="174"/>
      <c r="D64" s="174"/>
      <c r="E64" s="469"/>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470"/>
      <c r="AZ64" s="470"/>
      <c r="BA64" s="470"/>
      <c r="BB64" s="470"/>
      <c r="BC64" s="470"/>
      <c r="BD64" s="470"/>
      <c r="BE64" s="470"/>
      <c r="BF64" s="470"/>
      <c r="BG64" s="470"/>
      <c r="BH64" s="470"/>
      <c r="BI64" s="470"/>
      <c r="BJ64" s="470"/>
      <c r="BK64" s="470"/>
      <c r="BL64" s="470"/>
      <c r="BM64" s="470"/>
      <c r="BN64" s="470"/>
      <c r="BO64" s="470"/>
      <c r="BP64" s="470"/>
      <c r="BQ64" s="470"/>
      <c r="BR64" s="470"/>
      <c r="BS64" s="470"/>
      <c r="BT64" s="470"/>
      <c r="BU64" s="470"/>
      <c r="BV64" s="470"/>
      <c r="BW64" s="470"/>
      <c r="BX64" s="470"/>
      <c r="BY64" s="471"/>
      <c r="BZ64" s="4"/>
      <c r="CA64" s="4"/>
      <c r="CB64" s="177"/>
    </row>
    <row r="65" spans="2:80" ht="9.9499999999999993" customHeight="1">
      <c r="B65" s="149"/>
      <c r="C65" s="55"/>
      <c r="D65" s="55"/>
      <c r="E65" s="360" t="s">
        <v>44</v>
      </c>
      <c r="F65" s="361"/>
      <c r="G65" s="362"/>
      <c r="H65" s="387" t="s">
        <v>73</v>
      </c>
      <c r="I65" s="388"/>
      <c r="J65" s="388"/>
      <c r="K65" s="388"/>
      <c r="L65" s="388"/>
      <c r="M65" s="388"/>
      <c r="N65" s="389"/>
      <c r="O65" s="358" t="s">
        <v>47</v>
      </c>
      <c r="P65" s="1902"/>
      <c r="Q65" s="1902"/>
      <c r="R65" s="1902"/>
      <c r="S65" s="1902"/>
      <c r="T65" s="1902"/>
      <c r="U65" s="1902"/>
      <c r="V65" s="1902"/>
      <c r="W65" s="1902"/>
      <c r="X65" s="1902"/>
      <c r="Y65" s="1902"/>
      <c r="Z65" s="1903"/>
      <c r="AA65" s="434" t="s">
        <v>49</v>
      </c>
      <c r="AB65" s="429"/>
      <c r="AC65" s="429"/>
      <c r="AD65" s="429"/>
      <c r="AE65" s="429"/>
      <c r="AF65" s="429"/>
      <c r="AG65" s="429"/>
      <c r="AH65" s="429"/>
      <c r="AI65" s="429"/>
      <c r="AJ65" s="429"/>
      <c r="AK65" s="429"/>
      <c r="AL65" s="435"/>
      <c r="AM65" s="428" t="s">
        <v>48</v>
      </c>
      <c r="AN65" s="429"/>
      <c r="AO65" s="429"/>
      <c r="AP65" s="429"/>
      <c r="AQ65" s="429"/>
      <c r="AR65" s="429"/>
      <c r="AS65" s="429"/>
      <c r="AT65" s="429"/>
      <c r="AU65" s="429"/>
      <c r="AV65" s="429"/>
      <c r="AW65" s="429"/>
      <c r="AX65" s="430"/>
      <c r="AY65" s="434" t="s">
        <v>50</v>
      </c>
      <c r="AZ65" s="429"/>
      <c r="BA65" s="429"/>
      <c r="BB65" s="429"/>
      <c r="BC65" s="429"/>
      <c r="BD65" s="429"/>
      <c r="BE65" s="429"/>
      <c r="BF65" s="429"/>
      <c r="BG65" s="429"/>
      <c r="BH65" s="429"/>
      <c r="BI65" s="429"/>
      <c r="BJ65" s="435"/>
      <c r="BK65" s="357" t="s">
        <v>52</v>
      </c>
      <c r="BL65" s="358"/>
      <c r="BM65" s="358"/>
      <c r="BN65" s="358"/>
      <c r="BO65" s="358"/>
      <c r="BP65" s="358"/>
      <c r="BQ65" s="359"/>
      <c r="BR65" s="360" t="s">
        <v>53</v>
      </c>
      <c r="BS65" s="361"/>
      <c r="BT65" s="361"/>
      <c r="BU65" s="361"/>
      <c r="BV65" s="361"/>
      <c r="BW65" s="361"/>
      <c r="BX65" s="361"/>
      <c r="BY65" s="362"/>
      <c r="BZ65" s="4"/>
      <c r="CA65" s="4"/>
      <c r="CB65" s="177"/>
    </row>
    <row r="66" spans="2:80" ht="9.9499999999999993" customHeight="1">
      <c r="B66" s="150">
        <f>IF(O73&gt;1,1,0)</f>
        <v>1</v>
      </c>
      <c r="C66" s="134">
        <f>IF(AA73&gt;1,1,0)</f>
        <v>1</v>
      </c>
      <c r="D66" s="134"/>
      <c r="E66" s="184"/>
      <c r="F66" s="185"/>
      <c r="G66" s="186"/>
      <c r="H66" s="390"/>
      <c r="I66" s="391"/>
      <c r="J66" s="391"/>
      <c r="K66" s="391"/>
      <c r="L66" s="391"/>
      <c r="M66" s="391"/>
      <c r="N66" s="392"/>
      <c r="O66" s="1904"/>
      <c r="P66" s="1904"/>
      <c r="Q66" s="1904"/>
      <c r="R66" s="1904"/>
      <c r="S66" s="1904"/>
      <c r="T66" s="1904"/>
      <c r="U66" s="1904"/>
      <c r="V66" s="1904"/>
      <c r="W66" s="1904"/>
      <c r="X66" s="1904"/>
      <c r="Y66" s="1904"/>
      <c r="Z66" s="1905"/>
      <c r="AA66" s="436"/>
      <c r="AB66" s="432"/>
      <c r="AC66" s="432"/>
      <c r="AD66" s="432"/>
      <c r="AE66" s="432"/>
      <c r="AF66" s="432"/>
      <c r="AG66" s="432"/>
      <c r="AH66" s="432"/>
      <c r="AI66" s="432"/>
      <c r="AJ66" s="432"/>
      <c r="AK66" s="432"/>
      <c r="AL66" s="437"/>
      <c r="AM66" s="431"/>
      <c r="AN66" s="432"/>
      <c r="AO66" s="432"/>
      <c r="AP66" s="432"/>
      <c r="AQ66" s="432"/>
      <c r="AR66" s="432"/>
      <c r="AS66" s="432"/>
      <c r="AT66" s="432"/>
      <c r="AU66" s="432"/>
      <c r="AV66" s="432"/>
      <c r="AW66" s="432"/>
      <c r="AX66" s="433"/>
      <c r="AY66" s="436"/>
      <c r="AZ66" s="432"/>
      <c r="BA66" s="432"/>
      <c r="BB66" s="432"/>
      <c r="BC66" s="432"/>
      <c r="BD66" s="432"/>
      <c r="BE66" s="432"/>
      <c r="BF66" s="432"/>
      <c r="BG66" s="432"/>
      <c r="BH66" s="432"/>
      <c r="BI66" s="432"/>
      <c r="BJ66" s="437"/>
      <c r="BK66" s="351"/>
      <c r="BL66" s="352"/>
      <c r="BM66" s="352"/>
      <c r="BN66" s="352"/>
      <c r="BO66" s="352"/>
      <c r="BP66" s="352"/>
      <c r="BQ66" s="353"/>
      <c r="BR66" s="184"/>
      <c r="BS66" s="185"/>
      <c r="BT66" s="185"/>
      <c r="BU66" s="185"/>
      <c r="BV66" s="185"/>
      <c r="BW66" s="185"/>
      <c r="BX66" s="185"/>
      <c r="BY66" s="186"/>
      <c r="BZ66" s="174"/>
      <c r="CA66" s="174"/>
      <c r="CB66" s="177"/>
    </row>
    <row r="67" spans="2:80" ht="9.9499999999999993" customHeight="1">
      <c r="B67" s="150">
        <f>IF(AM73&gt;1,1,0)</f>
        <v>1</v>
      </c>
      <c r="C67" s="134">
        <f>IF(AY73&gt;1,1,0)</f>
        <v>1</v>
      </c>
      <c r="D67" s="134"/>
      <c r="E67" s="184"/>
      <c r="F67" s="185"/>
      <c r="G67" s="186"/>
      <c r="H67" s="390"/>
      <c r="I67" s="391"/>
      <c r="J67" s="391"/>
      <c r="K67" s="391"/>
      <c r="L67" s="391"/>
      <c r="M67" s="391"/>
      <c r="N67" s="392"/>
      <c r="O67" s="417" t="s">
        <v>74</v>
      </c>
      <c r="P67" s="1906"/>
      <c r="Q67" s="1906"/>
      <c r="R67" s="1907"/>
      <c r="S67" s="418" t="s">
        <v>75</v>
      </c>
      <c r="T67" s="1906"/>
      <c r="U67" s="1906"/>
      <c r="V67" s="1907"/>
      <c r="W67" s="418" t="s">
        <v>76</v>
      </c>
      <c r="X67" s="1906"/>
      <c r="Y67" s="1906"/>
      <c r="Z67" s="1908"/>
      <c r="AA67" s="426" t="s">
        <v>74</v>
      </c>
      <c r="AB67" s="419"/>
      <c r="AC67" s="419"/>
      <c r="AD67" s="419"/>
      <c r="AE67" s="419" t="s">
        <v>75</v>
      </c>
      <c r="AF67" s="419"/>
      <c r="AG67" s="419"/>
      <c r="AH67" s="419"/>
      <c r="AI67" s="419" t="s">
        <v>76</v>
      </c>
      <c r="AJ67" s="419"/>
      <c r="AK67" s="419"/>
      <c r="AL67" s="421"/>
      <c r="AM67" s="423" t="s">
        <v>74</v>
      </c>
      <c r="AN67" s="419"/>
      <c r="AO67" s="419"/>
      <c r="AP67" s="419"/>
      <c r="AQ67" s="419" t="s">
        <v>75</v>
      </c>
      <c r="AR67" s="419"/>
      <c r="AS67" s="419"/>
      <c r="AT67" s="419"/>
      <c r="AU67" s="419" t="s">
        <v>76</v>
      </c>
      <c r="AV67" s="419"/>
      <c r="AW67" s="419"/>
      <c r="AX67" s="418"/>
      <c r="AY67" s="426" t="s">
        <v>74</v>
      </c>
      <c r="AZ67" s="419"/>
      <c r="BA67" s="419"/>
      <c r="BB67" s="419"/>
      <c r="BC67" s="419" t="s">
        <v>75</v>
      </c>
      <c r="BD67" s="419"/>
      <c r="BE67" s="419"/>
      <c r="BF67" s="419"/>
      <c r="BG67" s="419" t="s">
        <v>76</v>
      </c>
      <c r="BH67" s="419"/>
      <c r="BI67" s="419"/>
      <c r="BJ67" s="421"/>
      <c r="BK67" s="351"/>
      <c r="BL67" s="352"/>
      <c r="BM67" s="352"/>
      <c r="BN67" s="352"/>
      <c r="BO67" s="352"/>
      <c r="BP67" s="352"/>
      <c r="BQ67" s="353"/>
      <c r="BR67" s="184"/>
      <c r="BS67" s="185"/>
      <c r="BT67" s="185"/>
      <c r="BU67" s="185"/>
      <c r="BV67" s="185"/>
      <c r="BW67" s="185"/>
      <c r="BX67" s="185"/>
      <c r="BY67" s="186"/>
      <c r="BZ67" s="174"/>
      <c r="CA67" s="174"/>
      <c r="CB67" s="177"/>
    </row>
    <row r="68" spans="2:80" ht="9.9499999999999993" customHeight="1" thickBot="1">
      <c r="B68" s="150"/>
      <c r="C68" s="134"/>
      <c r="D68" s="174"/>
      <c r="E68" s="363"/>
      <c r="F68" s="364"/>
      <c r="G68" s="365"/>
      <c r="H68" s="393"/>
      <c r="I68" s="394"/>
      <c r="J68" s="394"/>
      <c r="K68" s="394"/>
      <c r="L68" s="394"/>
      <c r="M68" s="394"/>
      <c r="N68" s="395"/>
      <c r="O68" s="1909"/>
      <c r="P68" s="1909"/>
      <c r="Q68" s="1909"/>
      <c r="R68" s="1910"/>
      <c r="S68" s="1911"/>
      <c r="T68" s="1909"/>
      <c r="U68" s="1909"/>
      <c r="V68" s="1910"/>
      <c r="W68" s="1911"/>
      <c r="X68" s="1909"/>
      <c r="Y68" s="1909"/>
      <c r="Z68" s="1912"/>
      <c r="AA68" s="427"/>
      <c r="AB68" s="420"/>
      <c r="AC68" s="420"/>
      <c r="AD68" s="420"/>
      <c r="AE68" s="420"/>
      <c r="AF68" s="420"/>
      <c r="AG68" s="420"/>
      <c r="AH68" s="420"/>
      <c r="AI68" s="420"/>
      <c r="AJ68" s="420"/>
      <c r="AK68" s="420"/>
      <c r="AL68" s="422"/>
      <c r="AM68" s="424"/>
      <c r="AN68" s="420"/>
      <c r="AO68" s="420"/>
      <c r="AP68" s="420"/>
      <c r="AQ68" s="420"/>
      <c r="AR68" s="420"/>
      <c r="AS68" s="420"/>
      <c r="AT68" s="420"/>
      <c r="AU68" s="420"/>
      <c r="AV68" s="420"/>
      <c r="AW68" s="420"/>
      <c r="AX68" s="425"/>
      <c r="AY68" s="427"/>
      <c r="AZ68" s="420"/>
      <c r="BA68" s="420"/>
      <c r="BB68" s="420"/>
      <c r="BC68" s="420"/>
      <c r="BD68" s="420"/>
      <c r="BE68" s="420"/>
      <c r="BF68" s="420"/>
      <c r="BG68" s="420"/>
      <c r="BH68" s="420"/>
      <c r="BI68" s="420"/>
      <c r="BJ68" s="422"/>
      <c r="BK68" s="354"/>
      <c r="BL68" s="355"/>
      <c r="BM68" s="355"/>
      <c r="BN68" s="355"/>
      <c r="BO68" s="355"/>
      <c r="BP68" s="355"/>
      <c r="BQ68" s="356"/>
      <c r="BR68" s="363"/>
      <c r="BS68" s="364"/>
      <c r="BT68" s="364"/>
      <c r="BU68" s="364"/>
      <c r="BV68" s="364"/>
      <c r="BW68" s="364"/>
      <c r="BX68" s="364"/>
      <c r="BY68" s="365"/>
      <c r="BZ68" s="174"/>
      <c r="CA68" s="174"/>
      <c r="CB68" s="177"/>
    </row>
    <row r="69" spans="2:80" ht="9.9499999999999993" customHeight="1">
      <c r="B69" s="150"/>
      <c r="C69" s="134"/>
      <c r="D69" s="174"/>
      <c r="E69" s="405">
        <v>9.1</v>
      </c>
      <c r="F69" s="406"/>
      <c r="G69" s="406"/>
      <c r="H69" s="407" t="s">
        <v>77</v>
      </c>
      <c r="I69" s="407"/>
      <c r="J69" s="407"/>
      <c r="K69" s="407"/>
      <c r="L69" s="407"/>
      <c r="M69" s="407"/>
      <c r="N69" s="408"/>
      <c r="O69" s="381">
        <f>'50 Mini-Rndabt'!J23</f>
        <v>5.1173451592007559</v>
      </c>
      <c r="P69" s="382"/>
      <c r="Q69" s="382"/>
      <c r="R69" s="382"/>
      <c r="S69" s="377"/>
      <c r="T69" s="377"/>
      <c r="U69" s="377"/>
      <c r="V69" s="377"/>
      <c r="W69" s="377"/>
      <c r="X69" s="377"/>
      <c r="Y69" s="377"/>
      <c r="Z69" s="378"/>
      <c r="AA69" s="381">
        <f>'50 Mini-Rndabt'!J65</f>
        <v>-0.65807250951355512</v>
      </c>
      <c r="AB69" s="382"/>
      <c r="AC69" s="382"/>
      <c r="AD69" s="382"/>
      <c r="AE69" s="377"/>
      <c r="AF69" s="377"/>
      <c r="AG69" s="377"/>
      <c r="AH69" s="377"/>
      <c r="AI69" s="377"/>
      <c r="AJ69" s="377"/>
      <c r="AK69" s="377"/>
      <c r="AL69" s="385"/>
      <c r="AM69" s="403">
        <f>'50 Mini-Rndabt'!AT65</f>
        <v>-4.4171966033281311</v>
      </c>
      <c r="AN69" s="382"/>
      <c r="AO69" s="382"/>
      <c r="AP69" s="382"/>
      <c r="AQ69" s="377"/>
      <c r="AR69" s="377"/>
      <c r="AS69" s="377"/>
      <c r="AT69" s="377"/>
      <c r="AU69" s="377"/>
      <c r="AV69" s="377"/>
      <c r="AW69" s="377"/>
      <c r="AX69" s="378"/>
      <c r="AY69" s="381">
        <f>'50 Mini-Rndabt'!CV31</f>
        <v>-0.99755955648485695</v>
      </c>
      <c r="AZ69" s="382"/>
      <c r="BA69" s="382"/>
      <c r="BB69" s="382"/>
      <c r="BC69" s="377"/>
      <c r="BD69" s="377"/>
      <c r="BE69" s="377"/>
      <c r="BF69" s="377"/>
      <c r="BG69" s="377"/>
      <c r="BH69" s="377"/>
      <c r="BI69" s="377"/>
      <c r="BJ69" s="385"/>
      <c r="BK69" s="369">
        <f>MAX(O69:BJ70)</f>
        <v>5.1173451592007559</v>
      </c>
      <c r="BL69" s="370"/>
      <c r="BM69" s="370"/>
      <c r="BN69" s="370"/>
      <c r="BO69" s="370"/>
      <c r="BP69" s="370"/>
      <c r="BQ69" s="371"/>
      <c r="BR69" s="375">
        <f>RANK(CA69,(CA69:CA82),1)</f>
        <v>2</v>
      </c>
      <c r="BS69" s="375"/>
      <c r="BT69" s="375"/>
      <c r="BU69" s="375"/>
      <c r="BV69" s="375"/>
      <c r="BW69" s="375"/>
      <c r="BX69" s="375"/>
      <c r="BY69" s="376"/>
      <c r="BZ69" s="399">
        <f>IF(MAX(O69,AA69,AM69,AY69)&lt;0.75,"1",IF(MAX(O69,AA69,AM69,AY69)&lt;0.874,"2",IF(MAX(O69,AA69,AM69,AY69)&lt;0.99,3,4)))</f>
        <v>4</v>
      </c>
      <c r="CA69" s="400">
        <f>MAX(O69:BJ70)</f>
        <v>5.1173451592007559</v>
      </c>
      <c r="CB69" s="177"/>
    </row>
    <row r="70" spans="2:80" ht="9.9499999999999993" customHeight="1">
      <c r="B70" s="150">
        <f>IF(O75&gt;1,1,0)</f>
        <v>1</v>
      </c>
      <c r="C70" s="134">
        <f>IF(AM75&gt;1,1,0)</f>
        <v>1</v>
      </c>
      <c r="D70" s="134"/>
      <c r="E70" s="401"/>
      <c r="F70" s="402"/>
      <c r="G70" s="402"/>
      <c r="H70" s="396"/>
      <c r="I70" s="396"/>
      <c r="J70" s="396"/>
      <c r="K70" s="396"/>
      <c r="L70" s="396"/>
      <c r="M70" s="396"/>
      <c r="N70" s="397"/>
      <c r="O70" s="383"/>
      <c r="P70" s="384"/>
      <c r="Q70" s="384"/>
      <c r="R70" s="384"/>
      <c r="S70" s="379"/>
      <c r="T70" s="379"/>
      <c r="U70" s="379"/>
      <c r="V70" s="379"/>
      <c r="W70" s="379"/>
      <c r="X70" s="379"/>
      <c r="Y70" s="379"/>
      <c r="Z70" s="380"/>
      <c r="AA70" s="383"/>
      <c r="AB70" s="384"/>
      <c r="AC70" s="384"/>
      <c r="AD70" s="384"/>
      <c r="AE70" s="379"/>
      <c r="AF70" s="379"/>
      <c r="AG70" s="379"/>
      <c r="AH70" s="379"/>
      <c r="AI70" s="379"/>
      <c r="AJ70" s="379"/>
      <c r="AK70" s="379"/>
      <c r="AL70" s="386"/>
      <c r="AM70" s="404"/>
      <c r="AN70" s="384"/>
      <c r="AO70" s="384"/>
      <c r="AP70" s="384"/>
      <c r="AQ70" s="379"/>
      <c r="AR70" s="379"/>
      <c r="AS70" s="379"/>
      <c r="AT70" s="379"/>
      <c r="AU70" s="379"/>
      <c r="AV70" s="379"/>
      <c r="AW70" s="379"/>
      <c r="AX70" s="380"/>
      <c r="AY70" s="383"/>
      <c r="AZ70" s="384"/>
      <c r="BA70" s="384"/>
      <c r="BB70" s="384"/>
      <c r="BC70" s="379"/>
      <c r="BD70" s="379"/>
      <c r="BE70" s="379"/>
      <c r="BF70" s="379"/>
      <c r="BG70" s="379"/>
      <c r="BH70" s="379"/>
      <c r="BI70" s="379"/>
      <c r="BJ70" s="386"/>
      <c r="BK70" s="372"/>
      <c r="BL70" s="373"/>
      <c r="BM70" s="373"/>
      <c r="BN70" s="373"/>
      <c r="BO70" s="373"/>
      <c r="BP70" s="373"/>
      <c r="BQ70" s="374"/>
      <c r="BR70" s="375"/>
      <c r="BS70" s="375"/>
      <c r="BT70" s="375"/>
      <c r="BU70" s="375"/>
      <c r="BV70" s="375"/>
      <c r="BW70" s="375"/>
      <c r="BX70" s="375"/>
      <c r="BY70" s="376"/>
      <c r="BZ70" s="399"/>
      <c r="CA70" s="399"/>
      <c r="CB70" s="177"/>
    </row>
    <row r="71" spans="2:80" ht="9.9499999999999993" customHeight="1">
      <c r="B71" s="150">
        <f>IF(OR(AA75&gt;1, AE75&gt;1),1,0)</f>
        <v>1</v>
      </c>
      <c r="C71" s="134">
        <f>IF(OR(AY75&gt;1, BC75&gt;1),1,0)</f>
        <v>1</v>
      </c>
      <c r="D71" s="134"/>
      <c r="E71" s="401">
        <v>9.1999999999999993</v>
      </c>
      <c r="F71" s="402"/>
      <c r="G71" s="402"/>
      <c r="H71" s="396" t="s">
        <v>78</v>
      </c>
      <c r="I71" s="396"/>
      <c r="J71" s="396"/>
      <c r="K71" s="396"/>
      <c r="L71" s="396"/>
      <c r="M71" s="396"/>
      <c r="N71" s="397"/>
      <c r="O71" s="381">
        <f>'75 Mini-Rndabt'!CH31</f>
        <v>4.523511689776071</v>
      </c>
      <c r="P71" s="382"/>
      <c r="Q71" s="382"/>
      <c r="R71" s="382"/>
      <c r="S71" s="377"/>
      <c r="T71" s="377"/>
      <c r="U71" s="377"/>
      <c r="V71" s="377"/>
      <c r="W71" s="377"/>
      <c r="X71" s="377"/>
      <c r="Y71" s="377"/>
      <c r="Z71" s="378"/>
      <c r="AA71" s="381">
        <f>'75 Mini-Rndabt'!J65</f>
        <v>-0.75123666664156941</v>
      </c>
      <c r="AB71" s="382"/>
      <c r="AC71" s="382"/>
      <c r="AD71" s="382"/>
      <c r="AE71" s="377"/>
      <c r="AF71" s="377"/>
      <c r="AG71" s="377"/>
      <c r="AH71" s="377"/>
      <c r="AI71" s="377"/>
      <c r="AJ71" s="377"/>
      <c r="AK71" s="377"/>
      <c r="AL71" s="385"/>
      <c r="AM71" s="403">
        <f>'75 Mini-Rndabt'!AT65</f>
        <v>-5.8502182736611079</v>
      </c>
      <c r="AN71" s="382"/>
      <c r="AO71" s="382"/>
      <c r="AP71" s="382"/>
      <c r="AQ71" s="377"/>
      <c r="AR71" s="377"/>
      <c r="AS71" s="377"/>
      <c r="AT71" s="377"/>
      <c r="AU71" s="377"/>
      <c r="AV71" s="377"/>
      <c r="AW71" s="377"/>
      <c r="AX71" s="378"/>
      <c r="AY71" s="381">
        <f>'75 Mini-Rndabt'!AU25</f>
        <v>-1.1817967831744873</v>
      </c>
      <c r="AZ71" s="382"/>
      <c r="BA71" s="382"/>
      <c r="BB71" s="382"/>
      <c r="BC71" s="377"/>
      <c r="BD71" s="377"/>
      <c r="BE71" s="377"/>
      <c r="BF71" s="377"/>
      <c r="BG71" s="377"/>
      <c r="BH71" s="377"/>
      <c r="BI71" s="377"/>
      <c r="BJ71" s="385"/>
      <c r="BK71" s="369">
        <f>MAX(O71:BJ72)</f>
        <v>4.523511689776071</v>
      </c>
      <c r="BL71" s="370"/>
      <c r="BM71" s="370"/>
      <c r="BN71" s="370"/>
      <c r="BO71" s="370"/>
      <c r="BP71" s="370"/>
      <c r="BQ71" s="371"/>
      <c r="BR71" s="375">
        <f>RANK(CA71,(CA69:CA82),1)</f>
        <v>1</v>
      </c>
      <c r="BS71" s="375"/>
      <c r="BT71" s="375"/>
      <c r="BU71" s="375"/>
      <c r="BV71" s="375"/>
      <c r="BW71" s="375"/>
      <c r="BX71" s="375"/>
      <c r="BY71" s="376"/>
      <c r="BZ71" s="399">
        <f>IF(MAX(O71,AA71,AM71,AY71)&lt;0.75,"1",IF(MAX(O71,AA71,AM71,AY71)&lt;0.874,"2",IF(MAX(O71,AA71,AM71,AY71)&lt;0.99,3,4)))</f>
        <v>4</v>
      </c>
      <c r="CA71" s="400">
        <f>MAX(O71:BJ72)</f>
        <v>4.523511689776071</v>
      </c>
      <c r="CB71" s="177"/>
    </row>
    <row r="72" spans="2:80" ht="9.9499999999999993" customHeight="1">
      <c r="B72" s="150"/>
      <c r="C72" s="134"/>
      <c r="D72" s="134"/>
      <c r="E72" s="401"/>
      <c r="F72" s="402"/>
      <c r="G72" s="402"/>
      <c r="H72" s="396"/>
      <c r="I72" s="396"/>
      <c r="J72" s="396"/>
      <c r="K72" s="396"/>
      <c r="L72" s="396"/>
      <c r="M72" s="396"/>
      <c r="N72" s="397"/>
      <c r="O72" s="383"/>
      <c r="P72" s="384"/>
      <c r="Q72" s="384"/>
      <c r="R72" s="384"/>
      <c r="S72" s="379"/>
      <c r="T72" s="379"/>
      <c r="U72" s="379"/>
      <c r="V72" s="379"/>
      <c r="W72" s="379"/>
      <c r="X72" s="379"/>
      <c r="Y72" s="379"/>
      <c r="Z72" s="380"/>
      <c r="AA72" s="383"/>
      <c r="AB72" s="384"/>
      <c r="AC72" s="384"/>
      <c r="AD72" s="384"/>
      <c r="AE72" s="379"/>
      <c r="AF72" s="379"/>
      <c r="AG72" s="379"/>
      <c r="AH72" s="379"/>
      <c r="AI72" s="379"/>
      <c r="AJ72" s="379"/>
      <c r="AK72" s="379"/>
      <c r="AL72" s="386"/>
      <c r="AM72" s="404"/>
      <c r="AN72" s="384"/>
      <c r="AO72" s="384"/>
      <c r="AP72" s="384"/>
      <c r="AQ72" s="379"/>
      <c r="AR72" s="379"/>
      <c r="AS72" s="379"/>
      <c r="AT72" s="379"/>
      <c r="AU72" s="379"/>
      <c r="AV72" s="379"/>
      <c r="AW72" s="379"/>
      <c r="AX72" s="380"/>
      <c r="AY72" s="383"/>
      <c r="AZ72" s="384"/>
      <c r="BA72" s="384"/>
      <c r="BB72" s="384"/>
      <c r="BC72" s="379"/>
      <c r="BD72" s="379"/>
      <c r="BE72" s="379"/>
      <c r="BF72" s="379"/>
      <c r="BG72" s="379"/>
      <c r="BH72" s="379"/>
      <c r="BI72" s="379"/>
      <c r="BJ72" s="386"/>
      <c r="BK72" s="372"/>
      <c r="BL72" s="373"/>
      <c r="BM72" s="373"/>
      <c r="BN72" s="373"/>
      <c r="BO72" s="373"/>
      <c r="BP72" s="373"/>
      <c r="BQ72" s="374"/>
      <c r="BR72" s="375"/>
      <c r="BS72" s="375"/>
      <c r="BT72" s="375"/>
      <c r="BU72" s="375"/>
      <c r="BV72" s="375"/>
      <c r="BW72" s="375"/>
      <c r="BX72" s="375"/>
      <c r="BY72" s="376"/>
      <c r="BZ72" s="399"/>
      <c r="CA72" s="399"/>
      <c r="CB72" s="177"/>
    </row>
    <row r="73" spans="2:80" ht="9.9499999999999993" customHeight="1">
      <c r="B73" s="150"/>
      <c r="C73" s="134"/>
      <c r="D73" s="174"/>
      <c r="E73" s="401">
        <v>9.3000000000000007</v>
      </c>
      <c r="F73" s="402"/>
      <c r="G73" s="402"/>
      <c r="H73" s="396" t="s">
        <v>79</v>
      </c>
      <c r="I73" s="396"/>
      <c r="J73" s="396"/>
      <c r="K73" s="396"/>
      <c r="L73" s="396"/>
      <c r="M73" s="396"/>
      <c r="N73" s="397"/>
      <c r="O73" s="381">
        <f>'1x1 Rndabt '!CH31</f>
        <v>3.2725564837726555</v>
      </c>
      <c r="P73" s="382"/>
      <c r="Q73" s="382"/>
      <c r="R73" s="382"/>
      <c r="S73" s="377"/>
      <c r="T73" s="377"/>
      <c r="U73" s="377"/>
      <c r="V73" s="377"/>
      <c r="W73" s="377"/>
      <c r="X73" s="377"/>
      <c r="Y73" s="377"/>
      <c r="Z73" s="378"/>
      <c r="AA73" s="381">
        <f>'1x1 Rndabt '!CG45</f>
        <v>13.755462542013497</v>
      </c>
      <c r="AB73" s="382"/>
      <c r="AC73" s="382"/>
      <c r="AD73" s="382"/>
      <c r="AE73" s="377"/>
      <c r="AF73" s="377"/>
      <c r="AG73" s="377"/>
      <c r="AH73" s="377"/>
      <c r="AI73" s="377"/>
      <c r="AJ73" s="377"/>
      <c r="AK73" s="377"/>
      <c r="AL73" s="385"/>
      <c r="AM73" s="403">
        <f>'1x1 Rndabt '!CU47</f>
        <v>9.2567179515502698</v>
      </c>
      <c r="AN73" s="382"/>
      <c r="AO73" s="382"/>
      <c r="AP73" s="382"/>
      <c r="AQ73" s="377"/>
      <c r="AR73" s="377"/>
      <c r="AS73" s="377"/>
      <c r="AT73" s="377"/>
      <c r="AU73" s="377"/>
      <c r="AV73" s="377"/>
      <c r="AW73" s="377"/>
      <c r="AX73" s="378"/>
      <c r="AY73" s="381">
        <f>'1x1 Rndabt '!CW31</f>
        <v>9.2987408380786469</v>
      </c>
      <c r="AZ73" s="382"/>
      <c r="BA73" s="382"/>
      <c r="BB73" s="382"/>
      <c r="BC73" s="377"/>
      <c r="BD73" s="377"/>
      <c r="BE73" s="377"/>
      <c r="BF73" s="377"/>
      <c r="BG73" s="377"/>
      <c r="BH73" s="377"/>
      <c r="BI73" s="377"/>
      <c r="BJ73" s="385"/>
      <c r="BK73" s="369">
        <f>MAX(O73:BJ74)</f>
        <v>13.755462542013497</v>
      </c>
      <c r="BL73" s="370"/>
      <c r="BM73" s="370"/>
      <c r="BN73" s="370"/>
      <c r="BO73" s="370"/>
      <c r="BP73" s="370"/>
      <c r="BQ73" s="371"/>
      <c r="BR73" s="375">
        <f>RANK(CA73,(CA69:CA82),1)</f>
        <v>7</v>
      </c>
      <c r="BS73" s="375"/>
      <c r="BT73" s="375"/>
      <c r="BU73" s="375"/>
      <c r="BV73" s="375"/>
      <c r="BW73" s="375"/>
      <c r="BX73" s="375"/>
      <c r="BY73" s="376"/>
      <c r="BZ73" s="399">
        <f>IF(MAX(O73,AA73,AM73,AY73)&lt;0.75,"1",IF(MAX(O73,AA73,AM73,AY73)&lt;0.874,"2",IF(MAX(O73,AA73,AM73,AY73)&lt;0.99,3,4)))</f>
        <v>4</v>
      </c>
      <c r="CA73" s="400">
        <f>MAX(O73:BJ74)</f>
        <v>13.755462542013497</v>
      </c>
      <c r="CB73" s="177"/>
    </row>
    <row r="74" spans="2:80" ht="9.9499999999999993" customHeight="1">
      <c r="B74" s="150">
        <f>IF(AY77&gt;1,1,0)</f>
        <v>1</v>
      </c>
      <c r="C74" s="134">
        <f>IF(AA77&gt;1,1,0)</f>
        <v>1</v>
      </c>
      <c r="D74" s="174"/>
      <c r="E74" s="401"/>
      <c r="F74" s="402"/>
      <c r="G74" s="402"/>
      <c r="H74" s="396"/>
      <c r="I74" s="396"/>
      <c r="J74" s="396"/>
      <c r="K74" s="396"/>
      <c r="L74" s="396"/>
      <c r="M74" s="396"/>
      <c r="N74" s="397"/>
      <c r="O74" s="383"/>
      <c r="P74" s="384"/>
      <c r="Q74" s="384"/>
      <c r="R74" s="384"/>
      <c r="S74" s="379"/>
      <c r="T74" s="379"/>
      <c r="U74" s="379"/>
      <c r="V74" s="379"/>
      <c r="W74" s="379"/>
      <c r="X74" s="379"/>
      <c r="Y74" s="379"/>
      <c r="Z74" s="380"/>
      <c r="AA74" s="383"/>
      <c r="AB74" s="384"/>
      <c r="AC74" s="384"/>
      <c r="AD74" s="384"/>
      <c r="AE74" s="379"/>
      <c r="AF74" s="379"/>
      <c r="AG74" s="379"/>
      <c r="AH74" s="379"/>
      <c r="AI74" s="379"/>
      <c r="AJ74" s="379"/>
      <c r="AK74" s="379"/>
      <c r="AL74" s="386"/>
      <c r="AM74" s="404"/>
      <c r="AN74" s="384"/>
      <c r="AO74" s="384"/>
      <c r="AP74" s="384"/>
      <c r="AQ74" s="379"/>
      <c r="AR74" s="379"/>
      <c r="AS74" s="379"/>
      <c r="AT74" s="379"/>
      <c r="AU74" s="379"/>
      <c r="AV74" s="379"/>
      <c r="AW74" s="379"/>
      <c r="AX74" s="380"/>
      <c r="AY74" s="383"/>
      <c r="AZ74" s="384"/>
      <c r="BA74" s="384"/>
      <c r="BB74" s="384"/>
      <c r="BC74" s="379"/>
      <c r="BD74" s="379"/>
      <c r="BE74" s="379"/>
      <c r="BF74" s="379"/>
      <c r="BG74" s="379"/>
      <c r="BH74" s="379"/>
      <c r="BI74" s="379"/>
      <c r="BJ74" s="386"/>
      <c r="BK74" s="372"/>
      <c r="BL74" s="373"/>
      <c r="BM74" s="373"/>
      <c r="BN74" s="373"/>
      <c r="BO74" s="373"/>
      <c r="BP74" s="373"/>
      <c r="BQ74" s="374"/>
      <c r="BR74" s="375"/>
      <c r="BS74" s="375"/>
      <c r="BT74" s="375"/>
      <c r="BU74" s="375"/>
      <c r="BV74" s="375"/>
      <c r="BW74" s="375"/>
      <c r="BX74" s="375"/>
      <c r="BY74" s="376"/>
      <c r="BZ74" s="399"/>
      <c r="CA74" s="399"/>
      <c r="CB74" s="177"/>
    </row>
    <row r="75" spans="2:80" ht="9.9499999999999993" customHeight="1">
      <c r="B75" s="150">
        <f>IF(OR(O77&gt;1, S77&gt;1),1,0)</f>
        <v>1</v>
      </c>
      <c r="C75" s="134">
        <f>IF(OR(AM77&gt;1,AQ77&gt;1),1,0)</f>
        <v>1</v>
      </c>
      <c r="D75" s="174"/>
      <c r="E75" s="629">
        <v>9.4</v>
      </c>
      <c r="F75" s="630"/>
      <c r="G75" s="631"/>
      <c r="H75" s="396" t="s">
        <v>80</v>
      </c>
      <c r="I75" s="396"/>
      <c r="J75" s="396"/>
      <c r="K75" s="396"/>
      <c r="L75" s="396"/>
      <c r="M75" s="396"/>
      <c r="N75" s="398"/>
      <c r="O75" s="383">
        <f>'1NS x 2 EW Rndabt'!CA35</f>
        <v>2.7433271684152856</v>
      </c>
      <c r="P75" s="384"/>
      <c r="Q75" s="384"/>
      <c r="R75" s="384"/>
      <c r="S75" s="379"/>
      <c r="T75" s="379"/>
      <c r="U75" s="379"/>
      <c r="V75" s="379"/>
      <c r="W75" s="379"/>
      <c r="X75" s="379"/>
      <c r="Y75" s="379"/>
      <c r="Z75" s="386"/>
      <c r="AA75" s="383">
        <f>'1NS x 2 EW Rndabt'!CK51</f>
        <v>11.17087698759723</v>
      </c>
      <c r="AB75" s="384"/>
      <c r="AC75" s="384"/>
      <c r="AD75" s="384"/>
      <c r="AE75" s="409">
        <f>'1NS x 2 EW Rndabt'!CK54</f>
        <v>2.5845855544162668</v>
      </c>
      <c r="AF75" s="409"/>
      <c r="AG75" s="409"/>
      <c r="AH75" s="409"/>
      <c r="AI75" s="379"/>
      <c r="AJ75" s="379"/>
      <c r="AK75" s="379"/>
      <c r="AL75" s="386"/>
      <c r="AM75" s="404">
        <f>'1NS x 2 EW Rndabt'!DA45</f>
        <v>5.8917292944702435</v>
      </c>
      <c r="AN75" s="384"/>
      <c r="AO75" s="384"/>
      <c r="AP75" s="384"/>
      <c r="AQ75" s="379"/>
      <c r="AR75" s="379"/>
      <c r="AS75" s="379"/>
      <c r="AT75" s="379"/>
      <c r="AU75" s="379"/>
      <c r="AV75" s="379"/>
      <c r="AW75" s="379"/>
      <c r="AX75" s="386"/>
      <c r="AY75" s="383">
        <f>'1NS x 2 EW Rndabt'!CR28</f>
        <v>4.5075512059276539</v>
      </c>
      <c r="AZ75" s="384"/>
      <c r="BA75" s="384"/>
      <c r="BB75" s="384"/>
      <c r="BC75" s="409">
        <f>'1NS x 2 EW Rndabt'!CR25</f>
        <v>4.791189632150993</v>
      </c>
      <c r="BD75" s="409"/>
      <c r="BE75" s="409"/>
      <c r="BF75" s="409"/>
      <c r="BG75" s="379"/>
      <c r="BH75" s="379"/>
      <c r="BI75" s="379"/>
      <c r="BJ75" s="386"/>
      <c r="BK75" s="372">
        <f>MAX(O75:BJ76)</f>
        <v>11.17087698759723</v>
      </c>
      <c r="BL75" s="373"/>
      <c r="BM75" s="373"/>
      <c r="BN75" s="373"/>
      <c r="BO75" s="373"/>
      <c r="BP75" s="373"/>
      <c r="BQ75" s="374"/>
      <c r="BR75" s="375">
        <f>RANK(CA75,(CA70:CA82),1)</f>
        <v>5</v>
      </c>
      <c r="BS75" s="375"/>
      <c r="BT75" s="375"/>
      <c r="BU75" s="375"/>
      <c r="BV75" s="375"/>
      <c r="BW75" s="375"/>
      <c r="BX75" s="375"/>
      <c r="BY75" s="376"/>
      <c r="BZ75" s="399">
        <f>IF(MAX(O75,AA75,AE75,AM75,AY75,BC75)&lt;0.75,"1",IF(MAX(O75,AA75,AE75,AM75,AY75,BC75)&lt;0.874,"2",IF(MAX(O75,AA75,AE75,AM75,AY75,BC75)&lt;0.99,3,4)))</f>
        <v>4</v>
      </c>
      <c r="CA75" s="400">
        <f>MAX(O75:BJ76)</f>
        <v>11.17087698759723</v>
      </c>
      <c r="CB75" s="177"/>
    </row>
    <row r="76" spans="2:80" ht="9.9499999999999993" customHeight="1">
      <c r="B76" s="150"/>
      <c r="C76" s="134"/>
      <c r="D76" s="174"/>
      <c r="E76" s="632"/>
      <c r="F76" s="633"/>
      <c r="G76" s="634"/>
      <c r="H76" s="396"/>
      <c r="I76" s="396"/>
      <c r="J76" s="396"/>
      <c r="K76" s="396"/>
      <c r="L76" s="396"/>
      <c r="M76" s="396"/>
      <c r="N76" s="398"/>
      <c r="O76" s="383"/>
      <c r="P76" s="384"/>
      <c r="Q76" s="384"/>
      <c r="R76" s="384"/>
      <c r="S76" s="379"/>
      <c r="T76" s="379"/>
      <c r="U76" s="379"/>
      <c r="V76" s="379"/>
      <c r="W76" s="379"/>
      <c r="X76" s="379"/>
      <c r="Y76" s="379"/>
      <c r="Z76" s="386"/>
      <c r="AA76" s="383"/>
      <c r="AB76" s="384"/>
      <c r="AC76" s="384"/>
      <c r="AD76" s="384"/>
      <c r="AE76" s="409"/>
      <c r="AF76" s="409"/>
      <c r="AG76" s="409"/>
      <c r="AH76" s="409"/>
      <c r="AI76" s="379"/>
      <c r="AJ76" s="379"/>
      <c r="AK76" s="379"/>
      <c r="AL76" s="386"/>
      <c r="AM76" s="404"/>
      <c r="AN76" s="384"/>
      <c r="AO76" s="384"/>
      <c r="AP76" s="384"/>
      <c r="AQ76" s="379"/>
      <c r="AR76" s="379"/>
      <c r="AS76" s="379"/>
      <c r="AT76" s="379"/>
      <c r="AU76" s="379"/>
      <c r="AV76" s="379"/>
      <c r="AW76" s="379"/>
      <c r="AX76" s="386"/>
      <c r="AY76" s="383"/>
      <c r="AZ76" s="384"/>
      <c r="BA76" s="384"/>
      <c r="BB76" s="384"/>
      <c r="BC76" s="409"/>
      <c r="BD76" s="409"/>
      <c r="BE76" s="409"/>
      <c r="BF76" s="409"/>
      <c r="BG76" s="379"/>
      <c r="BH76" s="379"/>
      <c r="BI76" s="379"/>
      <c r="BJ76" s="386"/>
      <c r="BK76" s="372"/>
      <c r="BL76" s="373"/>
      <c r="BM76" s="373"/>
      <c r="BN76" s="373"/>
      <c r="BO76" s="373"/>
      <c r="BP76" s="373"/>
      <c r="BQ76" s="374"/>
      <c r="BR76" s="375"/>
      <c r="BS76" s="375"/>
      <c r="BT76" s="375"/>
      <c r="BU76" s="375"/>
      <c r="BV76" s="375"/>
      <c r="BW76" s="375"/>
      <c r="BX76" s="375"/>
      <c r="BY76" s="376"/>
      <c r="BZ76" s="399"/>
      <c r="CA76" s="399"/>
      <c r="CB76" s="177"/>
    </row>
    <row r="77" spans="2:80" ht="9.9499999999999993" customHeight="1">
      <c r="B77" s="150"/>
      <c r="C77" s="134"/>
      <c r="D77" s="174"/>
      <c r="E77" s="629">
        <v>9.5</v>
      </c>
      <c r="F77" s="630"/>
      <c r="G77" s="631"/>
      <c r="H77" s="396" t="s">
        <v>81</v>
      </c>
      <c r="I77" s="396"/>
      <c r="J77" s="396"/>
      <c r="K77" s="396"/>
      <c r="L77" s="396"/>
      <c r="M77" s="396"/>
      <c r="N77" s="398"/>
      <c r="O77" s="383">
        <f>'2 NS x 1 EW Rndabt'!CD35</f>
        <v>2.1198327174583826</v>
      </c>
      <c r="P77" s="384"/>
      <c r="Q77" s="384"/>
      <c r="R77" s="384"/>
      <c r="S77" s="409">
        <f>'2 NS x 1 EW Rndabt'!CA35</f>
        <v>1.1527237663142726</v>
      </c>
      <c r="T77" s="409"/>
      <c r="U77" s="409"/>
      <c r="V77" s="409"/>
      <c r="W77" s="379"/>
      <c r="X77" s="379"/>
      <c r="Y77" s="379"/>
      <c r="Z77" s="380"/>
      <c r="AA77" s="383">
        <f>'2 NS x 1 EW Rndabt'!J62</f>
        <v>6.2266347667234863</v>
      </c>
      <c r="AB77" s="384"/>
      <c r="AC77" s="384"/>
      <c r="AD77" s="384"/>
      <c r="AE77" s="410"/>
      <c r="AF77" s="411"/>
      <c r="AG77" s="411"/>
      <c r="AH77" s="415"/>
      <c r="AI77" s="410"/>
      <c r="AJ77" s="411"/>
      <c r="AK77" s="411"/>
      <c r="AL77" s="412"/>
      <c r="AM77" s="404">
        <f>'2 NS x 1 EW Rndabt'!CY41</f>
        <v>2.513677719602013</v>
      </c>
      <c r="AN77" s="384"/>
      <c r="AO77" s="384"/>
      <c r="AP77" s="384"/>
      <c r="AQ77" s="672">
        <f>'2 NS x 1 EW Rndabt'!DB41</f>
        <v>6.7430402319482576</v>
      </c>
      <c r="AR77" s="672"/>
      <c r="AS77" s="672"/>
      <c r="AT77" s="672"/>
      <c r="AU77" s="410"/>
      <c r="AV77" s="411"/>
      <c r="AW77" s="411"/>
      <c r="AX77" s="412"/>
      <c r="AY77" s="383">
        <f>'2 NS x 1 EW Rndabt'!AX23</f>
        <v>4.8655462806505776</v>
      </c>
      <c r="AZ77" s="384"/>
      <c r="BA77" s="384"/>
      <c r="BB77" s="384"/>
      <c r="BC77" s="379"/>
      <c r="BD77" s="379"/>
      <c r="BE77" s="379"/>
      <c r="BF77" s="379"/>
      <c r="BG77" s="379"/>
      <c r="BH77" s="379"/>
      <c r="BI77" s="379"/>
      <c r="BJ77" s="386"/>
      <c r="BK77" s="372">
        <f>MAX(O77:BJ78)</f>
        <v>6.7430402319482576</v>
      </c>
      <c r="BL77" s="373"/>
      <c r="BM77" s="373"/>
      <c r="BN77" s="373"/>
      <c r="BO77" s="373"/>
      <c r="BP77" s="373"/>
      <c r="BQ77" s="374"/>
      <c r="BR77" s="375">
        <f>RANK(CA77,(CA70:CA82),1)</f>
        <v>4</v>
      </c>
      <c r="BS77" s="375"/>
      <c r="BT77" s="375"/>
      <c r="BU77" s="375"/>
      <c r="BV77" s="375"/>
      <c r="BW77" s="375"/>
      <c r="BX77" s="375"/>
      <c r="BY77" s="376"/>
      <c r="BZ77" s="399">
        <f>IF(MAX(O77,S77,AY77,AM77,AQ77,AY706)&lt;0.75,"1",IF(MAX(O77,S77,AY77,AM77,AQ77,AY706)&lt;0.874,"2",IF(MAX(O77,S77,AY77,AM77,AQ77,AY706)&lt;0.99,3,4)))</f>
        <v>4</v>
      </c>
      <c r="CA77" s="400">
        <f>MAX(O77:BJ78)</f>
        <v>6.7430402319482576</v>
      </c>
      <c r="CB77" s="177"/>
    </row>
    <row r="78" spans="2:80" ht="9.9499999999999993" customHeight="1">
      <c r="B78" s="150">
        <f>IF(OR(O79&gt;1, S79&gt;1),1,0)</f>
        <v>1</v>
      </c>
      <c r="C78" s="134">
        <f>IF(OR(AY79&gt;1,BC79&gt;1),1,0)</f>
        <v>1</v>
      </c>
      <c r="D78" s="174"/>
      <c r="E78" s="632"/>
      <c r="F78" s="633"/>
      <c r="G78" s="634"/>
      <c r="H78" s="396"/>
      <c r="I78" s="396"/>
      <c r="J78" s="396"/>
      <c r="K78" s="396"/>
      <c r="L78" s="396"/>
      <c r="M78" s="396"/>
      <c r="N78" s="398"/>
      <c r="O78" s="383"/>
      <c r="P78" s="384"/>
      <c r="Q78" s="384"/>
      <c r="R78" s="384"/>
      <c r="S78" s="409"/>
      <c r="T78" s="409"/>
      <c r="U78" s="409"/>
      <c r="V78" s="409"/>
      <c r="W78" s="379"/>
      <c r="X78" s="379"/>
      <c r="Y78" s="379"/>
      <c r="Z78" s="380"/>
      <c r="AA78" s="383"/>
      <c r="AB78" s="384"/>
      <c r="AC78" s="384"/>
      <c r="AD78" s="384"/>
      <c r="AE78" s="378"/>
      <c r="AF78" s="413"/>
      <c r="AG78" s="413"/>
      <c r="AH78" s="416"/>
      <c r="AI78" s="378"/>
      <c r="AJ78" s="413"/>
      <c r="AK78" s="413"/>
      <c r="AL78" s="414"/>
      <c r="AM78" s="404"/>
      <c r="AN78" s="384"/>
      <c r="AO78" s="384"/>
      <c r="AP78" s="384"/>
      <c r="AQ78" s="672"/>
      <c r="AR78" s="672"/>
      <c r="AS78" s="672"/>
      <c r="AT78" s="672"/>
      <c r="AU78" s="378"/>
      <c r="AV78" s="413"/>
      <c r="AW78" s="413"/>
      <c r="AX78" s="414"/>
      <c r="AY78" s="383"/>
      <c r="AZ78" s="384"/>
      <c r="BA78" s="384"/>
      <c r="BB78" s="384"/>
      <c r="BC78" s="379"/>
      <c r="BD78" s="379"/>
      <c r="BE78" s="379"/>
      <c r="BF78" s="379"/>
      <c r="BG78" s="379"/>
      <c r="BH78" s="379"/>
      <c r="BI78" s="379"/>
      <c r="BJ78" s="386"/>
      <c r="BK78" s="372"/>
      <c r="BL78" s="373"/>
      <c r="BM78" s="373"/>
      <c r="BN78" s="373"/>
      <c r="BO78" s="373"/>
      <c r="BP78" s="373"/>
      <c r="BQ78" s="374"/>
      <c r="BR78" s="375"/>
      <c r="BS78" s="375"/>
      <c r="BT78" s="375"/>
      <c r="BU78" s="375"/>
      <c r="BV78" s="375"/>
      <c r="BW78" s="375"/>
      <c r="BX78" s="375"/>
      <c r="BY78" s="376"/>
      <c r="BZ78" s="399"/>
      <c r="CA78" s="399"/>
      <c r="CB78" s="177"/>
    </row>
    <row r="79" spans="2:80" ht="9.9499999999999993" customHeight="1">
      <c r="B79" s="150">
        <f>IF(OR(AM79&gt;1, AQ79&gt;1),1,0)</f>
        <v>1</v>
      </c>
      <c r="C79" s="134">
        <f>IF(OR(AA79&gt;1, AE79&gt;1),1,0)</f>
        <v>1</v>
      </c>
      <c r="D79" s="134"/>
      <c r="E79" s="629">
        <v>9.6</v>
      </c>
      <c r="F79" s="630"/>
      <c r="G79" s="631"/>
      <c r="H79" s="396" t="s">
        <v>82</v>
      </c>
      <c r="I79" s="396"/>
      <c r="J79" s="396"/>
      <c r="K79" s="396"/>
      <c r="L79" s="396"/>
      <c r="M79" s="396"/>
      <c r="N79" s="398"/>
      <c r="O79" s="383">
        <f>'2x2 Rndabt'!CB35</f>
        <v>1.8300388181118921</v>
      </c>
      <c r="P79" s="384"/>
      <c r="Q79" s="384"/>
      <c r="R79" s="384"/>
      <c r="S79" s="409">
        <f>'2x2 Rndabt'!BY35</f>
        <v>0.9663082796243716</v>
      </c>
      <c r="T79" s="409"/>
      <c r="U79" s="409"/>
      <c r="V79" s="409"/>
      <c r="W79" s="379"/>
      <c r="X79" s="379"/>
      <c r="Y79" s="379"/>
      <c r="Z79" s="380"/>
      <c r="AA79" s="383">
        <f>'2x2 Rndabt'!CS28</f>
        <v>2.6274243617308728</v>
      </c>
      <c r="AB79" s="384"/>
      <c r="AC79" s="384"/>
      <c r="AD79" s="384"/>
      <c r="AE79" s="409">
        <f>'2x2 Rndabt'!CS25</f>
        <v>2.5069797406484837</v>
      </c>
      <c r="AF79" s="409"/>
      <c r="AG79" s="409"/>
      <c r="AH79" s="409"/>
      <c r="AI79" s="379"/>
      <c r="AJ79" s="379"/>
      <c r="AK79" s="379"/>
      <c r="AL79" s="386"/>
      <c r="AM79" s="404">
        <f>'2x2 Rndabt'!CY45</f>
        <v>1.7250342540029671</v>
      </c>
      <c r="AN79" s="384"/>
      <c r="AO79" s="384"/>
      <c r="AP79" s="384"/>
      <c r="AQ79" s="672">
        <f>'2x2 Rndabt'!DB45</f>
        <v>4.2918200464028935</v>
      </c>
      <c r="AR79" s="672"/>
      <c r="AS79" s="672"/>
      <c r="AT79" s="672"/>
      <c r="AU79" s="379"/>
      <c r="AV79" s="379"/>
      <c r="AW79" s="379"/>
      <c r="AX79" s="380"/>
      <c r="AY79" s="383">
        <f>'2x2 Rndabt'!CI51</f>
        <v>5.7707965587330667</v>
      </c>
      <c r="AZ79" s="384"/>
      <c r="BA79" s="384"/>
      <c r="BB79" s="384"/>
      <c r="BC79" s="409">
        <f>'2x2 Rndabt'!CI54</f>
        <v>1.1699548613175115</v>
      </c>
      <c r="BD79" s="409"/>
      <c r="BE79" s="409"/>
      <c r="BF79" s="409"/>
      <c r="BG79" s="379"/>
      <c r="BH79" s="379"/>
      <c r="BI79" s="379"/>
      <c r="BJ79" s="386"/>
      <c r="BK79" s="372">
        <f>MAX(O79:BF80)</f>
        <v>5.7707965587330667</v>
      </c>
      <c r="BL79" s="373"/>
      <c r="BM79" s="373"/>
      <c r="BN79" s="373"/>
      <c r="BO79" s="373"/>
      <c r="BP79" s="373"/>
      <c r="BQ79" s="374"/>
      <c r="BR79" s="375">
        <f>RANK(CA79,(CA69:CA82),1)</f>
        <v>3</v>
      </c>
      <c r="BS79" s="375"/>
      <c r="BT79" s="375"/>
      <c r="BU79" s="375"/>
      <c r="BV79" s="375"/>
      <c r="BW79" s="375"/>
      <c r="BX79" s="375"/>
      <c r="BY79" s="376"/>
      <c r="BZ79" s="399">
        <f>IF(MAX(O79,S79,AY79,BC79,AM79,AQ79,AA79,AE79)&lt;0.75,"1",IF(MAX(O79,S79,AY79,BC79,AM79,AQ79,AA79,AE79)&lt;0.874,"2",IF(MAX(O79,S79,AY79,BC79,AM79,AQ79,AA79,AE79)&lt;0.99,3,4)))</f>
        <v>4</v>
      </c>
      <c r="CA79" s="400">
        <f>MAX(O79:BJ80)</f>
        <v>5.7707965587330667</v>
      </c>
      <c r="CB79" s="177"/>
    </row>
    <row r="80" spans="2:80" ht="9.9499999999999993" customHeight="1">
      <c r="B80" s="150"/>
      <c r="C80" s="134"/>
      <c r="D80" s="134"/>
      <c r="E80" s="632"/>
      <c r="F80" s="633"/>
      <c r="G80" s="634"/>
      <c r="H80" s="396"/>
      <c r="I80" s="396"/>
      <c r="J80" s="396"/>
      <c r="K80" s="396"/>
      <c r="L80" s="396"/>
      <c r="M80" s="396"/>
      <c r="N80" s="398"/>
      <c r="O80" s="383"/>
      <c r="P80" s="384"/>
      <c r="Q80" s="384"/>
      <c r="R80" s="384"/>
      <c r="S80" s="409"/>
      <c r="T80" s="409"/>
      <c r="U80" s="409"/>
      <c r="V80" s="409"/>
      <c r="W80" s="379"/>
      <c r="X80" s="379"/>
      <c r="Y80" s="379"/>
      <c r="Z80" s="380"/>
      <c r="AA80" s="383"/>
      <c r="AB80" s="384"/>
      <c r="AC80" s="384"/>
      <c r="AD80" s="384"/>
      <c r="AE80" s="409"/>
      <c r="AF80" s="409"/>
      <c r="AG80" s="409"/>
      <c r="AH80" s="409"/>
      <c r="AI80" s="379"/>
      <c r="AJ80" s="379"/>
      <c r="AK80" s="379"/>
      <c r="AL80" s="386"/>
      <c r="AM80" s="404"/>
      <c r="AN80" s="384"/>
      <c r="AO80" s="384"/>
      <c r="AP80" s="384"/>
      <c r="AQ80" s="672"/>
      <c r="AR80" s="672"/>
      <c r="AS80" s="672"/>
      <c r="AT80" s="672"/>
      <c r="AU80" s="379"/>
      <c r="AV80" s="379"/>
      <c r="AW80" s="379"/>
      <c r="AX80" s="380"/>
      <c r="AY80" s="383"/>
      <c r="AZ80" s="384"/>
      <c r="BA80" s="384"/>
      <c r="BB80" s="384"/>
      <c r="BC80" s="409"/>
      <c r="BD80" s="409"/>
      <c r="BE80" s="409"/>
      <c r="BF80" s="409"/>
      <c r="BG80" s="379"/>
      <c r="BH80" s="379"/>
      <c r="BI80" s="379"/>
      <c r="BJ80" s="386"/>
      <c r="BK80" s="372"/>
      <c r="BL80" s="373"/>
      <c r="BM80" s="373"/>
      <c r="BN80" s="373"/>
      <c r="BO80" s="373"/>
      <c r="BP80" s="373"/>
      <c r="BQ80" s="374"/>
      <c r="BR80" s="375"/>
      <c r="BS80" s="375"/>
      <c r="BT80" s="375"/>
      <c r="BU80" s="375"/>
      <c r="BV80" s="375"/>
      <c r="BW80" s="375"/>
      <c r="BX80" s="375"/>
      <c r="BY80" s="376"/>
      <c r="BZ80" s="399"/>
      <c r="CA80" s="399"/>
      <c r="CB80" s="177"/>
    </row>
    <row r="81" spans="2:80" ht="9.9499999999999993" customHeight="1">
      <c r="B81" s="150"/>
      <c r="C81" s="134"/>
      <c r="D81" s="134"/>
      <c r="E81" s="629">
        <v>9.6999999999999993</v>
      </c>
      <c r="F81" s="630"/>
      <c r="G81" s="631"/>
      <c r="H81" s="396" t="s">
        <v>83</v>
      </c>
      <c r="I81" s="396"/>
      <c r="J81" s="396"/>
      <c r="K81" s="396"/>
      <c r="L81" s="396"/>
      <c r="M81" s="396"/>
      <c r="N81" s="398"/>
      <c r="O81" s="383">
        <f>'3x3 Rndabt'!CC31</f>
        <v>0.49991630253579628</v>
      </c>
      <c r="P81" s="384"/>
      <c r="Q81" s="384"/>
      <c r="R81" s="384"/>
      <c r="S81" s="384">
        <f>'3x3 Rndabt'!BZ31</f>
        <v>1.487993859806944</v>
      </c>
      <c r="T81" s="384"/>
      <c r="U81" s="384"/>
      <c r="V81" s="384"/>
      <c r="W81" s="384">
        <f>'3x3 Rndabt'!BW31</f>
        <v>0.94018627925723652</v>
      </c>
      <c r="X81" s="384"/>
      <c r="Y81" s="384"/>
      <c r="Z81" s="448"/>
      <c r="AA81" s="383">
        <f>'3x3 Rndabt'!CK51</f>
        <v>6.4037256506859963</v>
      </c>
      <c r="AB81" s="384"/>
      <c r="AC81" s="384"/>
      <c r="AD81" s="384"/>
      <c r="AE81" s="384">
        <f>'3x3 Rndabt'!CK54</f>
        <v>5.0458163475760704</v>
      </c>
      <c r="AF81" s="384"/>
      <c r="AG81" s="384"/>
      <c r="AH81" s="384"/>
      <c r="AI81" s="384">
        <f>'3x3 Rndabt'!CK57</f>
        <v>1.616137701620644</v>
      </c>
      <c r="AJ81" s="384"/>
      <c r="AK81" s="384"/>
      <c r="AL81" s="446"/>
      <c r="AM81" s="404">
        <f>'3x3 Rndabt'!CZ47</f>
        <v>0</v>
      </c>
      <c r="AN81" s="384"/>
      <c r="AO81" s="384"/>
      <c r="AP81" s="384"/>
      <c r="AQ81" s="676">
        <f>'3x3 Rndabt'!DC47</f>
        <v>2.1156540736835505</v>
      </c>
      <c r="AR81" s="676"/>
      <c r="AS81" s="676"/>
      <c r="AT81" s="676"/>
      <c r="AU81" s="384">
        <f>'3x3 Rndabt'!DF47</f>
        <v>3.7800609041482289</v>
      </c>
      <c r="AV81" s="384"/>
      <c r="AW81" s="384"/>
      <c r="AX81" s="448"/>
      <c r="AY81" s="383">
        <f>'3x3 Rndabt'!CS26</f>
        <v>2.4769817119590369</v>
      </c>
      <c r="AZ81" s="384"/>
      <c r="BA81" s="384"/>
      <c r="BB81" s="384"/>
      <c r="BC81" s="384">
        <f>'3x3 Rndabt'!CS23</f>
        <v>2.0759622213684885</v>
      </c>
      <c r="BD81" s="384"/>
      <c r="BE81" s="384"/>
      <c r="BF81" s="384"/>
      <c r="BG81" s="384">
        <f>'3x3 Rndabt'!CS20</f>
        <v>2.9800791825822377</v>
      </c>
      <c r="BH81" s="384"/>
      <c r="BI81" s="384"/>
      <c r="BJ81" s="446"/>
      <c r="BK81" s="372">
        <f>MAX(O81:BJ82)</f>
        <v>6.4037256506859963</v>
      </c>
      <c r="BL81" s="373"/>
      <c r="BM81" s="373"/>
      <c r="BN81" s="373"/>
      <c r="BO81" s="373"/>
      <c r="BP81" s="373"/>
      <c r="BQ81" s="374"/>
      <c r="BR81" s="375">
        <f>RANK(CA81,(CA70:CA82),1)</f>
        <v>3</v>
      </c>
      <c r="BS81" s="375"/>
      <c r="BT81" s="375"/>
      <c r="BU81" s="375"/>
      <c r="BV81" s="375"/>
      <c r="BW81" s="375"/>
      <c r="BX81" s="375"/>
      <c r="BY81" s="376"/>
      <c r="BZ81" s="399">
        <f>IF(MAX(O81,S81,W81,AA81,AE81,AI81,AM81,AQ81,AU81,AY81,BC81,BG81)&lt;0.75,"1",IF(MAX(O81,S81,W81,AA81,AE81,AI81,AM81,AQ81,AU81,AY81,BC81,BG81)&lt;0.874,"2",IF(MAX(O81,S81,W81,AA81,AE81,AI81,AM81,AQ81,AU81,AY81,BC81,BG81)&lt;0.99,3,4)))</f>
        <v>4</v>
      </c>
      <c r="CA81" s="400">
        <f>MAX(O81:BJ82)</f>
        <v>6.4037256506859963</v>
      </c>
      <c r="CB81" s="177"/>
    </row>
    <row r="82" spans="2:80" ht="9.9499999999999993" customHeight="1" thickBot="1">
      <c r="B82" s="150">
        <f>IF(OR(O81&gt;1, S81&gt;1,W81&gt;1),1,0)</f>
        <v>1</v>
      </c>
      <c r="C82" s="134">
        <f>IF(OR(AA81&gt;1, AE81&gt;1,AI81&gt;1),1,0)</f>
        <v>1</v>
      </c>
      <c r="D82" s="134"/>
      <c r="E82" s="669"/>
      <c r="F82" s="670"/>
      <c r="G82" s="671"/>
      <c r="H82" s="673"/>
      <c r="I82" s="673"/>
      <c r="J82" s="673"/>
      <c r="K82" s="673"/>
      <c r="L82" s="673"/>
      <c r="M82" s="673"/>
      <c r="N82" s="674"/>
      <c r="O82" s="500"/>
      <c r="P82" s="472"/>
      <c r="Q82" s="472"/>
      <c r="R82" s="472"/>
      <c r="S82" s="472"/>
      <c r="T82" s="472"/>
      <c r="U82" s="472"/>
      <c r="V82" s="472"/>
      <c r="W82" s="472"/>
      <c r="X82" s="472"/>
      <c r="Y82" s="472"/>
      <c r="Z82" s="474"/>
      <c r="AA82" s="500"/>
      <c r="AB82" s="472"/>
      <c r="AC82" s="472"/>
      <c r="AD82" s="472"/>
      <c r="AE82" s="472"/>
      <c r="AF82" s="472"/>
      <c r="AG82" s="472"/>
      <c r="AH82" s="472"/>
      <c r="AI82" s="472"/>
      <c r="AJ82" s="472"/>
      <c r="AK82" s="472"/>
      <c r="AL82" s="473"/>
      <c r="AM82" s="675"/>
      <c r="AN82" s="472"/>
      <c r="AO82" s="472"/>
      <c r="AP82" s="472"/>
      <c r="AQ82" s="677"/>
      <c r="AR82" s="677"/>
      <c r="AS82" s="677"/>
      <c r="AT82" s="677"/>
      <c r="AU82" s="472"/>
      <c r="AV82" s="472"/>
      <c r="AW82" s="472"/>
      <c r="AX82" s="474"/>
      <c r="AY82" s="500"/>
      <c r="AZ82" s="472"/>
      <c r="BA82" s="472"/>
      <c r="BB82" s="472"/>
      <c r="BC82" s="472"/>
      <c r="BD82" s="472"/>
      <c r="BE82" s="472"/>
      <c r="BF82" s="472"/>
      <c r="BG82" s="472"/>
      <c r="BH82" s="472"/>
      <c r="BI82" s="472"/>
      <c r="BJ82" s="473"/>
      <c r="BK82" s="566"/>
      <c r="BL82" s="567"/>
      <c r="BM82" s="567"/>
      <c r="BN82" s="567"/>
      <c r="BO82" s="567"/>
      <c r="BP82" s="567"/>
      <c r="BQ82" s="568"/>
      <c r="BR82" s="627"/>
      <c r="BS82" s="627"/>
      <c r="BT82" s="627"/>
      <c r="BU82" s="627"/>
      <c r="BV82" s="627"/>
      <c r="BW82" s="627"/>
      <c r="BX82" s="627"/>
      <c r="BY82" s="628"/>
      <c r="BZ82" s="399"/>
      <c r="CA82" s="399"/>
      <c r="CB82" s="177"/>
    </row>
    <row r="83" spans="2:80" ht="9.9499999999999993" customHeight="1" thickBot="1">
      <c r="B83" s="150">
        <f>IF(OR(AM81&gt;1, AQ81&gt;1,AU81&gt;1),1,0)</f>
        <v>1</v>
      </c>
      <c r="C83" s="134">
        <f>IF(OR(AY81&gt;1, BC81&gt;1,BG81&gt;1),1,0)</f>
        <v>1</v>
      </c>
      <c r="D83" s="13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55"/>
      <c r="CA83" s="55"/>
      <c r="CB83" s="177"/>
    </row>
    <row r="84" spans="2:80" ht="9.9499999999999993" customHeight="1">
      <c r="B84" s="150"/>
      <c r="C84" s="134"/>
      <c r="D84" s="134"/>
      <c r="E84" s="466" t="s">
        <v>84</v>
      </c>
      <c r="F84" s="467"/>
      <c r="G84" s="467"/>
      <c r="H84" s="467"/>
      <c r="I84" s="467"/>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J84" s="467"/>
      <c r="AK84" s="467"/>
      <c r="AL84" s="467"/>
      <c r="AM84" s="467"/>
      <c r="AN84" s="467"/>
      <c r="AO84" s="467"/>
      <c r="AP84" s="467"/>
      <c r="AQ84" s="467"/>
      <c r="AR84" s="467"/>
      <c r="AS84" s="467"/>
      <c r="AT84" s="467"/>
      <c r="AU84" s="467"/>
      <c r="AV84" s="467"/>
      <c r="AW84" s="467"/>
      <c r="AX84" s="467"/>
      <c r="AY84" s="467"/>
      <c r="AZ84" s="467"/>
      <c r="BA84" s="467"/>
      <c r="BB84" s="467"/>
      <c r="BC84" s="467"/>
      <c r="BD84" s="467"/>
      <c r="BE84" s="467"/>
      <c r="BF84" s="467"/>
      <c r="BG84" s="467"/>
      <c r="BH84" s="467"/>
      <c r="BI84" s="467"/>
      <c r="BJ84" s="467"/>
      <c r="BK84" s="467"/>
      <c r="BL84" s="467"/>
      <c r="BM84" s="467"/>
      <c r="BN84" s="467"/>
      <c r="BO84" s="467"/>
      <c r="BP84" s="467"/>
      <c r="BQ84" s="467"/>
      <c r="BR84" s="467"/>
      <c r="BS84" s="467"/>
      <c r="BT84" s="467"/>
      <c r="BU84" s="467"/>
      <c r="BV84" s="467"/>
      <c r="BW84" s="467"/>
      <c r="BX84" s="467"/>
      <c r="BY84" s="468"/>
      <c r="BZ84" s="55"/>
      <c r="CA84" s="55"/>
      <c r="CB84" s="177"/>
    </row>
    <row r="85" spans="2:80" ht="9.9499999999999993" customHeight="1" thickBot="1">
      <c r="B85" s="150"/>
      <c r="C85" s="134"/>
      <c r="D85" s="134"/>
      <c r="E85" s="469"/>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1"/>
      <c r="BZ85" s="55"/>
      <c r="CA85" s="55"/>
      <c r="CB85" s="177"/>
    </row>
    <row r="86" spans="2:80" ht="9.9499999999999993" customHeight="1">
      <c r="B86" s="1"/>
      <c r="C86" s="174"/>
      <c r="D86" s="174"/>
      <c r="E86" s="360" t="s">
        <v>44</v>
      </c>
      <c r="F86" s="361"/>
      <c r="G86" s="362"/>
      <c r="H86" s="360" t="s">
        <v>85</v>
      </c>
      <c r="I86" s="361"/>
      <c r="J86" s="361"/>
      <c r="K86" s="361"/>
      <c r="L86" s="361"/>
      <c r="M86" s="361"/>
      <c r="N86" s="361"/>
      <c r="O86" s="361"/>
      <c r="P86" s="361"/>
      <c r="Q86" s="361"/>
      <c r="R86" s="361"/>
      <c r="S86" s="361"/>
      <c r="T86" s="362"/>
      <c r="U86" s="360" t="s">
        <v>46</v>
      </c>
      <c r="V86" s="361"/>
      <c r="W86" s="361"/>
      <c r="X86" s="361"/>
      <c r="Y86" s="361"/>
      <c r="Z86" s="362"/>
      <c r="AA86" s="454" t="s">
        <v>86</v>
      </c>
      <c r="AB86" s="455"/>
      <c r="AC86" s="455"/>
      <c r="AD86" s="455"/>
      <c r="AE86" s="455"/>
      <c r="AF86" s="486"/>
      <c r="AG86" s="454" t="s">
        <v>87</v>
      </c>
      <c r="AH86" s="455"/>
      <c r="AI86" s="455"/>
      <c r="AJ86" s="455"/>
      <c r="AK86" s="455"/>
      <c r="AL86" s="456"/>
      <c r="AM86" s="485" t="s">
        <v>88</v>
      </c>
      <c r="AN86" s="455"/>
      <c r="AO86" s="455"/>
      <c r="AP86" s="455"/>
      <c r="AQ86" s="455"/>
      <c r="AR86" s="486"/>
      <c r="AS86" s="454" t="s">
        <v>89</v>
      </c>
      <c r="AT86" s="455"/>
      <c r="AU86" s="455"/>
      <c r="AV86" s="455"/>
      <c r="AW86" s="455"/>
      <c r="AX86" s="456"/>
      <c r="AY86" s="485" t="s">
        <v>90</v>
      </c>
      <c r="AZ86" s="455"/>
      <c r="BA86" s="455"/>
      <c r="BB86" s="455"/>
      <c r="BC86" s="455"/>
      <c r="BD86" s="486"/>
      <c r="BE86" s="454" t="s">
        <v>91</v>
      </c>
      <c r="BF86" s="455"/>
      <c r="BG86" s="455"/>
      <c r="BH86" s="455"/>
      <c r="BI86" s="455"/>
      <c r="BJ86" s="456"/>
      <c r="BK86" s="357" t="s">
        <v>52</v>
      </c>
      <c r="BL86" s="358"/>
      <c r="BM86" s="358"/>
      <c r="BN86" s="358"/>
      <c r="BO86" s="358"/>
      <c r="BP86" s="358"/>
      <c r="BQ86" s="359"/>
      <c r="BR86" s="361" t="s">
        <v>53</v>
      </c>
      <c r="BS86" s="361"/>
      <c r="BT86" s="361"/>
      <c r="BU86" s="361"/>
      <c r="BV86" s="361"/>
      <c r="BW86" s="361"/>
      <c r="BX86" s="361"/>
      <c r="BY86" s="362"/>
      <c r="BZ86" s="55"/>
      <c r="CA86" s="55"/>
      <c r="CB86" s="177"/>
    </row>
    <row r="87" spans="2:80" ht="9.9499999999999993" customHeight="1">
      <c r="B87" s="1"/>
      <c r="C87" s="174"/>
      <c r="D87" s="174"/>
      <c r="E87" s="184"/>
      <c r="F87" s="185"/>
      <c r="G87" s="186"/>
      <c r="H87" s="184"/>
      <c r="I87" s="185"/>
      <c r="J87" s="185"/>
      <c r="K87" s="185"/>
      <c r="L87" s="185"/>
      <c r="M87" s="185"/>
      <c r="N87" s="185"/>
      <c r="O87" s="185"/>
      <c r="P87" s="185"/>
      <c r="Q87" s="185"/>
      <c r="R87" s="185"/>
      <c r="S87" s="185"/>
      <c r="T87" s="186"/>
      <c r="U87" s="184"/>
      <c r="V87" s="185"/>
      <c r="W87" s="185"/>
      <c r="X87" s="185"/>
      <c r="Y87" s="185"/>
      <c r="Z87" s="186"/>
      <c r="AA87" s="457"/>
      <c r="AB87" s="458"/>
      <c r="AC87" s="458"/>
      <c r="AD87" s="458"/>
      <c r="AE87" s="458"/>
      <c r="AF87" s="488"/>
      <c r="AG87" s="457"/>
      <c r="AH87" s="458"/>
      <c r="AI87" s="458"/>
      <c r="AJ87" s="458"/>
      <c r="AK87" s="458"/>
      <c r="AL87" s="459"/>
      <c r="AM87" s="487"/>
      <c r="AN87" s="458"/>
      <c r="AO87" s="458"/>
      <c r="AP87" s="458"/>
      <c r="AQ87" s="458"/>
      <c r="AR87" s="488"/>
      <c r="AS87" s="457"/>
      <c r="AT87" s="458"/>
      <c r="AU87" s="458"/>
      <c r="AV87" s="458"/>
      <c r="AW87" s="458"/>
      <c r="AX87" s="459"/>
      <c r="AY87" s="487"/>
      <c r="AZ87" s="458"/>
      <c r="BA87" s="458"/>
      <c r="BB87" s="458"/>
      <c r="BC87" s="458"/>
      <c r="BD87" s="488"/>
      <c r="BE87" s="457"/>
      <c r="BF87" s="458"/>
      <c r="BG87" s="458"/>
      <c r="BH87" s="458"/>
      <c r="BI87" s="458"/>
      <c r="BJ87" s="459"/>
      <c r="BK87" s="351"/>
      <c r="BL87" s="352"/>
      <c r="BM87" s="352"/>
      <c r="BN87" s="352"/>
      <c r="BO87" s="352"/>
      <c r="BP87" s="352"/>
      <c r="BQ87" s="353"/>
      <c r="BR87" s="185"/>
      <c r="BS87" s="185"/>
      <c r="BT87" s="185"/>
      <c r="BU87" s="185"/>
      <c r="BV87" s="185"/>
      <c r="BW87" s="185"/>
      <c r="BX87" s="185"/>
      <c r="BY87" s="186"/>
      <c r="BZ87" s="174"/>
      <c r="CA87" s="174"/>
      <c r="CB87" s="177"/>
    </row>
    <row r="88" spans="2:80" ht="9.9499999999999993" customHeight="1">
      <c r="B88" s="1"/>
      <c r="C88" s="174"/>
      <c r="D88" s="174"/>
      <c r="E88" s="184"/>
      <c r="F88" s="185"/>
      <c r="G88" s="186"/>
      <c r="H88" s="184"/>
      <c r="I88" s="185"/>
      <c r="J88" s="185"/>
      <c r="K88" s="185"/>
      <c r="L88" s="185"/>
      <c r="M88" s="185"/>
      <c r="N88" s="185"/>
      <c r="O88" s="185"/>
      <c r="P88" s="185"/>
      <c r="Q88" s="185"/>
      <c r="R88" s="185"/>
      <c r="S88" s="185"/>
      <c r="T88" s="186"/>
      <c r="U88" s="184"/>
      <c r="V88" s="185"/>
      <c r="W88" s="185"/>
      <c r="X88" s="185"/>
      <c r="Y88" s="185"/>
      <c r="Z88" s="186"/>
      <c r="AA88" s="460" t="s">
        <v>54</v>
      </c>
      <c r="AB88" s="461"/>
      <c r="AC88" s="461"/>
      <c r="AD88" s="461" t="s">
        <v>55</v>
      </c>
      <c r="AE88" s="461"/>
      <c r="AF88" s="491"/>
      <c r="AG88" s="460" t="s">
        <v>54</v>
      </c>
      <c r="AH88" s="461"/>
      <c r="AI88" s="461"/>
      <c r="AJ88" s="461" t="s">
        <v>55</v>
      </c>
      <c r="AK88" s="461"/>
      <c r="AL88" s="464"/>
      <c r="AM88" s="489" t="s">
        <v>54</v>
      </c>
      <c r="AN88" s="461"/>
      <c r="AO88" s="461"/>
      <c r="AP88" s="461" t="s">
        <v>55</v>
      </c>
      <c r="AQ88" s="461"/>
      <c r="AR88" s="491"/>
      <c r="AS88" s="460" t="s">
        <v>54</v>
      </c>
      <c r="AT88" s="461"/>
      <c r="AU88" s="461"/>
      <c r="AV88" s="461" t="s">
        <v>55</v>
      </c>
      <c r="AW88" s="461"/>
      <c r="AX88" s="464"/>
      <c r="AY88" s="489" t="s">
        <v>54</v>
      </c>
      <c r="AZ88" s="461"/>
      <c r="BA88" s="461"/>
      <c r="BB88" s="461" t="s">
        <v>55</v>
      </c>
      <c r="BC88" s="461"/>
      <c r="BD88" s="491"/>
      <c r="BE88" s="460" t="s">
        <v>54</v>
      </c>
      <c r="BF88" s="461"/>
      <c r="BG88" s="461"/>
      <c r="BH88" s="461" t="s">
        <v>55</v>
      </c>
      <c r="BI88" s="461"/>
      <c r="BJ88" s="464"/>
      <c r="BK88" s="351"/>
      <c r="BL88" s="352"/>
      <c r="BM88" s="352"/>
      <c r="BN88" s="352"/>
      <c r="BO88" s="352"/>
      <c r="BP88" s="352"/>
      <c r="BQ88" s="353"/>
      <c r="BR88" s="185"/>
      <c r="BS88" s="185"/>
      <c r="BT88" s="185"/>
      <c r="BU88" s="185"/>
      <c r="BV88" s="185"/>
      <c r="BW88" s="185"/>
      <c r="BX88" s="185"/>
      <c r="BY88" s="186"/>
      <c r="BZ88" s="174"/>
      <c r="CA88" s="174"/>
      <c r="CB88" s="177"/>
    </row>
    <row r="89" spans="2:80" ht="9.9499999999999993" customHeight="1" thickBot="1">
      <c r="B89" s="1"/>
      <c r="C89" s="174"/>
      <c r="D89" s="174"/>
      <c r="E89" s="363"/>
      <c r="F89" s="364"/>
      <c r="G89" s="365"/>
      <c r="H89" s="363"/>
      <c r="I89" s="364"/>
      <c r="J89" s="364"/>
      <c r="K89" s="364"/>
      <c r="L89" s="364"/>
      <c r="M89" s="364"/>
      <c r="N89" s="364"/>
      <c r="O89" s="364"/>
      <c r="P89" s="364"/>
      <c r="Q89" s="364"/>
      <c r="R89" s="364"/>
      <c r="S89" s="364"/>
      <c r="T89" s="365"/>
      <c r="U89" s="363"/>
      <c r="V89" s="364"/>
      <c r="W89" s="364"/>
      <c r="X89" s="364"/>
      <c r="Y89" s="364"/>
      <c r="Z89" s="365"/>
      <c r="AA89" s="462"/>
      <c r="AB89" s="463"/>
      <c r="AC89" s="463"/>
      <c r="AD89" s="463"/>
      <c r="AE89" s="463"/>
      <c r="AF89" s="492"/>
      <c r="AG89" s="462"/>
      <c r="AH89" s="463"/>
      <c r="AI89" s="463"/>
      <c r="AJ89" s="463"/>
      <c r="AK89" s="463"/>
      <c r="AL89" s="465"/>
      <c r="AM89" s="490"/>
      <c r="AN89" s="463"/>
      <c r="AO89" s="463"/>
      <c r="AP89" s="463"/>
      <c r="AQ89" s="463"/>
      <c r="AR89" s="492"/>
      <c r="AS89" s="462"/>
      <c r="AT89" s="463"/>
      <c r="AU89" s="463"/>
      <c r="AV89" s="463"/>
      <c r="AW89" s="463"/>
      <c r="AX89" s="465"/>
      <c r="AY89" s="490"/>
      <c r="AZ89" s="463"/>
      <c r="BA89" s="463"/>
      <c r="BB89" s="463"/>
      <c r="BC89" s="463"/>
      <c r="BD89" s="492"/>
      <c r="BE89" s="462"/>
      <c r="BF89" s="463"/>
      <c r="BG89" s="463"/>
      <c r="BH89" s="463"/>
      <c r="BI89" s="463"/>
      <c r="BJ89" s="465"/>
      <c r="BK89" s="354"/>
      <c r="BL89" s="355"/>
      <c r="BM89" s="355"/>
      <c r="BN89" s="355"/>
      <c r="BO89" s="355"/>
      <c r="BP89" s="355"/>
      <c r="BQ89" s="356"/>
      <c r="BR89" s="364"/>
      <c r="BS89" s="364"/>
      <c r="BT89" s="364"/>
      <c r="BU89" s="364"/>
      <c r="BV89" s="364"/>
      <c r="BW89" s="364"/>
      <c r="BX89" s="364"/>
      <c r="BY89" s="365"/>
      <c r="BZ89" s="174"/>
      <c r="CA89" s="174"/>
      <c r="CB89" s="177"/>
    </row>
    <row r="90" spans="2:80" ht="9.9499999999999993" customHeight="1">
      <c r="B90" s="1"/>
      <c r="C90" s="174"/>
      <c r="D90" s="174"/>
      <c r="E90" s="646">
        <v>10.1</v>
      </c>
      <c r="F90" s="647"/>
      <c r="G90" s="647"/>
      <c r="H90" s="357" t="s">
        <v>92</v>
      </c>
      <c r="I90" s="358"/>
      <c r="J90" s="358"/>
      <c r="K90" s="358"/>
      <c r="L90" s="358"/>
      <c r="M90" s="358"/>
      <c r="N90" s="358"/>
      <c r="O90" s="358"/>
      <c r="P90" s="358"/>
      <c r="Q90" s="358"/>
      <c r="R90" s="358"/>
      <c r="S90" s="358"/>
      <c r="T90" s="359"/>
      <c r="U90" s="648" t="s">
        <v>66</v>
      </c>
      <c r="V90" s="648"/>
      <c r="W90" s="648"/>
      <c r="X90" s="648"/>
      <c r="Y90" s="648"/>
      <c r="Z90" s="649"/>
      <c r="AA90" s="475"/>
      <c r="AB90" s="449"/>
      <c r="AC90" s="449"/>
      <c r="AD90" s="449"/>
      <c r="AE90" s="449"/>
      <c r="AF90" s="450"/>
      <c r="AG90" s="475"/>
      <c r="AH90" s="449"/>
      <c r="AI90" s="449"/>
      <c r="AJ90" s="449"/>
      <c r="AK90" s="449"/>
      <c r="AL90" s="450"/>
      <c r="AM90" s="445">
        <f>'TD N-S'!AY17</f>
        <v>1338.6140350877195</v>
      </c>
      <c r="AN90" s="443"/>
      <c r="AO90" s="443"/>
      <c r="AP90" s="382">
        <f>AM90/CLV_Limit</f>
        <v>0.83663377192982469</v>
      </c>
      <c r="AQ90" s="382"/>
      <c r="AR90" s="447"/>
      <c r="AS90" s="442">
        <f>'TD N-S'!U17</f>
        <v>2263.5964912280701</v>
      </c>
      <c r="AT90" s="443"/>
      <c r="AU90" s="443"/>
      <c r="AV90" s="382">
        <f>AS90/CLV_Limit</f>
        <v>1.4147478070175439</v>
      </c>
      <c r="AW90" s="382"/>
      <c r="AX90" s="493"/>
      <c r="AY90" s="494"/>
      <c r="AZ90" s="449"/>
      <c r="BA90" s="449"/>
      <c r="BB90" s="449"/>
      <c r="BC90" s="449"/>
      <c r="BD90" s="495"/>
      <c r="BE90" s="475"/>
      <c r="BF90" s="449"/>
      <c r="BG90" s="449"/>
      <c r="BH90" s="449"/>
      <c r="BI90" s="449"/>
      <c r="BJ90" s="450"/>
      <c r="BK90" s="663">
        <f>IF((CA90/1600)&gt;1,((CA90/1600)),(CA90/1600))</f>
        <v>1.4147478070175439</v>
      </c>
      <c r="BL90" s="664"/>
      <c r="BM90" s="664"/>
      <c r="BN90" s="664"/>
      <c r="BO90" s="664"/>
      <c r="BP90" s="664"/>
      <c r="BQ90" s="665"/>
      <c r="BR90" s="375">
        <f>RANK(CA90,$CA$90:$CA$109,1)</f>
        <v>10</v>
      </c>
      <c r="BS90" s="375"/>
      <c r="BT90" s="375"/>
      <c r="BU90" s="375"/>
      <c r="BV90" s="375"/>
      <c r="BW90" s="375"/>
      <c r="BX90" s="375"/>
      <c r="BY90" s="376"/>
      <c r="BZ90" s="484">
        <f>IF(MAX(AA90:BJ91)&lt;0.75*CLV_Limit,1,IF(MAX(AA90:BJ91)&lt;0.875*CLV_Limit-1,"2",IF(MAX(AA90:BJ91)&lt;CLV_Limit-1,3,4)))</f>
        <v>4</v>
      </c>
      <c r="CA90" s="400">
        <f>MAX(AA90:BJ91)</f>
        <v>2263.5964912280701</v>
      </c>
      <c r="CB90" s="177"/>
    </row>
    <row r="91" spans="2:80" ht="9.9499999999999993" customHeight="1">
      <c r="B91" s="1"/>
      <c r="C91" s="174"/>
      <c r="D91" s="174"/>
      <c r="E91" s="638"/>
      <c r="F91" s="639"/>
      <c r="G91" s="639"/>
      <c r="H91" s="351"/>
      <c r="I91" s="352"/>
      <c r="J91" s="352"/>
      <c r="K91" s="352"/>
      <c r="L91" s="352"/>
      <c r="M91" s="352"/>
      <c r="N91" s="352"/>
      <c r="O91" s="352"/>
      <c r="P91" s="352"/>
      <c r="Q91" s="352"/>
      <c r="R91" s="352"/>
      <c r="S91" s="352"/>
      <c r="T91" s="353"/>
      <c r="U91" s="642"/>
      <c r="V91" s="642"/>
      <c r="W91" s="642"/>
      <c r="X91" s="642"/>
      <c r="Y91" s="642"/>
      <c r="Z91" s="643"/>
      <c r="AA91" s="476"/>
      <c r="AB91" s="441"/>
      <c r="AC91" s="441"/>
      <c r="AD91" s="441"/>
      <c r="AE91" s="441"/>
      <c r="AF91" s="451"/>
      <c r="AG91" s="476"/>
      <c r="AH91" s="441"/>
      <c r="AI91" s="441"/>
      <c r="AJ91" s="441"/>
      <c r="AK91" s="441"/>
      <c r="AL91" s="451"/>
      <c r="AM91" s="444"/>
      <c r="AN91" s="439"/>
      <c r="AO91" s="439"/>
      <c r="AP91" s="384"/>
      <c r="AQ91" s="384"/>
      <c r="AR91" s="448"/>
      <c r="AS91" s="438"/>
      <c r="AT91" s="439"/>
      <c r="AU91" s="439"/>
      <c r="AV91" s="384"/>
      <c r="AW91" s="384"/>
      <c r="AX91" s="446"/>
      <c r="AY91" s="440"/>
      <c r="AZ91" s="441"/>
      <c r="BA91" s="441"/>
      <c r="BB91" s="441"/>
      <c r="BC91" s="441"/>
      <c r="BD91" s="478"/>
      <c r="BE91" s="476"/>
      <c r="BF91" s="441"/>
      <c r="BG91" s="441"/>
      <c r="BH91" s="441"/>
      <c r="BI91" s="441"/>
      <c r="BJ91" s="451"/>
      <c r="BK91" s="501"/>
      <c r="BL91" s="502"/>
      <c r="BM91" s="502"/>
      <c r="BN91" s="502"/>
      <c r="BO91" s="502"/>
      <c r="BP91" s="502"/>
      <c r="BQ91" s="503"/>
      <c r="BR91" s="375"/>
      <c r="BS91" s="375"/>
      <c r="BT91" s="375"/>
      <c r="BU91" s="375"/>
      <c r="BV91" s="375"/>
      <c r="BW91" s="375"/>
      <c r="BX91" s="375"/>
      <c r="BY91" s="376"/>
      <c r="BZ91" s="484"/>
      <c r="CA91" s="399"/>
      <c r="CB91" s="177"/>
    </row>
    <row r="92" spans="2:80" ht="9.9499999999999993" customHeight="1">
      <c r="B92" s="1"/>
      <c r="C92" s="174"/>
      <c r="D92" s="174"/>
      <c r="E92" s="638">
        <v>10.199999999999999</v>
      </c>
      <c r="F92" s="639"/>
      <c r="G92" s="639"/>
      <c r="H92" s="351"/>
      <c r="I92" s="352"/>
      <c r="J92" s="352"/>
      <c r="K92" s="352"/>
      <c r="L92" s="352"/>
      <c r="M92" s="352"/>
      <c r="N92" s="352"/>
      <c r="O92" s="352"/>
      <c r="P92" s="352"/>
      <c r="Q92" s="352"/>
      <c r="R92" s="352"/>
      <c r="S92" s="352"/>
      <c r="T92" s="353"/>
      <c r="U92" s="642" t="s">
        <v>67</v>
      </c>
      <c r="V92" s="642"/>
      <c r="W92" s="642"/>
      <c r="X92" s="642"/>
      <c r="Y92" s="642"/>
      <c r="Z92" s="643"/>
      <c r="AA92" s="476"/>
      <c r="AB92" s="441"/>
      <c r="AC92" s="441"/>
      <c r="AD92" s="441"/>
      <c r="AE92" s="441"/>
      <c r="AF92" s="451"/>
      <c r="AG92" s="476"/>
      <c r="AH92" s="441"/>
      <c r="AI92" s="441"/>
      <c r="AJ92" s="441"/>
      <c r="AK92" s="441"/>
      <c r="AL92" s="451"/>
      <c r="AM92" s="444">
        <f>'TD E-W'!AS33</f>
        <v>767.15789473684208</v>
      </c>
      <c r="AN92" s="439"/>
      <c r="AO92" s="439"/>
      <c r="AP92" s="384">
        <f>AM92/CLV_Limit</f>
        <v>0.47947368421052627</v>
      </c>
      <c r="AQ92" s="384"/>
      <c r="AR92" s="448"/>
      <c r="AS92" s="438">
        <f>'TD E-W'!AS46</f>
        <v>928.61403508771934</v>
      </c>
      <c r="AT92" s="439"/>
      <c r="AU92" s="439"/>
      <c r="AV92" s="384">
        <f>AS92/CLV_Limit</f>
        <v>0.5803837719298246</v>
      </c>
      <c r="AW92" s="384"/>
      <c r="AX92" s="446"/>
      <c r="AY92" s="440"/>
      <c r="AZ92" s="441"/>
      <c r="BA92" s="441"/>
      <c r="BB92" s="441"/>
      <c r="BC92" s="441"/>
      <c r="BD92" s="478"/>
      <c r="BE92" s="476"/>
      <c r="BF92" s="441"/>
      <c r="BG92" s="441"/>
      <c r="BH92" s="441"/>
      <c r="BI92" s="441"/>
      <c r="BJ92" s="451"/>
      <c r="BK92" s="501">
        <f>IF((CA92/1600)&gt;1,((CA92/1600)),(CA92/1600))</f>
        <v>0.5803837719298246</v>
      </c>
      <c r="BL92" s="502"/>
      <c r="BM92" s="502"/>
      <c r="BN92" s="502"/>
      <c r="BO92" s="502"/>
      <c r="BP92" s="502"/>
      <c r="BQ92" s="503"/>
      <c r="BR92" s="375">
        <f>RANK(CA92,$CA$90:$CA$109,1)</f>
        <v>1</v>
      </c>
      <c r="BS92" s="375"/>
      <c r="BT92" s="375"/>
      <c r="BU92" s="375"/>
      <c r="BV92" s="375"/>
      <c r="BW92" s="375"/>
      <c r="BX92" s="375"/>
      <c r="BY92" s="376"/>
      <c r="BZ92" s="484">
        <f>IF(MAX(AA92:BJ93)&lt;0.75*CLV_Limit,1,IF(MAX(AA92:BJ93)&lt;0.875*CLV_Limit-1,"2",IF(MAX(AA92:BJ93)&lt;CLV_Limit-1,3,4)))</f>
        <v>1</v>
      </c>
      <c r="CA92" s="400">
        <f>MAX(AA92:BJ93)</f>
        <v>928.61403508771934</v>
      </c>
      <c r="CB92" s="177"/>
    </row>
    <row r="93" spans="2:80" ht="9.9499999999999993" customHeight="1">
      <c r="B93" s="1"/>
      <c r="C93" s="174"/>
      <c r="D93" s="174"/>
      <c r="E93" s="640"/>
      <c r="F93" s="641"/>
      <c r="G93" s="641"/>
      <c r="H93" s="366"/>
      <c r="I93" s="367"/>
      <c r="J93" s="367"/>
      <c r="K93" s="367"/>
      <c r="L93" s="367"/>
      <c r="M93" s="367"/>
      <c r="N93" s="367"/>
      <c r="O93" s="367"/>
      <c r="P93" s="367"/>
      <c r="Q93" s="367"/>
      <c r="R93" s="367"/>
      <c r="S93" s="367"/>
      <c r="T93" s="368"/>
      <c r="U93" s="644"/>
      <c r="V93" s="644"/>
      <c r="W93" s="644"/>
      <c r="X93" s="644"/>
      <c r="Y93" s="644"/>
      <c r="Z93" s="645"/>
      <c r="AA93" s="476"/>
      <c r="AB93" s="441"/>
      <c r="AC93" s="441"/>
      <c r="AD93" s="441"/>
      <c r="AE93" s="441"/>
      <c r="AF93" s="451"/>
      <c r="AG93" s="476"/>
      <c r="AH93" s="441"/>
      <c r="AI93" s="441"/>
      <c r="AJ93" s="441"/>
      <c r="AK93" s="441"/>
      <c r="AL93" s="451"/>
      <c r="AM93" s="444"/>
      <c r="AN93" s="439"/>
      <c r="AO93" s="439"/>
      <c r="AP93" s="384"/>
      <c r="AQ93" s="384"/>
      <c r="AR93" s="448"/>
      <c r="AS93" s="438"/>
      <c r="AT93" s="439"/>
      <c r="AU93" s="439"/>
      <c r="AV93" s="384"/>
      <c r="AW93" s="384"/>
      <c r="AX93" s="446"/>
      <c r="AY93" s="440"/>
      <c r="AZ93" s="441"/>
      <c r="BA93" s="441"/>
      <c r="BB93" s="441"/>
      <c r="BC93" s="441"/>
      <c r="BD93" s="478"/>
      <c r="BE93" s="476"/>
      <c r="BF93" s="441"/>
      <c r="BG93" s="441"/>
      <c r="BH93" s="441"/>
      <c r="BI93" s="441"/>
      <c r="BJ93" s="451"/>
      <c r="BK93" s="501"/>
      <c r="BL93" s="502"/>
      <c r="BM93" s="502"/>
      <c r="BN93" s="502"/>
      <c r="BO93" s="502"/>
      <c r="BP93" s="502"/>
      <c r="BQ93" s="503"/>
      <c r="BR93" s="375"/>
      <c r="BS93" s="375"/>
      <c r="BT93" s="375"/>
      <c r="BU93" s="375"/>
      <c r="BV93" s="375"/>
      <c r="BW93" s="375"/>
      <c r="BX93" s="375"/>
      <c r="BY93" s="376"/>
      <c r="BZ93" s="484"/>
      <c r="CA93" s="399"/>
      <c r="CB93" s="177"/>
    </row>
    <row r="94" spans="2:80" ht="9.9499999999999993" customHeight="1">
      <c r="B94" s="1"/>
      <c r="C94" s="174"/>
      <c r="D94" s="174"/>
      <c r="E94" s="659">
        <v>11.1</v>
      </c>
      <c r="F94" s="660"/>
      <c r="G94" s="660"/>
      <c r="H94" s="348" t="s">
        <v>93</v>
      </c>
      <c r="I94" s="349"/>
      <c r="J94" s="349"/>
      <c r="K94" s="349"/>
      <c r="L94" s="349"/>
      <c r="M94" s="349"/>
      <c r="N94" s="349"/>
      <c r="O94" s="349"/>
      <c r="P94" s="349"/>
      <c r="Q94" s="349"/>
      <c r="R94" s="349"/>
      <c r="S94" s="349"/>
      <c r="T94" s="350"/>
      <c r="U94" s="661" t="s">
        <v>66</v>
      </c>
      <c r="V94" s="661"/>
      <c r="W94" s="661"/>
      <c r="X94" s="661"/>
      <c r="Y94" s="661"/>
      <c r="Z94" s="662"/>
      <c r="AA94" s="476"/>
      <c r="AB94" s="441"/>
      <c r="AC94" s="441"/>
      <c r="AD94" s="441"/>
      <c r="AE94" s="441"/>
      <c r="AF94" s="451"/>
      <c r="AG94" s="476"/>
      <c r="AH94" s="441"/>
      <c r="AI94" s="441"/>
      <c r="AJ94" s="441"/>
      <c r="AK94" s="441"/>
      <c r="AL94" s="451"/>
      <c r="AM94" s="444">
        <f>'PCL N-S'!E23</f>
        <v>684.66666666666663</v>
      </c>
      <c r="AN94" s="439"/>
      <c r="AO94" s="439"/>
      <c r="AP94" s="384">
        <f>AM94/CLV_Limit</f>
        <v>0.42791666666666667</v>
      </c>
      <c r="AQ94" s="384"/>
      <c r="AR94" s="448"/>
      <c r="AS94" s="438">
        <f>'PCL N-S'!AW65</f>
        <v>1058.9473684210527</v>
      </c>
      <c r="AT94" s="439"/>
      <c r="AU94" s="439"/>
      <c r="AV94" s="384">
        <f>AS94/CLV_Limit</f>
        <v>0.6618421052631579</v>
      </c>
      <c r="AW94" s="384"/>
      <c r="AX94" s="446"/>
      <c r="AY94" s="440"/>
      <c r="AZ94" s="441"/>
      <c r="BA94" s="441"/>
      <c r="BB94" s="441"/>
      <c r="BC94" s="441"/>
      <c r="BD94" s="478"/>
      <c r="BE94" s="476"/>
      <c r="BF94" s="441"/>
      <c r="BG94" s="441"/>
      <c r="BH94" s="441"/>
      <c r="BI94" s="441"/>
      <c r="BJ94" s="451"/>
      <c r="BK94" s="501">
        <f>IF((CA94/1600)&gt;1,((CA94/1600)),(CA94/1600))</f>
        <v>0.6618421052631579</v>
      </c>
      <c r="BL94" s="502"/>
      <c r="BM94" s="502"/>
      <c r="BN94" s="502"/>
      <c r="BO94" s="502"/>
      <c r="BP94" s="502"/>
      <c r="BQ94" s="503"/>
      <c r="BR94" s="375">
        <f t="shared" ref="BR94" si="12">RANK(CA94,$CA$90:$CA$109,1)</f>
        <v>2</v>
      </c>
      <c r="BS94" s="375"/>
      <c r="BT94" s="375"/>
      <c r="BU94" s="375"/>
      <c r="BV94" s="375"/>
      <c r="BW94" s="375"/>
      <c r="BX94" s="375"/>
      <c r="BY94" s="376"/>
      <c r="BZ94" s="484">
        <f>IF(MAX(AA94:BJ95)&lt;0.75*CLV_Limit,1,IF(MAX(AA94:BJ95)&lt;0.875*CLV_Limit-1,"2",IF(MAX(AA94:BJ95)&lt;CLV_Limit-1,3,4)))</f>
        <v>1</v>
      </c>
      <c r="CA94" s="400">
        <f>MAX(AA94:BJ95)</f>
        <v>1058.9473684210527</v>
      </c>
      <c r="CB94" s="177"/>
    </row>
    <row r="95" spans="2:80" ht="9.9499999999999993" customHeight="1">
      <c r="B95" s="1"/>
      <c r="C95" s="174"/>
      <c r="D95" s="174"/>
      <c r="E95" s="638"/>
      <c r="F95" s="639"/>
      <c r="G95" s="639"/>
      <c r="H95" s="351"/>
      <c r="I95" s="352"/>
      <c r="J95" s="352"/>
      <c r="K95" s="352"/>
      <c r="L95" s="352"/>
      <c r="M95" s="352"/>
      <c r="N95" s="352"/>
      <c r="O95" s="352"/>
      <c r="P95" s="352"/>
      <c r="Q95" s="352"/>
      <c r="R95" s="352"/>
      <c r="S95" s="352"/>
      <c r="T95" s="353"/>
      <c r="U95" s="642"/>
      <c r="V95" s="642"/>
      <c r="W95" s="642"/>
      <c r="X95" s="642"/>
      <c r="Y95" s="642"/>
      <c r="Z95" s="643"/>
      <c r="AA95" s="476"/>
      <c r="AB95" s="441"/>
      <c r="AC95" s="441"/>
      <c r="AD95" s="441"/>
      <c r="AE95" s="441"/>
      <c r="AF95" s="451"/>
      <c r="AG95" s="476"/>
      <c r="AH95" s="441"/>
      <c r="AI95" s="441"/>
      <c r="AJ95" s="441"/>
      <c r="AK95" s="441"/>
      <c r="AL95" s="451"/>
      <c r="AM95" s="444"/>
      <c r="AN95" s="439"/>
      <c r="AO95" s="439"/>
      <c r="AP95" s="384"/>
      <c r="AQ95" s="384"/>
      <c r="AR95" s="448"/>
      <c r="AS95" s="438"/>
      <c r="AT95" s="439"/>
      <c r="AU95" s="439"/>
      <c r="AV95" s="384"/>
      <c r="AW95" s="384"/>
      <c r="AX95" s="446"/>
      <c r="AY95" s="440"/>
      <c r="AZ95" s="441"/>
      <c r="BA95" s="441"/>
      <c r="BB95" s="441"/>
      <c r="BC95" s="441"/>
      <c r="BD95" s="478"/>
      <c r="BE95" s="476"/>
      <c r="BF95" s="441"/>
      <c r="BG95" s="441"/>
      <c r="BH95" s="441"/>
      <c r="BI95" s="441"/>
      <c r="BJ95" s="451"/>
      <c r="BK95" s="501"/>
      <c r="BL95" s="502"/>
      <c r="BM95" s="502"/>
      <c r="BN95" s="502"/>
      <c r="BO95" s="502"/>
      <c r="BP95" s="502"/>
      <c r="BQ95" s="503"/>
      <c r="BR95" s="375"/>
      <c r="BS95" s="375"/>
      <c r="BT95" s="375"/>
      <c r="BU95" s="375"/>
      <c r="BV95" s="375"/>
      <c r="BW95" s="375"/>
      <c r="BX95" s="375"/>
      <c r="BY95" s="376"/>
      <c r="BZ95" s="484"/>
      <c r="CA95" s="399"/>
      <c r="CB95" s="177"/>
    </row>
    <row r="96" spans="2:80" ht="9.9499999999999993" customHeight="1">
      <c r="B96" s="1"/>
      <c r="C96" s="174"/>
      <c r="D96" s="174"/>
      <c r="E96" s="638">
        <v>11.2</v>
      </c>
      <c r="F96" s="639"/>
      <c r="G96" s="639"/>
      <c r="H96" s="351"/>
      <c r="I96" s="352"/>
      <c r="J96" s="352"/>
      <c r="K96" s="352"/>
      <c r="L96" s="352"/>
      <c r="M96" s="352"/>
      <c r="N96" s="352"/>
      <c r="O96" s="352"/>
      <c r="P96" s="352"/>
      <c r="Q96" s="352"/>
      <c r="R96" s="352"/>
      <c r="S96" s="352"/>
      <c r="T96" s="353"/>
      <c r="U96" s="642" t="s">
        <v>67</v>
      </c>
      <c r="V96" s="642"/>
      <c r="W96" s="642"/>
      <c r="X96" s="642"/>
      <c r="Y96" s="642"/>
      <c r="Z96" s="643"/>
      <c r="AA96" s="476"/>
      <c r="AB96" s="441"/>
      <c r="AC96" s="441"/>
      <c r="AD96" s="441"/>
      <c r="AE96" s="441"/>
      <c r="AF96" s="451"/>
      <c r="AG96" s="476"/>
      <c r="AH96" s="441"/>
      <c r="AI96" s="441"/>
      <c r="AJ96" s="441"/>
      <c r="AK96" s="441"/>
      <c r="AL96" s="451"/>
      <c r="AM96" s="444">
        <f>'PCL E-W'!D64</f>
        <v>1517.9473684210527</v>
      </c>
      <c r="AN96" s="439"/>
      <c r="AO96" s="439"/>
      <c r="AP96" s="384">
        <f>AG30/CLV_Limit</f>
        <v>1.5143421052631578</v>
      </c>
      <c r="AQ96" s="384"/>
      <c r="AR96" s="448"/>
      <c r="AS96" s="438">
        <f>'PCL E-W'!AW19</f>
        <v>1142.3157894736842</v>
      </c>
      <c r="AT96" s="439"/>
      <c r="AU96" s="439"/>
      <c r="AV96" s="384">
        <f>AS96/CLV_Limit</f>
        <v>0.71394736842105255</v>
      </c>
      <c r="AW96" s="384"/>
      <c r="AX96" s="446"/>
      <c r="AY96" s="440"/>
      <c r="AZ96" s="441"/>
      <c r="BA96" s="441"/>
      <c r="BB96" s="441"/>
      <c r="BC96" s="441"/>
      <c r="BD96" s="478"/>
      <c r="BE96" s="476"/>
      <c r="BF96" s="441"/>
      <c r="BG96" s="441"/>
      <c r="BH96" s="441"/>
      <c r="BI96" s="441"/>
      <c r="BJ96" s="451"/>
      <c r="BK96" s="501">
        <f>IF((CA96/1600)&gt;1,((CA96/1600)),(CA96/1600))</f>
        <v>0.948717105263158</v>
      </c>
      <c r="BL96" s="502"/>
      <c r="BM96" s="502"/>
      <c r="BN96" s="502"/>
      <c r="BO96" s="502"/>
      <c r="BP96" s="502"/>
      <c r="BQ96" s="503"/>
      <c r="BR96" s="375">
        <f t="shared" ref="BR96" si="13">RANK(CA96,$CA$90:$CA$109,1)</f>
        <v>3</v>
      </c>
      <c r="BS96" s="375"/>
      <c r="BT96" s="375"/>
      <c r="BU96" s="375"/>
      <c r="BV96" s="375"/>
      <c r="BW96" s="375"/>
      <c r="BX96" s="375"/>
      <c r="BY96" s="376"/>
      <c r="BZ96" s="484">
        <f>IF(MAX(AA96:BJ97)&lt;0.75*CLV_Limit,1,IF(MAX(AA96:BJ97)&lt;0.875*CLV_Limit-1,"2",IF(MAX(AA96:BJ97)&lt;CLV_Limit-1,3,4)))</f>
        <v>3</v>
      </c>
      <c r="CA96" s="400">
        <f>MAX(AA96:BJ97)</f>
        <v>1517.9473684210527</v>
      </c>
      <c r="CB96" s="177"/>
    </row>
    <row r="97" spans="2:80" ht="9.9499999999999993" customHeight="1">
      <c r="B97" s="1"/>
      <c r="C97" s="174"/>
      <c r="D97" s="174"/>
      <c r="E97" s="640"/>
      <c r="F97" s="641"/>
      <c r="G97" s="641"/>
      <c r="H97" s="366"/>
      <c r="I97" s="367"/>
      <c r="J97" s="367"/>
      <c r="K97" s="367"/>
      <c r="L97" s="367"/>
      <c r="M97" s="367"/>
      <c r="N97" s="367"/>
      <c r="O97" s="367"/>
      <c r="P97" s="367"/>
      <c r="Q97" s="367"/>
      <c r="R97" s="367"/>
      <c r="S97" s="367"/>
      <c r="T97" s="368"/>
      <c r="U97" s="644"/>
      <c r="V97" s="644"/>
      <c r="W97" s="644"/>
      <c r="X97" s="644"/>
      <c r="Y97" s="644"/>
      <c r="Z97" s="645"/>
      <c r="AA97" s="476"/>
      <c r="AB97" s="441"/>
      <c r="AC97" s="441"/>
      <c r="AD97" s="441"/>
      <c r="AE97" s="441"/>
      <c r="AF97" s="451"/>
      <c r="AG97" s="476"/>
      <c r="AH97" s="441"/>
      <c r="AI97" s="441"/>
      <c r="AJ97" s="441"/>
      <c r="AK97" s="441"/>
      <c r="AL97" s="451"/>
      <c r="AM97" s="444"/>
      <c r="AN97" s="439"/>
      <c r="AO97" s="439"/>
      <c r="AP97" s="384"/>
      <c r="AQ97" s="384"/>
      <c r="AR97" s="448"/>
      <c r="AS97" s="438"/>
      <c r="AT97" s="439"/>
      <c r="AU97" s="439"/>
      <c r="AV97" s="384"/>
      <c r="AW97" s="384"/>
      <c r="AX97" s="446"/>
      <c r="AY97" s="440"/>
      <c r="AZ97" s="441"/>
      <c r="BA97" s="441"/>
      <c r="BB97" s="441"/>
      <c r="BC97" s="441"/>
      <c r="BD97" s="478"/>
      <c r="BE97" s="476"/>
      <c r="BF97" s="441"/>
      <c r="BG97" s="441"/>
      <c r="BH97" s="441"/>
      <c r="BI97" s="441"/>
      <c r="BJ97" s="451"/>
      <c r="BK97" s="501"/>
      <c r="BL97" s="502"/>
      <c r="BM97" s="502"/>
      <c r="BN97" s="502"/>
      <c r="BO97" s="502"/>
      <c r="BP97" s="502"/>
      <c r="BQ97" s="503"/>
      <c r="BR97" s="375"/>
      <c r="BS97" s="375"/>
      <c r="BT97" s="375"/>
      <c r="BU97" s="375"/>
      <c r="BV97" s="375"/>
      <c r="BW97" s="375"/>
      <c r="BX97" s="375"/>
      <c r="BY97" s="376"/>
      <c r="BZ97" s="484"/>
      <c r="CA97" s="399"/>
      <c r="CB97" s="177"/>
    </row>
    <row r="98" spans="2:80" ht="9.9499999999999993" customHeight="1">
      <c r="B98" s="1"/>
      <c r="C98" s="174"/>
      <c r="D98" s="174"/>
      <c r="E98" s="512">
        <v>13.1</v>
      </c>
      <c r="F98" s="513"/>
      <c r="G98" s="637"/>
      <c r="H98" s="348" t="s">
        <v>68</v>
      </c>
      <c r="I98" s="349"/>
      <c r="J98" s="349"/>
      <c r="K98" s="349"/>
      <c r="L98" s="349"/>
      <c r="M98" s="349"/>
      <c r="N98" s="349"/>
      <c r="O98" s="349"/>
      <c r="P98" s="349"/>
      <c r="Q98" s="349"/>
      <c r="R98" s="349"/>
      <c r="S98" s="349"/>
      <c r="T98" s="350"/>
      <c r="U98" s="655" t="s">
        <v>66</v>
      </c>
      <c r="V98" s="536"/>
      <c r="W98" s="536"/>
      <c r="X98" s="536"/>
      <c r="Y98" s="536"/>
      <c r="Z98" s="656"/>
      <c r="AA98" s="438">
        <f>'DLTI N-S'!AP18</f>
        <v>1737.3947368421054</v>
      </c>
      <c r="AB98" s="439"/>
      <c r="AC98" s="439"/>
      <c r="AD98" s="384">
        <f>AA98/CLV_Limit</f>
        <v>1.0858717105263158</v>
      </c>
      <c r="AE98" s="384"/>
      <c r="AF98" s="446"/>
      <c r="AG98" s="476"/>
      <c r="AH98" s="441"/>
      <c r="AI98" s="441"/>
      <c r="AJ98" s="441"/>
      <c r="AK98" s="441"/>
      <c r="AL98" s="451"/>
      <c r="AM98" s="444">
        <f>'DLTI N-S'!AP33</f>
        <v>1667.5</v>
      </c>
      <c r="AN98" s="439"/>
      <c r="AO98" s="439"/>
      <c r="AP98" s="384">
        <f>AM98/CLV_Limit</f>
        <v>1.0421875</v>
      </c>
      <c r="AQ98" s="384"/>
      <c r="AR98" s="448"/>
      <c r="AS98" s="438">
        <f>'DLTI N-S'!AP50</f>
        <v>1916.5</v>
      </c>
      <c r="AT98" s="439"/>
      <c r="AU98" s="439"/>
      <c r="AV98" s="384">
        <f>AS98/CLV_Limit</f>
        <v>1.1978124999999999</v>
      </c>
      <c r="AW98" s="384"/>
      <c r="AX98" s="446"/>
      <c r="AY98" s="440"/>
      <c r="AZ98" s="441"/>
      <c r="BA98" s="441"/>
      <c r="BB98" s="441"/>
      <c r="BC98" s="441"/>
      <c r="BD98" s="478"/>
      <c r="BE98" s="438">
        <f>'DLTI N-S'!AP64</f>
        <v>1236.4473684210527</v>
      </c>
      <c r="BF98" s="439"/>
      <c r="BG98" s="439"/>
      <c r="BH98" s="384">
        <f>BE98/CLV_Limit</f>
        <v>0.77277960526315792</v>
      </c>
      <c r="BI98" s="384"/>
      <c r="BJ98" s="446"/>
      <c r="BK98" s="501">
        <f>IF((CA98/1600)&gt;1,((CA98/1600)),(CA98/1600))</f>
        <v>1.1978124999999999</v>
      </c>
      <c r="BL98" s="502"/>
      <c r="BM98" s="502"/>
      <c r="BN98" s="502"/>
      <c r="BO98" s="502"/>
      <c r="BP98" s="502"/>
      <c r="BQ98" s="503"/>
      <c r="BR98" s="375">
        <f t="shared" ref="BR98" si="14">RANK(CA98,$CA$90:$CA$109,1)</f>
        <v>8</v>
      </c>
      <c r="BS98" s="375"/>
      <c r="BT98" s="375"/>
      <c r="BU98" s="375"/>
      <c r="BV98" s="375"/>
      <c r="BW98" s="375"/>
      <c r="BX98" s="375"/>
      <c r="BY98" s="376"/>
      <c r="BZ98" s="484">
        <f>IF(MAX(AA98:BJ99)&lt;0.75*CLV_Limit,1,IF(MAX(AA98:BJ99)&lt;0.875*CLV_Limit-1,"2",IF(MAX(AA98:BJ99)&lt;CLV_Limit-1,3,4)))</f>
        <v>4</v>
      </c>
      <c r="CA98" s="400">
        <f>MAX(AA98:BJ99)</f>
        <v>1916.5</v>
      </c>
      <c r="CB98" s="177"/>
    </row>
    <row r="99" spans="2:80" ht="9.9499999999999993" customHeight="1">
      <c r="B99" s="1"/>
      <c r="C99" s="174"/>
      <c r="D99" s="174"/>
      <c r="E99" s="514"/>
      <c r="F99" s="515"/>
      <c r="G99" s="635"/>
      <c r="H99" s="351"/>
      <c r="I99" s="352"/>
      <c r="J99" s="352"/>
      <c r="K99" s="352"/>
      <c r="L99" s="352"/>
      <c r="M99" s="352"/>
      <c r="N99" s="352"/>
      <c r="O99" s="352"/>
      <c r="P99" s="352"/>
      <c r="Q99" s="352"/>
      <c r="R99" s="352"/>
      <c r="S99" s="352"/>
      <c r="T99" s="353"/>
      <c r="U99" s="651"/>
      <c r="V99" s="532"/>
      <c r="W99" s="532"/>
      <c r="X99" s="532"/>
      <c r="Y99" s="532"/>
      <c r="Z99" s="652"/>
      <c r="AA99" s="438"/>
      <c r="AB99" s="439"/>
      <c r="AC99" s="439"/>
      <c r="AD99" s="384"/>
      <c r="AE99" s="384"/>
      <c r="AF99" s="446"/>
      <c r="AG99" s="476"/>
      <c r="AH99" s="441"/>
      <c r="AI99" s="441"/>
      <c r="AJ99" s="441"/>
      <c r="AK99" s="441"/>
      <c r="AL99" s="451"/>
      <c r="AM99" s="444"/>
      <c r="AN99" s="439"/>
      <c r="AO99" s="439"/>
      <c r="AP99" s="384"/>
      <c r="AQ99" s="384"/>
      <c r="AR99" s="448"/>
      <c r="AS99" s="438"/>
      <c r="AT99" s="439"/>
      <c r="AU99" s="439"/>
      <c r="AV99" s="384"/>
      <c r="AW99" s="384"/>
      <c r="AX99" s="446"/>
      <c r="AY99" s="440"/>
      <c r="AZ99" s="441"/>
      <c r="BA99" s="441"/>
      <c r="BB99" s="441"/>
      <c r="BC99" s="441"/>
      <c r="BD99" s="478"/>
      <c r="BE99" s="438"/>
      <c r="BF99" s="439"/>
      <c r="BG99" s="439"/>
      <c r="BH99" s="384"/>
      <c r="BI99" s="384"/>
      <c r="BJ99" s="446"/>
      <c r="BK99" s="501"/>
      <c r="BL99" s="502"/>
      <c r="BM99" s="502"/>
      <c r="BN99" s="502"/>
      <c r="BO99" s="502"/>
      <c r="BP99" s="502"/>
      <c r="BQ99" s="503"/>
      <c r="BR99" s="375"/>
      <c r="BS99" s="375"/>
      <c r="BT99" s="375"/>
      <c r="BU99" s="375"/>
      <c r="BV99" s="375"/>
      <c r="BW99" s="375"/>
      <c r="BX99" s="375"/>
      <c r="BY99" s="376"/>
      <c r="BZ99" s="484"/>
      <c r="CA99" s="399"/>
      <c r="CB99" s="177"/>
    </row>
    <row r="100" spans="2:80" ht="9.9499999999999993" customHeight="1">
      <c r="B100" s="1"/>
      <c r="C100" s="174"/>
      <c r="D100" s="174"/>
      <c r="E100" s="514">
        <v>13.2</v>
      </c>
      <c r="F100" s="515"/>
      <c r="G100" s="635"/>
      <c r="H100" s="351"/>
      <c r="I100" s="352"/>
      <c r="J100" s="352"/>
      <c r="K100" s="352"/>
      <c r="L100" s="352"/>
      <c r="M100" s="352"/>
      <c r="N100" s="352"/>
      <c r="O100" s="352"/>
      <c r="P100" s="352"/>
      <c r="Q100" s="352"/>
      <c r="R100" s="352"/>
      <c r="S100" s="352"/>
      <c r="T100" s="353"/>
      <c r="U100" s="651" t="s">
        <v>67</v>
      </c>
      <c r="V100" s="532"/>
      <c r="W100" s="532"/>
      <c r="X100" s="532"/>
      <c r="Y100" s="532"/>
      <c r="Z100" s="652"/>
      <c r="AA100" s="438">
        <f>'DLTI E-W '!F17</f>
        <v>946.31578947368428</v>
      </c>
      <c r="AB100" s="439"/>
      <c r="AC100" s="439"/>
      <c r="AD100" s="384">
        <f>AA100/CLV_Limit</f>
        <v>0.59144736842105272</v>
      </c>
      <c r="AE100" s="384"/>
      <c r="AF100" s="446"/>
      <c r="AG100" s="476"/>
      <c r="AH100" s="441"/>
      <c r="AI100" s="441"/>
      <c r="AJ100" s="441"/>
      <c r="AK100" s="441"/>
      <c r="AL100" s="451"/>
      <c r="AM100" s="444">
        <f>'DLTI E-W '!T17</f>
        <v>1585.2631578947371</v>
      </c>
      <c r="AN100" s="439"/>
      <c r="AO100" s="439"/>
      <c r="AP100" s="384">
        <f>AM100/CLV_Limit</f>
        <v>0.99078947368421066</v>
      </c>
      <c r="AQ100" s="384"/>
      <c r="AR100" s="448"/>
      <c r="AS100" s="438">
        <f>'DLTI E-W '!BA17</f>
        <v>618.94736842105272</v>
      </c>
      <c r="AT100" s="439"/>
      <c r="AU100" s="439"/>
      <c r="AV100" s="384">
        <f>AS100/CLV_Limit</f>
        <v>0.38684210526315793</v>
      </c>
      <c r="AW100" s="384"/>
      <c r="AX100" s="446"/>
      <c r="AY100" s="440"/>
      <c r="AZ100" s="441"/>
      <c r="BA100" s="441"/>
      <c r="BB100" s="441"/>
      <c r="BC100" s="441"/>
      <c r="BD100" s="478"/>
      <c r="BE100" s="438">
        <f>'DLTI E-W '!BO17</f>
        <v>1419.2894736842106</v>
      </c>
      <c r="BF100" s="439"/>
      <c r="BG100" s="439"/>
      <c r="BH100" s="384">
        <f>BE100/CLV_Limit</f>
        <v>0.88705592105263165</v>
      </c>
      <c r="BI100" s="384"/>
      <c r="BJ100" s="446"/>
      <c r="BK100" s="501">
        <f>IF((CA100/1600)&gt;1,((CA100/1600)),(CA100/1600))</f>
        <v>0.99078947368421066</v>
      </c>
      <c r="BL100" s="502"/>
      <c r="BM100" s="502"/>
      <c r="BN100" s="502"/>
      <c r="BO100" s="502"/>
      <c r="BP100" s="502"/>
      <c r="BQ100" s="503"/>
      <c r="BR100" s="375">
        <f t="shared" ref="BR100" si="15">RANK(CA100,$CA$90:$CA$109,1)</f>
        <v>5</v>
      </c>
      <c r="BS100" s="375"/>
      <c r="BT100" s="375"/>
      <c r="BU100" s="375"/>
      <c r="BV100" s="375"/>
      <c r="BW100" s="375"/>
      <c r="BX100" s="375"/>
      <c r="BY100" s="376"/>
      <c r="BZ100" s="484">
        <f>IF(MAX(AA100:BJ101)&lt;0.75*CLV_Limit,1,IF(MAX(AA100:BJ101)&lt;0.875*CLV_Limit-1,"2",IF(MAX(AA100:BJ101)&lt;CLV_Limit-1,3,4)))</f>
        <v>3</v>
      </c>
      <c r="CA100" s="400">
        <f>MAX(AA100:BJ101)</f>
        <v>1585.2631578947371</v>
      </c>
      <c r="CB100" s="177"/>
    </row>
    <row r="101" spans="2:80" ht="9.9499999999999993" customHeight="1">
      <c r="B101" s="1"/>
      <c r="C101" s="174"/>
      <c r="D101" s="174"/>
      <c r="E101" s="518"/>
      <c r="F101" s="519"/>
      <c r="G101" s="636"/>
      <c r="H101" s="366"/>
      <c r="I101" s="367"/>
      <c r="J101" s="367"/>
      <c r="K101" s="367"/>
      <c r="L101" s="367"/>
      <c r="M101" s="367"/>
      <c r="N101" s="367"/>
      <c r="O101" s="367"/>
      <c r="P101" s="367"/>
      <c r="Q101" s="367"/>
      <c r="R101" s="367"/>
      <c r="S101" s="367"/>
      <c r="T101" s="368"/>
      <c r="U101" s="657"/>
      <c r="V101" s="534"/>
      <c r="W101" s="534"/>
      <c r="X101" s="534"/>
      <c r="Y101" s="534"/>
      <c r="Z101" s="658"/>
      <c r="AA101" s="438"/>
      <c r="AB101" s="439"/>
      <c r="AC101" s="439"/>
      <c r="AD101" s="384"/>
      <c r="AE101" s="384"/>
      <c r="AF101" s="446"/>
      <c r="AG101" s="476"/>
      <c r="AH101" s="441"/>
      <c r="AI101" s="441"/>
      <c r="AJ101" s="441"/>
      <c r="AK101" s="441"/>
      <c r="AL101" s="451"/>
      <c r="AM101" s="444"/>
      <c r="AN101" s="439"/>
      <c r="AO101" s="439"/>
      <c r="AP101" s="384"/>
      <c r="AQ101" s="384"/>
      <c r="AR101" s="448"/>
      <c r="AS101" s="438"/>
      <c r="AT101" s="439"/>
      <c r="AU101" s="439"/>
      <c r="AV101" s="384"/>
      <c r="AW101" s="384"/>
      <c r="AX101" s="446"/>
      <c r="AY101" s="440"/>
      <c r="AZ101" s="441"/>
      <c r="BA101" s="441"/>
      <c r="BB101" s="441"/>
      <c r="BC101" s="441"/>
      <c r="BD101" s="478"/>
      <c r="BE101" s="438"/>
      <c r="BF101" s="439"/>
      <c r="BG101" s="439"/>
      <c r="BH101" s="384"/>
      <c r="BI101" s="384"/>
      <c r="BJ101" s="446"/>
      <c r="BK101" s="501"/>
      <c r="BL101" s="502"/>
      <c r="BM101" s="502"/>
      <c r="BN101" s="502"/>
      <c r="BO101" s="502"/>
      <c r="BP101" s="502"/>
      <c r="BQ101" s="503"/>
      <c r="BR101" s="375"/>
      <c r="BS101" s="375"/>
      <c r="BT101" s="375"/>
      <c r="BU101" s="375"/>
      <c r="BV101" s="375"/>
      <c r="BW101" s="375"/>
      <c r="BX101" s="375"/>
      <c r="BY101" s="376"/>
      <c r="BZ101" s="484"/>
      <c r="CA101" s="399"/>
      <c r="CB101" s="177"/>
    </row>
    <row r="102" spans="2:80" ht="9.9499999999999993" customHeight="1">
      <c r="B102" s="1"/>
      <c r="C102" s="174"/>
      <c r="D102" s="174"/>
      <c r="E102" s="512">
        <v>14.1</v>
      </c>
      <c r="F102" s="513"/>
      <c r="G102" s="637"/>
      <c r="H102" s="348" t="s">
        <v>94</v>
      </c>
      <c r="I102" s="349"/>
      <c r="J102" s="349"/>
      <c r="K102" s="349"/>
      <c r="L102" s="349"/>
      <c r="M102" s="349"/>
      <c r="N102" s="349"/>
      <c r="O102" s="349"/>
      <c r="P102" s="349"/>
      <c r="Q102" s="349"/>
      <c r="R102" s="349"/>
      <c r="S102" s="349"/>
      <c r="T102" s="350"/>
      <c r="U102" s="655" t="s">
        <v>66</v>
      </c>
      <c r="V102" s="536"/>
      <c r="W102" s="536"/>
      <c r="X102" s="536"/>
      <c r="Y102" s="536"/>
      <c r="Z102" s="656"/>
      <c r="AA102" s="438">
        <f>'DCD N-S'!AW24</f>
        <v>1737.3947368421054</v>
      </c>
      <c r="AB102" s="439"/>
      <c r="AC102" s="439"/>
      <c r="AD102" s="384">
        <f>AA102/CLV_Limit</f>
        <v>1.0858717105263158</v>
      </c>
      <c r="AE102" s="384"/>
      <c r="AF102" s="446"/>
      <c r="AG102" s="438">
        <f>'DCD N-S'!AW36</f>
        <v>1645.9473684210527</v>
      </c>
      <c r="AH102" s="439"/>
      <c r="AI102" s="439"/>
      <c r="AJ102" s="384">
        <f>AG102/CLV_Limit</f>
        <v>1.0287171052631578</v>
      </c>
      <c r="AK102" s="384"/>
      <c r="AL102" s="446"/>
      <c r="AM102" s="444">
        <f>'DCD N-S'!E31</f>
        <v>2106.5</v>
      </c>
      <c r="AN102" s="439"/>
      <c r="AO102" s="439"/>
      <c r="AP102" s="384">
        <f>AM102/CLV_Limit</f>
        <v>1.3165625000000001</v>
      </c>
      <c r="AQ102" s="384"/>
      <c r="AR102" s="448"/>
      <c r="AS102" s="438">
        <f>'DCD N-S'!AW53</f>
        <v>1647.5</v>
      </c>
      <c r="AT102" s="439"/>
      <c r="AU102" s="439"/>
      <c r="AV102" s="384">
        <f>AS102/CLV_Limit</f>
        <v>1.0296875000000001</v>
      </c>
      <c r="AW102" s="384"/>
      <c r="AX102" s="446"/>
      <c r="AY102" s="444">
        <f>'DCD N-S'!E47</f>
        <v>1576.3157894736842</v>
      </c>
      <c r="AZ102" s="439"/>
      <c r="BA102" s="439"/>
      <c r="BB102" s="384">
        <f>AY102/CLV_Limit</f>
        <v>0.98519736842105265</v>
      </c>
      <c r="BC102" s="384"/>
      <c r="BD102" s="448"/>
      <c r="BE102" s="438">
        <f>'DCD N-S'!E60</f>
        <v>1236.4473684210527</v>
      </c>
      <c r="BF102" s="439"/>
      <c r="BG102" s="439"/>
      <c r="BH102" s="384">
        <f>BE102/CLV_Limit</f>
        <v>0.77277960526315792</v>
      </c>
      <c r="BI102" s="384"/>
      <c r="BJ102" s="446"/>
      <c r="BK102" s="501">
        <f>IF((CA102/1600)&gt;1,((CA102/1600)),(CA102/1600))</f>
        <v>1.3165625000000001</v>
      </c>
      <c r="BL102" s="502"/>
      <c r="BM102" s="502"/>
      <c r="BN102" s="502"/>
      <c r="BO102" s="502"/>
      <c r="BP102" s="502"/>
      <c r="BQ102" s="503"/>
      <c r="BR102" s="375">
        <f t="shared" ref="BR102" si="16">RANK(CA102,$CA$90:$CA$109,1)</f>
        <v>9</v>
      </c>
      <c r="BS102" s="375"/>
      <c r="BT102" s="375"/>
      <c r="BU102" s="375"/>
      <c r="BV102" s="375"/>
      <c r="BW102" s="375"/>
      <c r="BX102" s="375"/>
      <c r="BY102" s="376"/>
      <c r="BZ102" s="484">
        <f>IF(MAX(AA102:BJ103)&lt;0.75*CLV_Limit,1,IF(MAX(AA102:BJ103)&lt;0.875*CLV_Limit-1,"2",IF(MAX(AA102:BJ103)&lt;CLV_Limit-1,3,4)))</f>
        <v>4</v>
      </c>
      <c r="CA102" s="400">
        <f>MAX(AA102:BJ103)</f>
        <v>2106.5</v>
      </c>
      <c r="CB102" s="177"/>
    </row>
    <row r="103" spans="2:80" ht="9.9499999999999993" customHeight="1">
      <c r="B103" s="1"/>
      <c r="C103" s="174"/>
      <c r="D103" s="174"/>
      <c r="E103" s="514"/>
      <c r="F103" s="515"/>
      <c r="G103" s="635"/>
      <c r="H103" s="351"/>
      <c r="I103" s="352"/>
      <c r="J103" s="352"/>
      <c r="K103" s="352"/>
      <c r="L103" s="352"/>
      <c r="M103" s="352"/>
      <c r="N103" s="352"/>
      <c r="O103" s="352"/>
      <c r="P103" s="352"/>
      <c r="Q103" s="352"/>
      <c r="R103" s="352"/>
      <c r="S103" s="352"/>
      <c r="T103" s="353"/>
      <c r="U103" s="651"/>
      <c r="V103" s="532"/>
      <c r="W103" s="532"/>
      <c r="X103" s="532"/>
      <c r="Y103" s="532"/>
      <c r="Z103" s="652"/>
      <c r="AA103" s="438"/>
      <c r="AB103" s="439"/>
      <c r="AC103" s="439"/>
      <c r="AD103" s="384"/>
      <c r="AE103" s="384"/>
      <c r="AF103" s="446"/>
      <c r="AG103" s="438"/>
      <c r="AH103" s="439"/>
      <c r="AI103" s="439"/>
      <c r="AJ103" s="384"/>
      <c r="AK103" s="384"/>
      <c r="AL103" s="446"/>
      <c r="AM103" s="444"/>
      <c r="AN103" s="439"/>
      <c r="AO103" s="439"/>
      <c r="AP103" s="384"/>
      <c r="AQ103" s="384"/>
      <c r="AR103" s="448"/>
      <c r="AS103" s="438"/>
      <c r="AT103" s="439"/>
      <c r="AU103" s="439"/>
      <c r="AV103" s="384"/>
      <c r="AW103" s="384"/>
      <c r="AX103" s="446"/>
      <c r="AY103" s="444"/>
      <c r="AZ103" s="439"/>
      <c r="BA103" s="439"/>
      <c r="BB103" s="384"/>
      <c r="BC103" s="384"/>
      <c r="BD103" s="448"/>
      <c r="BE103" s="438"/>
      <c r="BF103" s="439"/>
      <c r="BG103" s="439"/>
      <c r="BH103" s="384"/>
      <c r="BI103" s="384"/>
      <c r="BJ103" s="446"/>
      <c r="BK103" s="501"/>
      <c r="BL103" s="502"/>
      <c r="BM103" s="502"/>
      <c r="BN103" s="502"/>
      <c r="BO103" s="502"/>
      <c r="BP103" s="502"/>
      <c r="BQ103" s="503"/>
      <c r="BR103" s="375"/>
      <c r="BS103" s="375"/>
      <c r="BT103" s="375"/>
      <c r="BU103" s="375"/>
      <c r="BV103" s="375"/>
      <c r="BW103" s="375"/>
      <c r="BX103" s="375"/>
      <c r="BY103" s="376"/>
      <c r="BZ103" s="484"/>
      <c r="CA103" s="399"/>
      <c r="CB103" s="177"/>
    </row>
    <row r="104" spans="2:80" ht="9.9499999999999993" customHeight="1">
      <c r="B104" s="1"/>
      <c r="C104" s="174"/>
      <c r="D104" s="174"/>
      <c r="E104" s="514">
        <v>14.2</v>
      </c>
      <c r="F104" s="515"/>
      <c r="G104" s="635"/>
      <c r="H104" s="351"/>
      <c r="I104" s="352"/>
      <c r="J104" s="352"/>
      <c r="K104" s="352"/>
      <c r="L104" s="352"/>
      <c r="M104" s="352"/>
      <c r="N104" s="352"/>
      <c r="O104" s="352"/>
      <c r="P104" s="352"/>
      <c r="Q104" s="352"/>
      <c r="R104" s="352"/>
      <c r="S104" s="352"/>
      <c r="T104" s="353"/>
      <c r="U104" s="651" t="s">
        <v>67</v>
      </c>
      <c r="V104" s="532"/>
      <c r="W104" s="532"/>
      <c r="X104" s="532"/>
      <c r="Y104" s="532"/>
      <c r="Z104" s="652"/>
      <c r="AA104" s="438">
        <f>'DCD E-W'!D17</f>
        <v>0</v>
      </c>
      <c r="AB104" s="439"/>
      <c r="AC104" s="439"/>
      <c r="AD104" s="384">
        <f>AA104/CLV_Limit</f>
        <v>0</v>
      </c>
      <c r="AE104" s="384"/>
      <c r="AF104" s="446"/>
      <c r="AG104" s="438">
        <f>'DCD E-W'!Q17</f>
        <v>449.5</v>
      </c>
      <c r="AH104" s="439"/>
      <c r="AI104" s="439"/>
      <c r="AJ104" s="384">
        <f>AG104/CLV_Limit</f>
        <v>0.28093750000000001</v>
      </c>
      <c r="AK104" s="384"/>
      <c r="AL104" s="446"/>
      <c r="AM104" s="444">
        <f>'DCD E-W'!AD17</f>
        <v>1088.4473684210527</v>
      </c>
      <c r="AN104" s="439"/>
      <c r="AO104" s="439"/>
      <c r="AP104" s="384">
        <f>AM104/CLV_Limit</f>
        <v>0.68027960526315789</v>
      </c>
      <c r="AQ104" s="384"/>
      <c r="AR104" s="448"/>
      <c r="AS104" s="438">
        <f>'DCD E-W'!AQ17</f>
        <v>294</v>
      </c>
      <c r="AT104" s="439"/>
      <c r="AU104" s="439"/>
      <c r="AV104" s="384">
        <f>AS104/CLV_Limit</f>
        <v>0.18375</v>
      </c>
      <c r="AW104" s="384"/>
      <c r="AX104" s="446"/>
      <c r="AY104" s="444">
        <f>'DCD E-W'!BD17</f>
        <v>597.5</v>
      </c>
      <c r="AZ104" s="439"/>
      <c r="BA104" s="439"/>
      <c r="BB104" s="384">
        <f>AY104/CLV_Limit</f>
        <v>0.37343749999999998</v>
      </c>
      <c r="BC104" s="384"/>
      <c r="BD104" s="448"/>
      <c r="BE104" s="438">
        <f>'DCD E-W'!BQ17</f>
        <v>1550.5588235294117</v>
      </c>
      <c r="BF104" s="439"/>
      <c r="BG104" s="439"/>
      <c r="BH104" s="384">
        <f>BE104/CLV_Limit</f>
        <v>0.96909926470588237</v>
      </c>
      <c r="BI104" s="384"/>
      <c r="BJ104" s="446"/>
      <c r="BK104" s="501">
        <f>IF((CA104/1600)&gt;1,((CA104/1600)),(CA104/1600))</f>
        <v>0.96909926470588237</v>
      </c>
      <c r="BL104" s="502"/>
      <c r="BM104" s="502"/>
      <c r="BN104" s="502"/>
      <c r="BO104" s="502"/>
      <c r="BP104" s="502"/>
      <c r="BQ104" s="503"/>
      <c r="BR104" s="375">
        <f t="shared" ref="BR104" si="17">RANK(CA104,$CA$90:$CA$109,1)</f>
        <v>4</v>
      </c>
      <c r="BS104" s="375"/>
      <c r="BT104" s="375"/>
      <c r="BU104" s="375"/>
      <c r="BV104" s="375"/>
      <c r="BW104" s="375"/>
      <c r="BX104" s="375"/>
      <c r="BY104" s="376"/>
      <c r="BZ104" s="484">
        <f>IF(MAX(AA104:BJ105)&lt;0.75*CLV_Limit,1,IF(MAX(AA104:BJ105)&lt;0.875*CLV_Limit-1,"2",IF(MAX(AA104:BJ105)&lt;CLV_Limit-1,3,4)))</f>
        <v>3</v>
      </c>
      <c r="CA104" s="400">
        <f>MAX(AA104:BJ105)</f>
        <v>1550.5588235294117</v>
      </c>
      <c r="CB104" s="177"/>
    </row>
    <row r="105" spans="2:80" ht="9.9499999999999993" customHeight="1">
      <c r="B105" s="1"/>
      <c r="C105" s="174"/>
      <c r="D105" s="174"/>
      <c r="E105" s="518"/>
      <c r="F105" s="519"/>
      <c r="G105" s="636"/>
      <c r="H105" s="366"/>
      <c r="I105" s="367"/>
      <c r="J105" s="367"/>
      <c r="K105" s="367"/>
      <c r="L105" s="367"/>
      <c r="M105" s="367"/>
      <c r="N105" s="367"/>
      <c r="O105" s="367"/>
      <c r="P105" s="367"/>
      <c r="Q105" s="367"/>
      <c r="R105" s="367"/>
      <c r="S105" s="367"/>
      <c r="T105" s="368"/>
      <c r="U105" s="657"/>
      <c r="V105" s="534"/>
      <c r="W105" s="534"/>
      <c r="X105" s="534"/>
      <c r="Y105" s="534"/>
      <c r="Z105" s="658"/>
      <c r="AA105" s="438"/>
      <c r="AB105" s="439"/>
      <c r="AC105" s="439"/>
      <c r="AD105" s="384"/>
      <c r="AE105" s="384"/>
      <c r="AF105" s="446"/>
      <c r="AG105" s="438"/>
      <c r="AH105" s="439"/>
      <c r="AI105" s="439"/>
      <c r="AJ105" s="384"/>
      <c r="AK105" s="384"/>
      <c r="AL105" s="446"/>
      <c r="AM105" s="444"/>
      <c r="AN105" s="439"/>
      <c r="AO105" s="439"/>
      <c r="AP105" s="384"/>
      <c r="AQ105" s="384"/>
      <c r="AR105" s="448"/>
      <c r="AS105" s="438"/>
      <c r="AT105" s="439"/>
      <c r="AU105" s="439"/>
      <c r="AV105" s="384"/>
      <c r="AW105" s="384"/>
      <c r="AX105" s="446"/>
      <c r="AY105" s="444"/>
      <c r="AZ105" s="439"/>
      <c r="BA105" s="439"/>
      <c r="BB105" s="384"/>
      <c r="BC105" s="384"/>
      <c r="BD105" s="448"/>
      <c r="BE105" s="438"/>
      <c r="BF105" s="439"/>
      <c r="BG105" s="439"/>
      <c r="BH105" s="384"/>
      <c r="BI105" s="384"/>
      <c r="BJ105" s="446"/>
      <c r="BK105" s="501"/>
      <c r="BL105" s="502"/>
      <c r="BM105" s="502"/>
      <c r="BN105" s="502"/>
      <c r="BO105" s="502"/>
      <c r="BP105" s="502"/>
      <c r="BQ105" s="503"/>
      <c r="BR105" s="375"/>
      <c r="BS105" s="375"/>
      <c r="BT105" s="375"/>
      <c r="BU105" s="375"/>
      <c r="BV105" s="375"/>
      <c r="BW105" s="375"/>
      <c r="BX105" s="375"/>
      <c r="BY105" s="376"/>
      <c r="BZ105" s="484"/>
      <c r="CA105" s="399"/>
      <c r="CB105" s="177"/>
    </row>
    <row r="106" spans="2:80" ht="9.9499999999999993" customHeight="1">
      <c r="B106" s="1"/>
      <c r="C106" s="174"/>
      <c r="D106" s="174"/>
      <c r="E106" s="512">
        <v>15.1</v>
      </c>
      <c r="F106" s="513"/>
      <c r="G106" s="637"/>
      <c r="H106" s="348" t="s">
        <v>95</v>
      </c>
      <c r="I106" s="349"/>
      <c r="J106" s="349"/>
      <c r="K106" s="349"/>
      <c r="L106" s="349"/>
      <c r="M106" s="349"/>
      <c r="N106" s="349"/>
      <c r="O106" s="349"/>
      <c r="P106" s="349"/>
      <c r="Q106" s="349"/>
      <c r="R106" s="349"/>
      <c r="S106" s="349"/>
      <c r="T106" s="350"/>
      <c r="U106" s="655" t="s">
        <v>66</v>
      </c>
      <c r="V106" s="536"/>
      <c r="W106" s="536"/>
      <c r="X106" s="536"/>
      <c r="Y106" s="536"/>
      <c r="Z106" s="656"/>
      <c r="AA106" s="438">
        <f>'SPI N-S '!AR26</f>
        <v>1454.9607843137255</v>
      </c>
      <c r="AB106" s="439"/>
      <c r="AC106" s="439"/>
      <c r="AD106" s="384">
        <f>AA106/CLV_Limit</f>
        <v>0.9093504901960785</v>
      </c>
      <c r="AE106" s="384"/>
      <c r="AF106" s="446"/>
      <c r="AG106" s="476"/>
      <c r="AH106" s="441"/>
      <c r="AI106" s="441"/>
      <c r="AJ106" s="441"/>
      <c r="AK106" s="441"/>
      <c r="AL106" s="451"/>
      <c r="AM106" s="444">
        <f>'SPI N-S '!AR40</f>
        <v>1594.4385964912281</v>
      </c>
      <c r="AN106" s="439"/>
      <c r="AO106" s="439"/>
      <c r="AP106" s="384">
        <f>AM106/CLV_Limit</f>
        <v>0.99652412280701752</v>
      </c>
      <c r="AQ106" s="384"/>
      <c r="AR106" s="448"/>
      <c r="AS106" s="476"/>
      <c r="AT106" s="441"/>
      <c r="AU106" s="441"/>
      <c r="AV106" s="441"/>
      <c r="AW106" s="441"/>
      <c r="AX106" s="451"/>
      <c r="AY106" s="440"/>
      <c r="AZ106" s="441"/>
      <c r="BA106" s="441"/>
      <c r="BB106" s="441"/>
      <c r="BC106" s="441"/>
      <c r="BD106" s="478"/>
      <c r="BE106" s="438">
        <f>'SPI N-S '!AR54</f>
        <v>923.03921568627459</v>
      </c>
      <c r="BF106" s="439"/>
      <c r="BG106" s="439"/>
      <c r="BH106" s="384">
        <f>BE106/CLV_Limit</f>
        <v>0.57689950980392157</v>
      </c>
      <c r="BI106" s="384"/>
      <c r="BJ106" s="446"/>
      <c r="BK106" s="501">
        <f>IF((CA106/1600)&gt;1,((CA106/1600)),(CA106/1600))</f>
        <v>0.99652412280701752</v>
      </c>
      <c r="BL106" s="502"/>
      <c r="BM106" s="502"/>
      <c r="BN106" s="502"/>
      <c r="BO106" s="502"/>
      <c r="BP106" s="502"/>
      <c r="BQ106" s="503"/>
      <c r="BR106" s="375">
        <f t="shared" ref="BR106" si="18">RANK(CA106,$CA$90:$CA$109,1)</f>
        <v>7</v>
      </c>
      <c r="BS106" s="375"/>
      <c r="BT106" s="375"/>
      <c r="BU106" s="375"/>
      <c r="BV106" s="375"/>
      <c r="BW106" s="375"/>
      <c r="BX106" s="375"/>
      <c r="BY106" s="376"/>
      <c r="BZ106" s="484">
        <f>IF(MAX(AA106:BJ107)&lt;0.75*CLV_Limit,1,IF(MAX(AA106:BJ107)&lt;0.875*CLV_Limit-1,"2",IF(MAX(AA106:BJ107)&lt;CLV_Limit-1,3,4)))</f>
        <v>3</v>
      </c>
      <c r="CA106" s="400">
        <f>MAX(AA106:BJ107)</f>
        <v>1594.4385964912281</v>
      </c>
      <c r="CB106" s="177"/>
    </row>
    <row r="107" spans="2:80" ht="9.9499999999999993" customHeight="1">
      <c r="B107" s="1"/>
      <c r="C107" s="174"/>
      <c r="D107" s="174"/>
      <c r="E107" s="514"/>
      <c r="F107" s="515"/>
      <c r="G107" s="635"/>
      <c r="H107" s="351"/>
      <c r="I107" s="352"/>
      <c r="J107" s="352"/>
      <c r="K107" s="352"/>
      <c r="L107" s="352"/>
      <c r="M107" s="352"/>
      <c r="N107" s="352"/>
      <c r="O107" s="352"/>
      <c r="P107" s="352"/>
      <c r="Q107" s="352"/>
      <c r="R107" s="352"/>
      <c r="S107" s="352"/>
      <c r="T107" s="353"/>
      <c r="U107" s="651"/>
      <c r="V107" s="532"/>
      <c r="W107" s="532"/>
      <c r="X107" s="532"/>
      <c r="Y107" s="532"/>
      <c r="Z107" s="652"/>
      <c r="AA107" s="438"/>
      <c r="AB107" s="439"/>
      <c r="AC107" s="439"/>
      <c r="AD107" s="384"/>
      <c r="AE107" s="384"/>
      <c r="AF107" s="446"/>
      <c r="AG107" s="476"/>
      <c r="AH107" s="441"/>
      <c r="AI107" s="441"/>
      <c r="AJ107" s="441"/>
      <c r="AK107" s="441"/>
      <c r="AL107" s="451"/>
      <c r="AM107" s="444"/>
      <c r="AN107" s="439"/>
      <c r="AO107" s="439"/>
      <c r="AP107" s="384"/>
      <c r="AQ107" s="384"/>
      <c r="AR107" s="448"/>
      <c r="AS107" s="476"/>
      <c r="AT107" s="441"/>
      <c r="AU107" s="441"/>
      <c r="AV107" s="441"/>
      <c r="AW107" s="441"/>
      <c r="AX107" s="451"/>
      <c r="AY107" s="440"/>
      <c r="AZ107" s="441"/>
      <c r="BA107" s="441"/>
      <c r="BB107" s="441"/>
      <c r="BC107" s="441"/>
      <c r="BD107" s="478"/>
      <c r="BE107" s="438"/>
      <c r="BF107" s="439"/>
      <c r="BG107" s="439"/>
      <c r="BH107" s="384"/>
      <c r="BI107" s="384"/>
      <c r="BJ107" s="446"/>
      <c r="BK107" s="501"/>
      <c r="BL107" s="502"/>
      <c r="BM107" s="502"/>
      <c r="BN107" s="502"/>
      <c r="BO107" s="502"/>
      <c r="BP107" s="502"/>
      <c r="BQ107" s="503"/>
      <c r="BR107" s="375"/>
      <c r="BS107" s="375"/>
      <c r="BT107" s="375"/>
      <c r="BU107" s="375"/>
      <c r="BV107" s="375"/>
      <c r="BW107" s="375"/>
      <c r="BX107" s="375"/>
      <c r="BY107" s="376"/>
      <c r="BZ107" s="484"/>
      <c r="CA107" s="399"/>
      <c r="CB107" s="177"/>
    </row>
    <row r="108" spans="2:80" ht="9.9499999999999993" customHeight="1">
      <c r="B108" s="1"/>
      <c r="C108" s="174"/>
      <c r="D108" s="174"/>
      <c r="E108" s="514">
        <v>15.2</v>
      </c>
      <c r="F108" s="515"/>
      <c r="G108" s="635"/>
      <c r="H108" s="351"/>
      <c r="I108" s="352"/>
      <c r="J108" s="352"/>
      <c r="K108" s="352"/>
      <c r="L108" s="352"/>
      <c r="M108" s="352"/>
      <c r="N108" s="352"/>
      <c r="O108" s="352"/>
      <c r="P108" s="352"/>
      <c r="Q108" s="352"/>
      <c r="R108" s="352"/>
      <c r="S108" s="352"/>
      <c r="T108" s="353"/>
      <c r="U108" s="651" t="s">
        <v>67</v>
      </c>
      <c r="V108" s="532"/>
      <c r="W108" s="532"/>
      <c r="X108" s="532"/>
      <c r="Y108" s="532"/>
      <c r="Z108" s="652"/>
      <c r="AA108" s="438">
        <f>'SPI E-W'!T17</f>
        <v>0</v>
      </c>
      <c r="AB108" s="439"/>
      <c r="AC108" s="439"/>
      <c r="AD108" s="384">
        <f>AA108/CLV_Limit</f>
        <v>0</v>
      </c>
      <c r="AE108" s="384"/>
      <c r="AF108" s="446"/>
      <c r="AG108" s="476"/>
      <c r="AH108" s="441"/>
      <c r="AI108" s="441"/>
      <c r="AJ108" s="441"/>
      <c r="AK108" s="441"/>
      <c r="AL108" s="451"/>
      <c r="AM108" s="444">
        <f>'SPI E-W'!AJ17</f>
        <v>1585.2631578947371</v>
      </c>
      <c r="AN108" s="439"/>
      <c r="AO108" s="439"/>
      <c r="AP108" s="384">
        <f>AM108/CLV_Limit</f>
        <v>0.99078947368421066</v>
      </c>
      <c r="AQ108" s="384"/>
      <c r="AR108" s="448"/>
      <c r="AS108" s="476"/>
      <c r="AT108" s="441"/>
      <c r="AU108" s="441"/>
      <c r="AV108" s="441"/>
      <c r="AW108" s="441"/>
      <c r="AX108" s="451"/>
      <c r="AY108" s="440"/>
      <c r="AZ108" s="441"/>
      <c r="BA108" s="441"/>
      <c r="BB108" s="441"/>
      <c r="BC108" s="441"/>
      <c r="BD108" s="478"/>
      <c r="BE108" s="438">
        <f>'SPI E-W'!AZ17</f>
        <v>1449.392156862745</v>
      </c>
      <c r="BF108" s="439"/>
      <c r="BG108" s="439"/>
      <c r="BH108" s="384">
        <f>BE108/CLV_Limit</f>
        <v>0.90587009803921559</v>
      </c>
      <c r="BI108" s="384"/>
      <c r="BJ108" s="446"/>
      <c r="BK108" s="501">
        <f>IF((CA108/1600)&gt;1,((CA108/1600)),(CA108/1600))</f>
        <v>0.99078947368421066</v>
      </c>
      <c r="BL108" s="502"/>
      <c r="BM108" s="502"/>
      <c r="BN108" s="502"/>
      <c r="BO108" s="502"/>
      <c r="BP108" s="502"/>
      <c r="BQ108" s="503"/>
      <c r="BR108" s="375">
        <f>RANK(CA108,$CA$90:$CA$109,1)</f>
        <v>5</v>
      </c>
      <c r="BS108" s="375"/>
      <c r="BT108" s="375"/>
      <c r="BU108" s="375"/>
      <c r="BV108" s="375"/>
      <c r="BW108" s="375"/>
      <c r="BX108" s="375"/>
      <c r="BY108" s="376"/>
      <c r="BZ108" s="484">
        <f>IF(MAX(AA108:BJ109)&lt;0.75*CLV_Limit,1,IF(MAX(AA108:BJ109)&lt;0.875*CLV_Limit-1,"2",IF(MAX(AA108:BJ109)&lt;CLV_Limit-1,3,4)))</f>
        <v>3</v>
      </c>
      <c r="CA108" s="400">
        <f>MAX(AA108:BJ109)</f>
        <v>1585.2631578947371</v>
      </c>
      <c r="CB108" s="177"/>
    </row>
    <row r="109" spans="2:80" ht="9.9499999999999993" customHeight="1" thickBot="1">
      <c r="B109" s="1"/>
      <c r="C109" s="174"/>
      <c r="D109" s="174"/>
      <c r="E109" s="620"/>
      <c r="F109" s="621"/>
      <c r="G109" s="650"/>
      <c r="H109" s="354"/>
      <c r="I109" s="355"/>
      <c r="J109" s="355"/>
      <c r="K109" s="355"/>
      <c r="L109" s="355"/>
      <c r="M109" s="355"/>
      <c r="N109" s="355"/>
      <c r="O109" s="355"/>
      <c r="P109" s="355"/>
      <c r="Q109" s="355"/>
      <c r="R109" s="355"/>
      <c r="S109" s="355"/>
      <c r="T109" s="356"/>
      <c r="U109" s="653"/>
      <c r="V109" s="622"/>
      <c r="W109" s="622"/>
      <c r="X109" s="622"/>
      <c r="Y109" s="622"/>
      <c r="Z109" s="654"/>
      <c r="AA109" s="452"/>
      <c r="AB109" s="453"/>
      <c r="AC109" s="453"/>
      <c r="AD109" s="472"/>
      <c r="AE109" s="472"/>
      <c r="AF109" s="473"/>
      <c r="AG109" s="482"/>
      <c r="AH109" s="480"/>
      <c r="AI109" s="480"/>
      <c r="AJ109" s="480"/>
      <c r="AK109" s="480"/>
      <c r="AL109" s="483"/>
      <c r="AM109" s="477"/>
      <c r="AN109" s="453"/>
      <c r="AO109" s="453"/>
      <c r="AP109" s="472"/>
      <c r="AQ109" s="472"/>
      <c r="AR109" s="474"/>
      <c r="AS109" s="482"/>
      <c r="AT109" s="480"/>
      <c r="AU109" s="480"/>
      <c r="AV109" s="480"/>
      <c r="AW109" s="480"/>
      <c r="AX109" s="483"/>
      <c r="AY109" s="479"/>
      <c r="AZ109" s="480"/>
      <c r="BA109" s="480"/>
      <c r="BB109" s="480"/>
      <c r="BC109" s="480"/>
      <c r="BD109" s="481"/>
      <c r="BE109" s="452"/>
      <c r="BF109" s="453"/>
      <c r="BG109" s="453"/>
      <c r="BH109" s="472"/>
      <c r="BI109" s="472"/>
      <c r="BJ109" s="473"/>
      <c r="BK109" s="666"/>
      <c r="BL109" s="667"/>
      <c r="BM109" s="667"/>
      <c r="BN109" s="667"/>
      <c r="BO109" s="667"/>
      <c r="BP109" s="667"/>
      <c r="BQ109" s="668"/>
      <c r="BR109" s="627"/>
      <c r="BS109" s="627"/>
      <c r="BT109" s="627"/>
      <c r="BU109" s="627"/>
      <c r="BV109" s="627"/>
      <c r="BW109" s="627"/>
      <c r="BX109" s="627"/>
      <c r="BY109" s="628"/>
      <c r="BZ109" s="484"/>
      <c r="CA109" s="399"/>
      <c r="CB109" s="177"/>
    </row>
    <row r="110" spans="2:80" ht="9.9499999999999993" customHeight="1">
      <c r="B110" s="1"/>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7"/>
    </row>
    <row r="111" spans="2:80" ht="9.9499999999999993" customHeight="1" thickBot="1">
      <c r="B111" s="12"/>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71"/>
    </row>
    <row r="112" spans="2:80" ht="2.85" customHeight="1">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row>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9.9499999999999993"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row r="158" ht="9.9499999999999993" hidden="1" customHeight="1"/>
    <row r="159" ht="9.9499999999999993" hidden="1" customHeight="1"/>
    <row r="160" ht="9.9499999999999993" hidden="1" customHeight="1"/>
    <row r="161" ht="9.9499999999999993" hidden="1" customHeight="1"/>
    <row r="162" ht="9.9499999999999993" hidden="1" customHeight="1"/>
    <row r="163" ht="9.9499999999999993" hidden="1" customHeight="1"/>
    <row r="164" ht="9.9499999999999993" hidden="1" customHeight="1"/>
    <row r="165" ht="9.9499999999999993" hidden="1" customHeight="1"/>
    <row r="166" ht="9.9499999999999993" hidden="1" customHeight="1"/>
    <row r="167" ht="9.9499999999999993" hidden="1" customHeight="1"/>
    <row r="168" ht="9.9499999999999993" hidden="1" customHeight="1"/>
    <row r="169" ht="9.9499999999999993" hidden="1" customHeight="1"/>
    <row r="170" ht="9.9499999999999993" hidden="1" customHeight="1"/>
    <row r="171" ht="9.9499999999999993" hidden="1" customHeight="1"/>
    <row r="172" ht="9.9499999999999993" hidden="1" customHeight="1"/>
    <row r="173" ht="9.9499999999999993" hidden="1" customHeight="1"/>
    <row r="174" ht="9.9499999999999993" hidden="1" customHeight="1"/>
    <row r="175" ht="9.9499999999999993" hidden="1" customHeight="1"/>
    <row r="176" ht="9.9499999999999993" hidden="1" customHeight="1"/>
    <row r="177" ht="9.9499999999999993" hidden="1" customHeight="1"/>
    <row r="178" ht="9.9499999999999993" hidden="1" customHeight="1"/>
    <row r="179" ht="9.9499999999999993" hidden="1" customHeight="1"/>
    <row r="180" ht="9.9499999999999993" hidden="1" customHeight="1"/>
    <row r="181" ht="9.9499999999999993" hidden="1" customHeight="1"/>
    <row r="182" ht="9.9499999999999993" hidden="1" customHeight="1"/>
    <row r="183" ht="9.9499999999999993" hidden="1" customHeight="1"/>
    <row r="184" ht="9.9499999999999993" hidden="1" customHeight="1"/>
    <row r="185" ht="9.9499999999999993" hidden="1" customHeight="1"/>
    <row r="186" ht="9.9499999999999993" hidden="1" customHeight="1"/>
    <row r="187" ht="9.9499999999999993" hidden="1" customHeight="1"/>
    <row r="188" ht="9.9499999999999993" hidden="1" customHeight="1"/>
    <row r="189" ht="9.9499999999999993" hidden="1" customHeight="1"/>
    <row r="190" ht="9.9499999999999993" hidden="1" customHeight="1"/>
    <row r="191" ht="9.9499999999999993" hidden="1" customHeight="1"/>
    <row r="192" ht="9.9499999999999993" hidden="1" customHeight="1"/>
    <row r="193" ht="9.9499999999999993" hidden="1" customHeight="1"/>
    <row r="194" ht="9.9499999999999993" hidden="1" customHeight="1"/>
    <row r="195" ht="9.9499999999999993" hidden="1" customHeight="1"/>
    <row r="196" ht="9.9499999999999993" hidden="1" customHeight="1"/>
    <row r="197" ht="9.9499999999999993" hidden="1" customHeight="1"/>
    <row r="198" ht="9.9499999999999993" hidden="1" customHeight="1"/>
    <row r="199" ht="9.9499999999999993" hidden="1" customHeight="1"/>
    <row r="200" ht="9.9499999999999993" hidden="1" customHeight="1"/>
    <row r="201" ht="9.9499999999999993" hidden="1" customHeight="1"/>
    <row r="202" ht="9.9499999999999993" hidden="1" customHeight="1"/>
    <row r="203" ht="9.9499999999999993" hidden="1" customHeight="1"/>
    <row r="204" ht="9.9499999999999993" hidden="1" customHeight="1"/>
    <row r="205" ht="9.9499999999999993" hidden="1" customHeight="1"/>
    <row r="206" ht="9.9499999999999993" hidden="1" customHeight="1"/>
    <row r="207" ht="9.9499999999999993" hidden="1" customHeight="1"/>
    <row r="208" ht="9.9499999999999993" hidden="1" customHeight="1"/>
    <row r="209" ht="9.9499999999999993" hidden="1" customHeight="1"/>
    <row r="210" ht="9.9499999999999993" hidden="1" customHeight="1"/>
    <row r="211" ht="9.9499999999999993" hidden="1" customHeight="1"/>
    <row r="212" ht="9.9499999999999993" hidden="1" customHeight="1"/>
    <row r="213" ht="9.9499999999999993" hidden="1" customHeight="1"/>
    <row r="214" ht="9.9499999999999993" hidden="1" customHeight="1"/>
    <row r="215" ht="9.9499999999999993" hidden="1" customHeight="1"/>
    <row r="216" ht="9.9499999999999993" hidden="1" customHeight="1"/>
    <row r="217" ht="9.9499999999999993" hidden="1" customHeight="1"/>
    <row r="218" ht="9.9499999999999993" hidden="1" customHeight="1"/>
    <row r="219" ht="9.9499999999999993" hidden="1" customHeight="1"/>
    <row r="220" ht="9.9499999999999993" hidden="1" customHeight="1"/>
    <row r="221" ht="9.9499999999999993" hidden="1" customHeight="1"/>
    <row r="222" ht="9.9499999999999993" hidden="1" customHeight="1"/>
    <row r="223" ht="9.9499999999999993" hidden="1" customHeight="1"/>
    <row r="224" ht="9.9499999999999993" hidden="1" customHeight="1"/>
    <row r="225" ht="9.9499999999999993" hidden="1" customHeight="1"/>
    <row r="226" ht="9.9499999999999993" hidden="1" customHeight="1"/>
    <row r="227" ht="9.9499999999999993" hidden="1" customHeight="1"/>
    <row r="228" ht="9.9499999999999993" hidden="1" customHeight="1"/>
    <row r="229" ht="9.9499999999999993" hidden="1" customHeight="1"/>
    <row r="230" ht="9.9499999999999993" hidden="1" customHeight="1"/>
    <row r="231" ht="9.9499999999999993" hidden="1" customHeight="1"/>
    <row r="232" ht="9.9499999999999993" hidden="1" customHeight="1"/>
    <row r="233" ht="9.9499999999999993" hidden="1" customHeight="1"/>
    <row r="234" ht="9.9499999999999993" hidden="1" customHeight="1"/>
    <row r="235" ht="9.9499999999999993" hidden="1" customHeight="1"/>
    <row r="236" ht="9.9499999999999993" hidden="1" customHeight="1"/>
    <row r="237" ht="9.9499999999999993" hidden="1" customHeight="1"/>
    <row r="238" ht="9.9499999999999993" hidden="1" customHeight="1"/>
    <row r="239" ht="9.9499999999999993" hidden="1" customHeight="1"/>
    <row r="240" ht="9.9499999999999993" hidden="1" customHeight="1"/>
    <row r="241" ht="9.9499999999999993" hidden="1" customHeight="1"/>
    <row r="242" ht="9.9499999999999993" hidden="1" customHeight="1"/>
    <row r="243" ht="9.9499999999999993" hidden="1" customHeight="1"/>
    <row r="244" ht="9.9499999999999993" hidden="1" customHeight="1"/>
    <row r="245" ht="9.9499999999999993" hidden="1" customHeight="1"/>
    <row r="246" ht="9.9499999999999993" hidden="1" customHeight="1"/>
    <row r="247" ht="9.9499999999999993" hidden="1" customHeight="1"/>
    <row r="248" ht="9.9499999999999993" hidden="1" customHeight="1"/>
    <row r="249" ht="9.9499999999999993" hidden="1" customHeight="1"/>
    <row r="250" ht="9.9499999999999993" hidden="1" customHeight="1"/>
    <row r="251" ht="9.9499999999999993" hidden="1" customHeight="1"/>
    <row r="252" ht="9.9499999999999993" hidden="1" customHeight="1"/>
    <row r="253" ht="9.9499999999999993" hidden="1" customHeight="1"/>
    <row r="254" ht="9.9499999999999993" hidden="1" customHeight="1"/>
    <row r="255" ht="9.9499999999999993" hidden="1" customHeight="1"/>
    <row r="256" ht="9.9499999999999993" hidden="1" customHeight="1"/>
    <row r="257" ht="9.9499999999999993" hidden="1" customHeight="1"/>
    <row r="258" ht="9.9499999999999993" hidden="1" customHeight="1"/>
    <row r="259" ht="9.9499999999999993" hidden="1" customHeight="1"/>
    <row r="260" ht="9.9499999999999993" hidden="1" customHeight="1"/>
    <row r="261" ht="9.9499999999999993" hidden="1" customHeight="1"/>
    <row r="262" ht="9.9499999999999993" hidden="1" customHeight="1"/>
    <row r="263" ht="9.9499999999999993" hidden="1" customHeight="1"/>
    <row r="264" ht="9.9499999999999993" hidden="1" customHeight="1"/>
    <row r="265" ht="9.9499999999999993" hidden="1" customHeight="1"/>
    <row r="266" ht="9.9499999999999993" hidden="1" customHeight="1"/>
    <row r="267" ht="9.9499999999999993" hidden="1" customHeight="1"/>
    <row r="268" ht="9.9499999999999993" hidden="1" customHeight="1"/>
    <row r="269" ht="9.9499999999999993" hidden="1" customHeight="1"/>
    <row r="270" ht="9.9499999999999993" hidden="1" customHeight="1"/>
    <row r="271" ht="9.9499999999999993" hidden="1" customHeight="1"/>
    <row r="272" ht="9.9499999999999993" hidden="1" customHeight="1"/>
    <row r="273" ht="9.9499999999999993" hidden="1" customHeight="1"/>
    <row r="274" ht="9.9499999999999993" hidden="1" customHeight="1"/>
    <row r="275" ht="9.9499999999999993" hidden="1" customHeight="1"/>
    <row r="276" ht="9.9499999999999993" hidden="1" customHeight="1"/>
    <row r="277" ht="9.9499999999999993" hidden="1" customHeight="1"/>
    <row r="278" ht="9.9499999999999993" hidden="1" customHeight="1"/>
    <row r="279" ht="9.9499999999999993" hidden="1" customHeight="1"/>
    <row r="280" ht="9.9499999999999993" hidden="1" customHeight="1"/>
    <row r="281" ht="9.9499999999999993" hidden="1" customHeight="1"/>
    <row r="282" ht="9.9499999999999993" hidden="1" customHeight="1"/>
    <row r="283" ht="9.9499999999999993" hidden="1" customHeight="1"/>
    <row r="284" ht="9.9499999999999993" hidden="1" customHeight="1"/>
    <row r="285" ht="9.9499999999999993" hidden="1" customHeight="1"/>
    <row r="286" ht="9.9499999999999993" hidden="1" customHeight="1"/>
    <row r="287" ht="9.9499999999999993" hidden="1" customHeight="1"/>
    <row r="288" ht="9.9499999999999993" hidden="1" customHeight="1"/>
    <row r="289" ht="9.9499999999999993" hidden="1" customHeight="1"/>
    <row r="290" ht="9.9499999999999993" hidden="1" customHeight="1"/>
    <row r="291" ht="9.9499999999999993" hidden="1" customHeight="1"/>
    <row r="292" ht="9.9499999999999993" hidden="1" customHeight="1"/>
    <row r="293" ht="9.9499999999999993" hidden="1" customHeight="1"/>
    <row r="294" ht="9.9499999999999993" hidden="1" customHeight="1"/>
    <row r="295" ht="9.9499999999999993" hidden="1" customHeight="1"/>
    <row r="296" ht="9.9499999999999993" hidden="1" customHeight="1"/>
    <row r="297" ht="9.9499999999999993" hidden="1" customHeight="1"/>
    <row r="298" ht="9.9499999999999993" hidden="1" customHeight="1"/>
    <row r="299" ht="9.9499999999999993" hidden="1" customHeight="1"/>
    <row r="300" ht="9.9499999999999993" hidden="1" customHeight="1"/>
    <row r="301" ht="9.9499999999999993" hidden="1" customHeight="1"/>
    <row r="302" ht="9.9499999999999993" hidden="1" customHeight="1"/>
    <row r="303" ht="9.9499999999999993" hidden="1" customHeight="1"/>
    <row r="304" ht="9.9499999999999993" hidden="1" customHeight="1"/>
    <row r="305" ht="9.9499999999999993" hidden="1" customHeight="1"/>
    <row r="306" ht="9.9499999999999993" hidden="1" customHeight="1"/>
    <row r="307" ht="9.9499999999999993" hidden="1" customHeight="1"/>
    <row r="308" ht="9.9499999999999993" hidden="1" customHeight="1"/>
    <row r="309" ht="9.9499999999999993" hidden="1" customHeight="1"/>
    <row r="310" ht="9.9499999999999993" hidden="1" customHeight="1"/>
    <row r="311" ht="9.9499999999999993" hidden="1" customHeight="1"/>
    <row r="312" ht="9.9499999999999993" hidden="1" customHeight="1"/>
    <row r="313" ht="9.9499999999999993" hidden="1" customHeight="1"/>
    <row r="314" ht="9.9499999999999993" hidden="1" customHeight="1"/>
    <row r="315" ht="9.9499999999999993" hidden="1" customHeight="1"/>
    <row r="316" ht="9.9499999999999993" hidden="1" customHeight="1"/>
    <row r="317" ht="9.9499999999999993" hidden="1" customHeight="1"/>
    <row r="318" ht="9.9499999999999993" hidden="1" customHeight="1"/>
    <row r="319" ht="9.9499999999999993" hidden="1" customHeight="1"/>
    <row r="320" ht="9.9499999999999993" hidden="1" customHeight="1"/>
    <row r="321" ht="9.9499999999999993" hidden="1" customHeight="1"/>
    <row r="322" ht="9.9499999999999993" hidden="1" customHeight="1"/>
    <row r="323" ht="9.9499999999999993" hidden="1" customHeight="1"/>
    <row r="324" ht="9.9499999999999993" hidden="1" customHeight="1"/>
    <row r="325" ht="9.9499999999999993" hidden="1" customHeight="1"/>
    <row r="326" ht="9.9499999999999993" hidden="1" customHeight="1"/>
    <row r="327" ht="9.9499999999999993" hidden="1" customHeight="1"/>
    <row r="328" ht="9.9499999999999993" hidden="1" customHeight="1"/>
    <row r="329" ht="9.9499999999999993" hidden="1" customHeight="1"/>
    <row r="330" ht="9.9499999999999993" hidden="1" customHeight="1"/>
    <row r="331" ht="9.9499999999999993" hidden="1" customHeight="1"/>
    <row r="332" ht="9.9499999999999993" hidden="1" customHeight="1"/>
    <row r="333" ht="9.9499999999999993" hidden="1" customHeight="1"/>
    <row r="334" ht="9.9499999999999993" hidden="1" customHeight="1"/>
    <row r="335" ht="9.9499999999999993" hidden="1" customHeight="1"/>
    <row r="336" ht="9.9499999999999993" hidden="1" customHeight="1"/>
    <row r="337" ht="9.9499999999999993" hidden="1" customHeight="1"/>
    <row r="338" ht="9.9499999999999993" hidden="1" customHeight="1"/>
    <row r="339" ht="9.9499999999999993" hidden="1" customHeight="1"/>
    <row r="340" ht="9.9499999999999993" hidden="1" customHeight="1"/>
    <row r="341" ht="9.9499999999999993" hidden="1" customHeight="1"/>
    <row r="342" ht="9.9499999999999993" hidden="1" customHeight="1"/>
    <row r="343" ht="9.9499999999999993" hidden="1" customHeight="1"/>
    <row r="344" ht="9.9499999999999993" hidden="1" customHeight="1"/>
    <row r="345" ht="9.9499999999999993" hidden="1" customHeight="1"/>
    <row r="346" ht="9.9499999999999993" hidden="1" customHeight="1"/>
    <row r="347" ht="9.9499999999999993" hidden="1" customHeight="1"/>
    <row r="348" ht="9.9499999999999993" hidden="1" customHeight="1"/>
    <row r="349" ht="9.9499999999999993" hidden="1" customHeight="1"/>
    <row r="350" ht="9.9499999999999993" hidden="1" customHeight="1"/>
    <row r="351" ht="9.9499999999999993" hidden="1" customHeight="1"/>
    <row r="352" ht="9.9499999999999993" hidden="1" customHeight="1"/>
    <row r="353" ht="9.9499999999999993" hidden="1" customHeight="1"/>
    <row r="354" ht="9.9499999999999993" hidden="1" customHeight="1"/>
    <row r="355" ht="9.9499999999999993" hidden="1" customHeight="1"/>
    <row r="356" ht="9.9499999999999993" hidden="1" customHeight="1"/>
    <row r="357" ht="9.9499999999999993" hidden="1" customHeight="1"/>
    <row r="358" ht="9.9499999999999993" hidden="1" customHeight="1"/>
    <row r="359" ht="9.9499999999999993" hidden="1" customHeight="1"/>
    <row r="360" ht="9.9499999999999993" hidden="1" customHeight="1"/>
    <row r="361" ht="9.9499999999999993" hidden="1" customHeight="1"/>
    <row r="362" ht="9.9499999999999993" hidden="1" customHeight="1"/>
    <row r="363" ht="9.9499999999999993" hidden="1" customHeight="1"/>
    <row r="364" ht="9.9499999999999993" hidden="1" customHeight="1"/>
    <row r="365" ht="9.9499999999999993" hidden="1" customHeight="1"/>
    <row r="366" ht="9.9499999999999993" hidden="1" customHeight="1"/>
    <row r="367" ht="9.9499999999999993" hidden="1" customHeight="1"/>
    <row r="368" ht="9.9499999999999993" hidden="1" customHeight="1"/>
    <row r="369" ht="9.9499999999999993" hidden="1" customHeight="1"/>
    <row r="370" ht="9.9499999999999993" hidden="1" customHeight="1"/>
    <row r="371" ht="9.9499999999999993" hidden="1" customHeight="1"/>
    <row r="372" ht="9.9499999999999993" hidden="1" customHeight="1"/>
    <row r="373" ht="9.9499999999999993" hidden="1" customHeight="1"/>
    <row r="374" ht="9.9499999999999993" hidden="1" customHeight="1"/>
    <row r="375" ht="9.9499999999999993" hidden="1" customHeight="1"/>
    <row r="376" ht="9.9499999999999993" hidden="1" customHeight="1"/>
    <row r="377" ht="9.9499999999999993" hidden="1" customHeight="1"/>
    <row r="378" ht="9.9499999999999993" hidden="1" customHeight="1"/>
    <row r="379" ht="9.9499999999999993" hidden="1" customHeight="1"/>
    <row r="380" ht="9.9499999999999993" hidden="1" customHeight="1"/>
    <row r="381" ht="9.9499999999999993" hidden="1" customHeight="1"/>
    <row r="382" ht="9.9499999999999993" hidden="1" customHeight="1"/>
    <row r="383" ht="9.9499999999999993" hidden="1" customHeight="1"/>
    <row r="384" ht="9.9499999999999993" hidden="1" customHeight="1"/>
    <row r="385" ht="9.9499999999999993" hidden="1" customHeight="1"/>
    <row r="386" ht="9.9499999999999993" hidden="1" customHeight="1"/>
    <row r="387" ht="9.9499999999999993" hidden="1" customHeight="1"/>
    <row r="388" ht="9.9499999999999993" hidden="1" customHeight="1"/>
    <row r="389" ht="9.9499999999999993" hidden="1" customHeight="1"/>
    <row r="390" ht="9.9499999999999993" hidden="1" customHeight="1"/>
    <row r="391" ht="9.9499999999999993" hidden="1" customHeight="1"/>
    <row r="392" ht="9.9499999999999993" hidden="1" customHeight="1"/>
    <row r="393" ht="9.9499999999999993" hidden="1" customHeight="1"/>
    <row r="394" ht="9.9499999999999993" hidden="1" customHeight="1"/>
    <row r="395" ht="9.9499999999999993" hidden="1" customHeight="1"/>
    <row r="396" ht="9.9499999999999993" hidden="1" customHeight="1"/>
    <row r="397" ht="9.9499999999999993" hidden="1" customHeight="1"/>
    <row r="398" ht="9.9499999999999993" hidden="1" customHeight="1"/>
    <row r="399" ht="9.9499999999999993" hidden="1" customHeight="1"/>
    <row r="400" ht="9.9499999999999993" hidden="1" customHeight="1"/>
    <row r="401" ht="9.9499999999999993" hidden="1" customHeight="1"/>
    <row r="402" ht="9.9499999999999993" hidden="1" customHeight="1"/>
    <row r="403" ht="9.9499999999999993" hidden="1" customHeight="1"/>
    <row r="404" ht="9.9499999999999993" hidden="1" customHeight="1"/>
    <row r="405" ht="9.9499999999999993" hidden="1" customHeight="1"/>
    <row r="406" ht="9.9499999999999993" hidden="1" customHeight="1"/>
    <row r="407" ht="9.9499999999999993" hidden="1" customHeight="1"/>
    <row r="408" ht="9.9499999999999993" hidden="1" customHeight="1"/>
    <row r="409" ht="9.9499999999999993" hidden="1" customHeight="1"/>
    <row r="410" ht="9.9499999999999993" hidden="1" customHeight="1"/>
    <row r="411" ht="9.9499999999999993" hidden="1" customHeight="1"/>
    <row r="412" ht="9.9499999999999993" hidden="1" customHeight="1"/>
    <row r="413" ht="9.9499999999999993" hidden="1" customHeight="1"/>
    <row r="414" ht="9.9499999999999993" hidden="1" customHeight="1"/>
    <row r="415" ht="9.9499999999999993" hidden="1" customHeight="1"/>
    <row r="416" ht="9.9499999999999993" hidden="1" customHeight="1"/>
    <row r="417" ht="9.9499999999999993" hidden="1" customHeight="1"/>
    <row r="418" ht="9.9499999999999993" hidden="1" customHeight="1"/>
    <row r="419" ht="9.9499999999999993" hidden="1" customHeight="1"/>
    <row r="420" ht="9.9499999999999993" hidden="1" customHeight="1"/>
    <row r="421" ht="9.9499999999999993" hidden="1" customHeight="1"/>
    <row r="422" ht="9.9499999999999993" hidden="1" customHeight="1"/>
    <row r="423" ht="9.9499999999999993" hidden="1" customHeight="1"/>
    <row r="424" ht="9.9499999999999993" hidden="1" customHeight="1"/>
    <row r="425" ht="9.9499999999999993" hidden="1" customHeight="1"/>
    <row r="426" ht="9.9499999999999993" hidden="1" customHeight="1"/>
    <row r="427" ht="9.9499999999999993" hidden="1" customHeight="1"/>
    <row r="428" ht="9.9499999999999993" hidden="1" customHeight="1"/>
    <row r="429" ht="9.9499999999999993" hidden="1" customHeight="1"/>
    <row r="430" ht="9.9499999999999993" hidden="1" customHeight="1"/>
    <row r="431" ht="9.9499999999999993" hidden="1" customHeight="1"/>
    <row r="432" ht="9.9499999999999993" hidden="1" customHeight="1"/>
    <row r="433" ht="9.9499999999999993" hidden="1" customHeight="1"/>
    <row r="434" ht="9.9499999999999993" hidden="1" customHeight="1"/>
    <row r="435" ht="9.9499999999999993" hidden="1" customHeight="1"/>
    <row r="436" ht="9.9499999999999993" hidden="1" customHeight="1"/>
    <row r="437" ht="9.9499999999999993" hidden="1" customHeight="1"/>
    <row r="438" ht="9.9499999999999993" hidden="1" customHeight="1"/>
    <row r="439" ht="9.9499999999999993" hidden="1" customHeight="1"/>
    <row r="440" ht="9.9499999999999993" hidden="1" customHeight="1"/>
    <row r="441" ht="9.9499999999999993" hidden="1" customHeight="1"/>
    <row r="442" ht="9.9499999999999993" hidden="1" customHeight="1"/>
    <row r="443" ht="9.9499999999999993" hidden="1" customHeight="1"/>
    <row r="444" ht="9.9499999999999993" hidden="1" customHeight="1"/>
    <row r="445" ht="9.9499999999999993" hidden="1" customHeight="1"/>
    <row r="446" ht="9.9499999999999993" hidden="1" customHeight="1"/>
    <row r="447" ht="9.9499999999999993" hidden="1" customHeight="1"/>
    <row r="448" ht="9.9499999999999993" hidden="1" customHeight="1"/>
    <row r="449" ht="9.9499999999999993" hidden="1" customHeight="1"/>
    <row r="450" ht="9.9499999999999993" hidden="1" customHeight="1"/>
    <row r="451" ht="9.9499999999999993" hidden="1" customHeight="1"/>
    <row r="452" ht="9.9499999999999993" hidden="1" customHeight="1"/>
    <row r="453" ht="9.9499999999999993" hidden="1" customHeight="1"/>
    <row r="454" ht="9.9499999999999993" hidden="1" customHeight="1"/>
    <row r="455" ht="9.9499999999999993" hidden="1" customHeight="1"/>
    <row r="456" ht="9.9499999999999993" hidden="1" customHeight="1"/>
    <row r="457" ht="9.9499999999999993" hidden="1" customHeight="1"/>
    <row r="458" ht="9.9499999999999993" hidden="1" customHeight="1"/>
    <row r="459" ht="9.9499999999999993" hidden="1" customHeight="1"/>
    <row r="460" ht="9.9499999999999993" hidden="1" customHeight="1"/>
    <row r="461" ht="9.9499999999999993" hidden="1" customHeight="1"/>
    <row r="462" ht="9.9499999999999993" hidden="1" customHeight="1"/>
    <row r="463" ht="9.9499999999999993" hidden="1" customHeight="1"/>
    <row r="464" ht="9.9499999999999993" hidden="1" customHeight="1"/>
    <row r="465" ht="9.9499999999999993" hidden="1" customHeight="1"/>
    <row r="466" ht="9.9499999999999993" hidden="1" customHeight="1"/>
    <row r="467" ht="9.9499999999999993" hidden="1" customHeight="1"/>
    <row r="468" ht="9.9499999999999993" hidden="1" customHeight="1"/>
    <row r="469" ht="9.9499999999999993" hidden="1" customHeight="1"/>
    <row r="470" ht="9.9499999999999993" hidden="1" customHeight="1"/>
    <row r="471" ht="9.9499999999999993" hidden="1" customHeight="1"/>
    <row r="472" ht="9.9499999999999993" hidden="1" customHeight="1"/>
    <row r="473" ht="9.9499999999999993" hidden="1" customHeight="1"/>
    <row r="474" ht="9.9499999999999993" hidden="1" customHeight="1"/>
    <row r="475" ht="9.9499999999999993" hidden="1" customHeight="1"/>
    <row r="476" ht="9.9499999999999993" hidden="1" customHeight="1"/>
    <row r="477" ht="9.9499999999999993" hidden="1" customHeight="1"/>
    <row r="478" ht="9.9499999999999993" hidden="1" customHeight="1"/>
    <row r="479" ht="9.9499999999999993" hidden="1" customHeight="1"/>
    <row r="480" ht="9.9499999999999993" hidden="1" customHeight="1"/>
    <row r="481" ht="9.9499999999999993" hidden="1" customHeight="1"/>
    <row r="482" ht="9.9499999999999993" hidden="1" customHeight="1"/>
    <row r="483" ht="9.9499999999999993" hidden="1" customHeight="1"/>
    <row r="484" ht="9.9499999999999993" hidden="1" customHeight="1"/>
  </sheetData>
  <sheetProtection sheet="1" objects="1" scenarios="1" selectLockedCells="1"/>
  <mergeCells count="647">
    <mergeCell ref="AM24:AO25"/>
    <mergeCell ref="AP24:AR25"/>
    <mergeCell ref="AM26:AO27"/>
    <mergeCell ref="AP26:AR27"/>
    <mergeCell ref="AP40:AR41"/>
    <mergeCell ref="AP42:AR43"/>
    <mergeCell ref="AY40:BA41"/>
    <mergeCell ref="AY42:BA43"/>
    <mergeCell ref="BB44:BD45"/>
    <mergeCell ref="AM28:AO29"/>
    <mergeCell ref="AY28:BA29"/>
    <mergeCell ref="AS30:AU31"/>
    <mergeCell ref="AM32:AO33"/>
    <mergeCell ref="AS32:AU33"/>
    <mergeCell ref="AV28:AX29"/>
    <mergeCell ref="AS34:AU35"/>
    <mergeCell ref="AV34:AX35"/>
    <mergeCell ref="AP44:AR45"/>
    <mergeCell ref="BE40:BG41"/>
    <mergeCell ref="AY36:BA37"/>
    <mergeCell ref="BB36:BD37"/>
    <mergeCell ref="BH34:BJ35"/>
    <mergeCell ref="BE28:BG29"/>
    <mergeCell ref="BE30:BG31"/>
    <mergeCell ref="BE32:BG33"/>
    <mergeCell ref="BH32:BJ33"/>
    <mergeCell ref="AY32:BA33"/>
    <mergeCell ref="BB32:BD33"/>
    <mergeCell ref="AG30:AI31"/>
    <mergeCell ref="BE42:BG43"/>
    <mergeCell ref="BH42:BJ43"/>
    <mergeCell ref="AS24:AU25"/>
    <mergeCell ref="AV24:AX25"/>
    <mergeCell ref="AS26:AU27"/>
    <mergeCell ref="AV26:AX27"/>
    <mergeCell ref="AM30:AO31"/>
    <mergeCell ref="AG24:AI25"/>
    <mergeCell ref="AJ24:AL25"/>
    <mergeCell ref="AG26:AI27"/>
    <mergeCell ref="AJ26:AL27"/>
    <mergeCell ref="AP30:AR31"/>
    <mergeCell ref="BH38:BJ39"/>
    <mergeCell ref="BH40:BJ41"/>
    <mergeCell ref="AG28:AI29"/>
    <mergeCell ref="AJ28:AL29"/>
    <mergeCell ref="BH26:BJ27"/>
    <mergeCell ref="AY24:BA25"/>
    <mergeCell ref="BB24:BD25"/>
    <mergeCell ref="AY26:BA27"/>
    <mergeCell ref="AS28:AU29"/>
    <mergeCell ref="BE24:BG25"/>
    <mergeCell ref="BH24:BJ25"/>
    <mergeCell ref="BR20:BY23"/>
    <mergeCell ref="AA20:AF23"/>
    <mergeCell ref="H20:Z23"/>
    <mergeCell ref="E20:G23"/>
    <mergeCell ref="BE22:BG23"/>
    <mergeCell ref="BH22:BJ23"/>
    <mergeCell ref="AG22:AI23"/>
    <mergeCell ref="AJ22:AL23"/>
    <mergeCell ref="AM22:AO23"/>
    <mergeCell ref="AP22:AR23"/>
    <mergeCell ref="AS22:AU23"/>
    <mergeCell ref="AV22:AX23"/>
    <mergeCell ref="AY22:BA23"/>
    <mergeCell ref="BB22:BD23"/>
    <mergeCell ref="AG20:AL21"/>
    <mergeCell ref="AM20:AR21"/>
    <mergeCell ref="AS20:AX21"/>
    <mergeCell ref="AY20:BD21"/>
    <mergeCell ref="BE20:BJ21"/>
    <mergeCell ref="BK20:BQ23"/>
    <mergeCell ref="BH50:BJ51"/>
    <mergeCell ref="BH52:BJ53"/>
    <mergeCell ref="AJ30:AL31"/>
    <mergeCell ref="AP28:AR29"/>
    <mergeCell ref="AV30:AX31"/>
    <mergeCell ref="BB28:BD29"/>
    <mergeCell ref="BB34:BD35"/>
    <mergeCell ref="AV32:AX33"/>
    <mergeCell ref="AP32:AR33"/>
    <mergeCell ref="AJ34:AL35"/>
    <mergeCell ref="AJ36:AL37"/>
    <mergeCell ref="AP36:AR37"/>
    <mergeCell ref="AV38:AX39"/>
    <mergeCell ref="AV40:AX41"/>
    <mergeCell ref="AV42:AX43"/>
    <mergeCell ref="AV44:AX45"/>
    <mergeCell ref="BB38:BD39"/>
    <mergeCell ref="BB40:BD41"/>
    <mergeCell ref="BB42:BD43"/>
    <mergeCell ref="BE34:BG35"/>
    <mergeCell ref="BE48:BG49"/>
    <mergeCell ref="BE44:BG45"/>
    <mergeCell ref="AJ40:AL41"/>
    <mergeCell ref="AJ42:AL43"/>
    <mergeCell ref="CA81:CA82"/>
    <mergeCell ref="AM81:AP82"/>
    <mergeCell ref="AQ81:AT82"/>
    <mergeCell ref="CA75:CA76"/>
    <mergeCell ref="CA73:CA74"/>
    <mergeCell ref="CA48:CA49"/>
    <mergeCell ref="BR48:BY49"/>
    <mergeCell ref="BR44:BY45"/>
    <mergeCell ref="BZ44:BZ45"/>
    <mergeCell ref="BZ46:BZ47"/>
    <mergeCell ref="BE46:BG47"/>
    <mergeCell ref="BK44:BQ45"/>
    <mergeCell ref="BK46:BQ47"/>
    <mergeCell ref="BH46:BJ47"/>
    <mergeCell ref="BH44:BJ45"/>
    <mergeCell ref="AY46:BA47"/>
    <mergeCell ref="CA79:CA80"/>
    <mergeCell ref="BB46:BD47"/>
    <mergeCell ref="AM69:AP70"/>
    <mergeCell ref="AQ69:AT70"/>
    <mergeCell ref="AU69:AX70"/>
    <mergeCell ref="AY69:BB70"/>
    <mergeCell ref="BC69:BF70"/>
    <mergeCell ref="BG69:BJ70"/>
    <mergeCell ref="E79:G80"/>
    <mergeCell ref="E81:G82"/>
    <mergeCell ref="AS86:AX87"/>
    <mergeCell ref="BR79:BY80"/>
    <mergeCell ref="BR81:BY82"/>
    <mergeCell ref="AQ77:AT78"/>
    <mergeCell ref="AQ79:AT80"/>
    <mergeCell ref="AM88:AO89"/>
    <mergeCell ref="AA88:AC89"/>
    <mergeCell ref="AD88:AF89"/>
    <mergeCell ref="AA86:AF87"/>
    <mergeCell ref="AM86:AR87"/>
    <mergeCell ref="AM79:AP80"/>
    <mergeCell ref="AP88:AR89"/>
    <mergeCell ref="H81:N82"/>
    <mergeCell ref="W77:Z78"/>
    <mergeCell ref="W79:Z80"/>
    <mergeCell ref="CA90:CA91"/>
    <mergeCell ref="CA104:CA105"/>
    <mergeCell ref="BK106:BQ107"/>
    <mergeCell ref="BZ102:BZ103"/>
    <mergeCell ref="BZ104:BZ105"/>
    <mergeCell ref="BK90:BQ91"/>
    <mergeCell ref="BK92:BQ93"/>
    <mergeCell ref="BK94:BQ95"/>
    <mergeCell ref="BZ108:BZ109"/>
    <mergeCell ref="BZ106:BZ107"/>
    <mergeCell ref="BK108:BQ109"/>
    <mergeCell ref="BR106:BY107"/>
    <mergeCell ref="BR108:BY109"/>
    <mergeCell ref="BR90:BY91"/>
    <mergeCell ref="BR92:BY93"/>
    <mergeCell ref="BR96:BY97"/>
    <mergeCell ref="BR98:BY99"/>
    <mergeCell ref="BR100:BY101"/>
    <mergeCell ref="BR102:BY103"/>
    <mergeCell ref="BR104:BY105"/>
    <mergeCell ref="BK102:BQ103"/>
    <mergeCell ref="BK104:BQ105"/>
    <mergeCell ref="BR94:BY95"/>
    <mergeCell ref="BZ96:BZ97"/>
    <mergeCell ref="E108:G109"/>
    <mergeCell ref="U108:Z109"/>
    <mergeCell ref="E106:G107"/>
    <mergeCell ref="U106:Z107"/>
    <mergeCell ref="U102:Z103"/>
    <mergeCell ref="CA106:CA107"/>
    <mergeCell ref="CA108:CA109"/>
    <mergeCell ref="CA92:CA93"/>
    <mergeCell ref="CA94:CA95"/>
    <mergeCell ref="CA96:CA97"/>
    <mergeCell ref="CA98:CA99"/>
    <mergeCell ref="CA100:CA101"/>
    <mergeCell ref="CA102:CA103"/>
    <mergeCell ref="E104:G105"/>
    <mergeCell ref="U104:Z105"/>
    <mergeCell ref="E94:G95"/>
    <mergeCell ref="U94:Z95"/>
    <mergeCell ref="E96:G97"/>
    <mergeCell ref="U96:Z97"/>
    <mergeCell ref="E98:G99"/>
    <mergeCell ref="U98:Z99"/>
    <mergeCell ref="AD96:AF97"/>
    <mergeCell ref="U100:Z101"/>
    <mergeCell ref="AA98:AC99"/>
    <mergeCell ref="E100:G101"/>
    <mergeCell ref="E102:G103"/>
    <mergeCell ref="E92:G93"/>
    <mergeCell ref="U92:Z93"/>
    <mergeCell ref="E90:G91"/>
    <mergeCell ref="U90:Z91"/>
    <mergeCell ref="AA90:AC91"/>
    <mergeCell ref="AD90:AF91"/>
    <mergeCell ref="AA92:AC93"/>
    <mergeCell ref="AD92:AF93"/>
    <mergeCell ref="AA94:AC95"/>
    <mergeCell ref="AD94:AF95"/>
    <mergeCell ref="AA96:AC97"/>
    <mergeCell ref="H98:T101"/>
    <mergeCell ref="H102:T105"/>
    <mergeCell ref="AA104:AC105"/>
    <mergeCell ref="E52:G53"/>
    <mergeCell ref="BZ73:BZ74"/>
    <mergeCell ref="BZ75:BZ76"/>
    <mergeCell ref="BZ77:BZ78"/>
    <mergeCell ref="BK73:BQ74"/>
    <mergeCell ref="BK75:BQ76"/>
    <mergeCell ref="BK77:BQ78"/>
    <mergeCell ref="AA65:AL66"/>
    <mergeCell ref="AA52:AF53"/>
    <mergeCell ref="B57:CB58"/>
    <mergeCell ref="B59:CB60"/>
    <mergeCell ref="H50:Z53"/>
    <mergeCell ref="AG50:AI51"/>
    <mergeCell ref="AG52:AI53"/>
    <mergeCell ref="AJ52:AL53"/>
    <mergeCell ref="BR52:BY53"/>
    <mergeCell ref="E73:G74"/>
    <mergeCell ref="E75:G76"/>
    <mergeCell ref="E77:G78"/>
    <mergeCell ref="BR75:BY76"/>
    <mergeCell ref="BR77:BY78"/>
    <mergeCell ref="CA77:CA78"/>
    <mergeCell ref="BE50:BG51"/>
    <mergeCell ref="BB50:BD51"/>
    <mergeCell ref="E46:G47"/>
    <mergeCell ref="AA46:AF47"/>
    <mergeCell ref="AY44:BA45"/>
    <mergeCell ref="CA44:CA45"/>
    <mergeCell ref="CA50:CA51"/>
    <mergeCell ref="CA52:CA53"/>
    <mergeCell ref="E48:G49"/>
    <mergeCell ref="AA48:AF49"/>
    <mergeCell ref="AM50:AO51"/>
    <mergeCell ref="AS48:AU49"/>
    <mergeCell ref="AY48:BA49"/>
    <mergeCell ref="AS52:AU53"/>
    <mergeCell ref="AY52:BA53"/>
    <mergeCell ref="AM52:AO53"/>
    <mergeCell ref="AP52:AR53"/>
    <mergeCell ref="AM48:AO49"/>
    <mergeCell ref="AP48:AR49"/>
    <mergeCell ref="BZ52:BZ53"/>
    <mergeCell ref="BR50:BY51"/>
    <mergeCell ref="BZ50:BZ51"/>
    <mergeCell ref="E50:G51"/>
    <mergeCell ref="AA50:AF51"/>
    <mergeCell ref="CA46:CA47"/>
    <mergeCell ref="BR46:BY47"/>
    <mergeCell ref="AA34:AF35"/>
    <mergeCell ref="BZ34:BZ35"/>
    <mergeCell ref="BE36:BG37"/>
    <mergeCell ref="BE38:BG39"/>
    <mergeCell ref="BH36:BJ37"/>
    <mergeCell ref="AM36:AO37"/>
    <mergeCell ref="AS38:AU39"/>
    <mergeCell ref="AY38:BA39"/>
    <mergeCell ref="AM38:AO39"/>
    <mergeCell ref="AP38:AR39"/>
    <mergeCell ref="AS36:AU37"/>
    <mergeCell ref="AV36:AX37"/>
    <mergeCell ref="AY34:BA35"/>
    <mergeCell ref="AG34:AI35"/>
    <mergeCell ref="AM34:AO35"/>
    <mergeCell ref="AP34:AR35"/>
    <mergeCell ref="BZ32:BZ33"/>
    <mergeCell ref="CA32:CA33"/>
    <mergeCell ref="BR32:BY33"/>
    <mergeCell ref="BK32:BQ33"/>
    <mergeCell ref="BR34:BY35"/>
    <mergeCell ref="BR36:BY37"/>
    <mergeCell ref="CA34:CA35"/>
    <mergeCell ref="BB26:BD27"/>
    <mergeCell ref="CA28:CA29"/>
    <mergeCell ref="CA24:CA25"/>
    <mergeCell ref="CA26:CA27"/>
    <mergeCell ref="BR26:BY27"/>
    <mergeCell ref="BR28:BY29"/>
    <mergeCell ref="AY30:BA31"/>
    <mergeCell ref="BB30:BD31"/>
    <mergeCell ref="BZ24:BZ25"/>
    <mergeCell ref="BK26:BQ27"/>
    <mergeCell ref="CA30:CA31"/>
    <mergeCell ref="BR30:BY31"/>
    <mergeCell ref="BK28:BQ29"/>
    <mergeCell ref="BK30:BQ31"/>
    <mergeCell ref="BZ26:BZ27"/>
    <mergeCell ref="BZ28:BZ29"/>
    <mergeCell ref="BE26:BG27"/>
    <mergeCell ref="BZ30:BZ31"/>
    <mergeCell ref="BH28:BJ29"/>
    <mergeCell ref="BH30:BJ31"/>
    <mergeCell ref="BZ42:BZ43"/>
    <mergeCell ref="BK40:BQ41"/>
    <mergeCell ref="BZ36:BZ37"/>
    <mergeCell ref="BZ38:BZ39"/>
    <mergeCell ref="BZ40:BZ41"/>
    <mergeCell ref="CA42:CA43"/>
    <mergeCell ref="CA36:CA37"/>
    <mergeCell ref="CA38:CA39"/>
    <mergeCell ref="BR38:BY39"/>
    <mergeCell ref="BR42:BY43"/>
    <mergeCell ref="CA40:CA41"/>
    <mergeCell ref="BR40:BY41"/>
    <mergeCell ref="BK42:BQ43"/>
    <mergeCell ref="B1:CB2"/>
    <mergeCell ref="B3:CB4"/>
    <mergeCell ref="E18:BY19"/>
    <mergeCell ref="E9:L10"/>
    <mergeCell ref="BB7:BY8"/>
    <mergeCell ref="BB13:BG14"/>
    <mergeCell ref="BH13:BM14"/>
    <mergeCell ref="BN13:BS14"/>
    <mergeCell ref="BT13:BY14"/>
    <mergeCell ref="BB9:BY10"/>
    <mergeCell ref="M7:BA8"/>
    <mergeCell ref="M9:BA10"/>
    <mergeCell ref="M11:BA12"/>
    <mergeCell ref="M13:BA14"/>
    <mergeCell ref="E11:L12"/>
    <mergeCell ref="E13:L14"/>
    <mergeCell ref="E7:L8"/>
    <mergeCell ref="BB11:BG12"/>
    <mergeCell ref="BH11:BM12"/>
    <mergeCell ref="BN11:BS12"/>
    <mergeCell ref="BT11:BY12"/>
    <mergeCell ref="E24:G25"/>
    <mergeCell ref="BK24:BQ25"/>
    <mergeCell ref="O81:R82"/>
    <mergeCell ref="S81:V82"/>
    <mergeCell ref="W81:Z82"/>
    <mergeCell ref="BR24:BY25"/>
    <mergeCell ref="AA24:AF25"/>
    <mergeCell ref="AA28:AF29"/>
    <mergeCell ref="AA30:AF31"/>
    <mergeCell ref="AA32:AF33"/>
    <mergeCell ref="H28:Z35"/>
    <mergeCell ref="AA26:AF27"/>
    <mergeCell ref="AA38:AF39"/>
    <mergeCell ref="AA40:AF41"/>
    <mergeCell ref="AM42:AO43"/>
    <mergeCell ref="AS40:AU41"/>
    <mergeCell ref="AS42:AU43"/>
    <mergeCell ref="AS44:AU45"/>
    <mergeCell ref="AS46:AU47"/>
    <mergeCell ref="BK79:BQ80"/>
    <mergeCell ref="BK81:BQ82"/>
    <mergeCell ref="BR73:BY74"/>
    <mergeCell ref="H24:Z25"/>
    <mergeCell ref="H26:Z27"/>
    <mergeCell ref="H46:Z49"/>
    <mergeCell ref="AG40:AI41"/>
    <mergeCell ref="AG42:AI43"/>
    <mergeCell ref="AG44:AI45"/>
    <mergeCell ref="AS88:AU89"/>
    <mergeCell ref="BK48:BQ49"/>
    <mergeCell ref="BK50:BQ51"/>
    <mergeCell ref="BK52:BQ53"/>
    <mergeCell ref="AG46:AI47"/>
    <mergeCell ref="AJ48:AL49"/>
    <mergeCell ref="BE52:BG53"/>
    <mergeCell ref="BB48:BD49"/>
    <mergeCell ref="BB52:BD53"/>
    <mergeCell ref="AV48:AX49"/>
    <mergeCell ref="AV52:AX53"/>
    <mergeCell ref="AP50:AR51"/>
    <mergeCell ref="AP46:AR47"/>
    <mergeCell ref="AV46:AX47"/>
    <mergeCell ref="AS50:AU51"/>
    <mergeCell ref="AV50:AX51"/>
    <mergeCell ref="AY50:BA51"/>
    <mergeCell ref="AA81:AD82"/>
    <mergeCell ref="AJ50:AL51"/>
    <mergeCell ref="BH48:BJ49"/>
    <mergeCell ref="E28:G29"/>
    <mergeCell ref="E30:G31"/>
    <mergeCell ref="E32:G33"/>
    <mergeCell ref="E26:G27"/>
    <mergeCell ref="E38:G39"/>
    <mergeCell ref="E40:G41"/>
    <mergeCell ref="AM44:AO45"/>
    <mergeCell ref="AM46:AO47"/>
    <mergeCell ref="AM40:AO41"/>
    <mergeCell ref="E44:G45"/>
    <mergeCell ref="AA44:AF45"/>
    <mergeCell ref="E42:G43"/>
    <mergeCell ref="AA42:AF43"/>
    <mergeCell ref="AJ44:AL45"/>
    <mergeCell ref="AJ46:AL47"/>
    <mergeCell ref="AJ38:AL39"/>
    <mergeCell ref="AG32:AI33"/>
    <mergeCell ref="AJ32:AL33"/>
    <mergeCell ref="H36:Z39"/>
    <mergeCell ref="AG36:AI37"/>
    <mergeCell ref="AG38:AI39"/>
    <mergeCell ref="E36:G37"/>
    <mergeCell ref="AA36:AF37"/>
    <mergeCell ref="E34:G35"/>
    <mergeCell ref="BZ98:BZ99"/>
    <mergeCell ref="BZ100:BZ101"/>
    <mergeCell ref="BK34:BQ35"/>
    <mergeCell ref="BK36:BQ37"/>
    <mergeCell ref="BK38:BQ39"/>
    <mergeCell ref="AY81:BB82"/>
    <mergeCell ref="BC81:BF82"/>
    <mergeCell ref="BG81:BJ82"/>
    <mergeCell ref="BK96:BQ97"/>
    <mergeCell ref="BK98:BQ99"/>
    <mergeCell ref="BK100:BQ101"/>
    <mergeCell ref="BZ48:BZ49"/>
    <mergeCell ref="E63:BY64"/>
    <mergeCell ref="AE81:AH82"/>
    <mergeCell ref="AI81:AL82"/>
    <mergeCell ref="AU81:AX82"/>
    <mergeCell ref="AG100:AI101"/>
    <mergeCell ref="AJ100:AL101"/>
    <mergeCell ref="AP100:AR101"/>
    <mergeCell ref="BZ79:BZ80"/>
    <mergeCell ref="BZ81:BZ82"/>
    <mergeCell ref="AG48:AI49"/>
    <mergeCell ref="H40:Z41"/>
    <mergeCell ref="H42:Z45"/>
    <mergeCell ref="BZ90:BZ91"/>
    <mergeCell ref="BZ92:BZ93"/>
    <mergeCell ref="BZ94:BZ95"/>
    <mergeCell ref="AY86:BD87"/>
    <mergeCell ref="BE86:BJ87"/>
    <mergeCell ref="AV88:AX89"/>
    <mergeCell ref="AY88:BA89"/>
    <mergeCell ref="BB88:BD89"/>
    <mergeCell ref="BE88:BG89"/>
    <mergeCell ref="AV90:AX91"/>
    <mergeCell ref="AY90:BA91"/>
    <mergeCell ref="BB90:BD91"/>
    <mergeCell ref="BE90:BG91"/>
    <mergeCell ref="BH90:BJ91"/>
    <mergeCell ref="BH92:BJ93"/>
    <mergeCell ref="BH88:BJ89"/>
    <mergeCell ref="BH96:BJ97"/>
    <mergeCell ref="AG94:AI95"/>
    <mergeCell ref="AJ94:AL95"/>
    <mergeCell ref="AG96:AI97"/>
    <mergeCell ref="AJ96:AL97"/>
    <mergeCell ref="AG98:AI99"/>
    <mergeCell ref="AJ98:AL99"/>
    <mergeCell ref="AP94:AR95"/>
    <mergeCell ref="AP96:AR97"/>
    <mergeCell ref="AP98:AR99"/>
    <mergeCell ref="BE98:BG99"/>
    <mergeCell ref="AY94:BA95"/>
    <mergeCell ref="BB94:BD95"/>
    <mergeCell ref="BE94:BG95"/>
    <mergeCell ref="BH94:BJ95"/>
    <mergeCell ref="BB98:BD99"/>
    <mergeCell ref="AG106:AI107"/>
    <mergeCell ref="AJ106:AL107"/>
    <mergeCell ref="AG108:AI109"/>
    <mergeCell ref="AJ108:AL109"/>
    <mergeCell ref="AS106:AU107"/>
    <mergeCell ref="AV106:AX107"/>
    <mergeCell ref="AS108:AU109"/>
    <mergeCell ref="AV108:AX109"/>
    <mergeCell ref="AG92:AI93"/>
    <mergeCell ref="AJ92:AL93"/>
    <mergeCell ref="AM106:AO107"/>
    <mergeCell ref="AV96:AX97"/>
    <mergeCell ref="AV98:AX99"/>
    <mergeCell ref="AV100:AX101"/>
    <mergeCell ref="AV102:AX103"/>
    <mergeCell ref="AV104:AX105"/>
    <mergeCell ref="AP92:AR93"/>
    <mergeCell ref="BE104:BG105"/>
    <mergeCell ref="BE106:BG107"/>
    <mergeCell ref="BE108:BG109"/>
    <mergeCell ref="AY106:BA107"/>
    <mergeCell ref="AY96:BA97"/>
    <mergeCell ref="BB96:BD97"/>
    <mergeCell ref="BE96:BG97"/>
    <mergeCell ref="AY92:BA93"/>
    <mergeCell ref="BB92:BD93"/>
    <mergeCell ref="BE92:BG93"/>
    <mergeCell ref="BH100:BJ101"/>
    <mergeCell ref="BH102:BJ103"/>
    <mergeCell ref="BH104:BJ105"/>
    <mergeCell ref="AG102:AI103"/>
    <mergeCell ref="AG104:AI105"/>
    <mergeCell ref="AM108:AO109"/>
    <mergeCell ref="BB106:BD107"/>
    <mergeCell ref="AY108:BA109"/>
    <mergeCell ref="BB108:BD109"/>
    <mergeCell ref="AM100:AO101"/>
    <mergeCell ref="AM102:AO103"/>
    <mergeCell ref="AM104:AO105"/>
    <mergeCell ref="AP102:AR103"/>
    <mergeCell ref="AP104:AR105"/>
    <mergeCell ref="AS100:AU101"/>
    <mergeCell ref="AS102:AU103"/>
    <mergeCell ref="AS104:AU105"/>
    <mergeCell ref="AY100:BA101"/>
    <mergeCell ref="BB100:BD101"/>
    <mergeCell ref="AY102:BA103"/>
    <mergeCell ref="AY104:BA105"/>
    <mergeCell ref="AP106:AR107"/>
    <mergeCell ref="AJ102:AL103"/>
    <mergeCell ref="AJ104:AL105"/>
    <mergeCell ref="AA106:AC107"/>
    <mergeCell ref="AA108:AC109"/>
    <mergeCell ref="AG86:AL87"/>
    <mergeCell ref="AG88:AI89"/>
    <mergeCell ref="AJ88:AL89"/>
    <mergeCell ref="AA100:AC101"/>
    <mergeCell ref="E84:BY85"/>
    <mergeCell ref="BC77:BF78"/>
    <mergeCell ref="AE79:AH80"/>
    <mergeCell ref="BH106:BJ107"/>
    <mergeCell ref="BH108:BJ109"/>
    <mergeCell ref="AP108:AR109"/>
    <mergeCell ref="AD98:AF99"/>
    <mergeCell ref="AD100:AF101"/>
    <mergeCell ref="AD102:AF103"/>
    <mergeCell ref="AD104:AF105"/>
    <mergeCell ref="AD106:AF107"/>
    <mergeCell ref="AD108:AF109"/>
    <mergeCell ref="BE100:BG101"/>
    <mergeCell ref="BE102:BG103"/>
    <mergeCell ref="BB102:BD103"/>
    <mergeCell ref="BB104:BD105"/>
    <mergeCell ref="BH98:BJ99"/>
    <mergeCell ref="AG90:AI91"/>
    <mergeCell ref="AE75:AH76"/>
    <mergeCell ref="BC79:BF80"/>
    <mergeCell ref="AA102:AC103"/>
    <mergeCell ref="BC75:BF76"/>
    <mergeCell ref="AY75:BB76"/>
    <mergeCell ref="AY98:BA99"/>
    <mergeCell ref="AS90:AU91"/>
    <mergeCell ref="AS94:AU95"/>
    <mergeCell ref="AM94:AO95"/>
    <mergeCell ref="AM92:AO93"/>
    <mergeCell ref="AM96:AO97"/>
    <mergeCell ref="AM98:AO99"/>
    <mergeCell ref="AS96:AU97"/>
    <mergeCell ref="AS92:AU93"/>
    <mergeCell ref="AS98:AU99"/>
    <mergeCell ref="AM90:AO91"/>
    <mergeCell ref="AV92:AX93"/>
    <mergeCell ref="AV94:AX95"/>
    <mergeCell ref="AA77:AD78"/>
    <mergeCell ref="AA79:AD80"/>
    <mergeCell ref="AP90:AR91"/>
    <mergeCell ref="AJ90:AL91"/>
    <mergeCell ref="O67:R68"/>
    <mergeCell ref="S67:V68"/>
    <mergeCell ref="BC67:BF68"/>
    <mergeCell ref="AI67:AL68"/>
    <mergeCell ref="AM67:AP68"/>
    <mergeCell ref="AQ67:AT68"/>
    <mergeCell ref="AU67:AX68"/>
    <mergeCell ref="AY67:BB68"/>
    <mergeCell ref="O65:Z66"/>
    <mergeCell ref="AM65:AX66"/>
    <mergeCell ref="AY65:BJ66"/>
    <mergeCell ref="BG67:BJ68"/>
    <mergeCell ref="W67:Z68"/>
    <mergeCell ref="AA67:AD68"/>
    <mergeCell ref="AE67:AH68"/>
    <mergeCell ref="AQ73:AT74"/>
    <mergeCell ref="AU73:AX74"/>
    <mergeCell ref="AQ75:AT76"/>
    <mergeCell ref="AU75:AX76"/>
    <mergeCell ref="AU77:AX78"/>
    <mergeCell ref="AU79:AX80"/>
    <mergeCell ref="AM75:AP76"/>
    <mergeCell ref="AM77:AP78"/>
    <mergeCell ref="AM73:AP74"/>
    <mergeCell ref="BG75:BJ76"/>
    <mergeCell ref="BG77:BJ78"/>
    <mergeCell ref="BG79:BJ80"/>
    <mergeCell ref="AI73:AL74"/>
    <mergeCell ref="BC73:BF74"/>
    <mergeCell ref="O75:R76"/>
    <mergeCell ref="O77:R78"/>
    <mergeCell ref="S77:V78"/>
    <mergeCell ref="O79:R80"/>
    <mergeCell ref="S79:V80"/>
    <mergeCell ref="S73:V74"/>
    <mergeCell ref="S75:V76"/>
    <mergeCell ref="AY73:BB74"/>
    <mergeCell ref="O73:R74"/>
    <mergeCell ref="AA73:AD74"/>
    <mergeCell ref="AA75:AD76"/>
    <mergeCell ref="AY77:BB78"/>
    <mergeCell ref="AI75:AL76"/>
    <mergeCell ref="AI77:AL78"/>
    <mergeCell ref="AI79:AL80"/>
    <mergeCell ref="AE73:AH74"/>
    <mergeCell ref="AE77:AH78"/>
    <mergeCell ref="W73:Z74"/>
    <mergeCell ref="W75:Z76"/>
    <mergeCell ref="BZ69:BZ70"/>
    <mergeCell ref="CA69:CA70"/>
    <mergeCell ref="E71:G72"/>
    <mergeCell ref="H71:N72"/>
    <mergeCell ref="O71:R72"/>
    <mergeCell ref="S71:V72"/>
    <mergeCell ref="W71:Z72"/>
    <mergeCell ref="AA71:AD72"/>
    <mergeCell ref="AE71:AH72"/>
    <mergeCell ref="AI71:AL72"/>
    <mergeCell ref="AM71:AP72"/>
    <mergeCell ref="AQ71:AT72"/>
    <mergeCell ref="AU71:AX72"/>
    <mergeCell ref="AY71:BB72"/>
    <mergeCell ref="BC71:BF72"/>
    <mergeCell ref="BG71:BJ72"/>
    <mergeCell ref="BK71:BQ72"/>
    <mergeCell ref="BR71:BY72"/>
    <mergeCell ref="BZ71:BZ72"/>
    <mergeCell ref="CA71:CA72"/>
    <mergeCell ref="E69:G70"/>
    <mergeCell ref="H69:N70"/>
    <mergeCell ref="O69:R70"/>
    <mergeCell ref="S69:V70"/>
    <mergeCell ref="H106:T109"/>
    <mergeCell ref="BK65:BQ68"/>
    <mergeCell ref="BR65:BY68"/>
    <mergeCell ref="E86:G89"/>
    <mergeCell ref="H86:T89"/>
    <mergeCell ref="U86:Z89"/>
    <mergeCell ref="BK86:BQ89"/>
    <mergeCell ref="BR86:BY89"/>
    <mergeCell ref="H90:T93"/>
    <mergeCell ref="H94:T97"/>
    <mergeCell ref="BK69:BQ70"/>
    <mergeCell ref="BR69:BY70"/>
    <mergeCell ref="E65:G68"/>
    <mergeCell ref="W69:Z70"/>
    <mergeCell ref="AA69:AD70"/>
    <mergeCell ref="AE69:AH70"/>
    <mergeCell ref="AI69:AL70"/>
    <mergeCell ref="H65:N68"/>
    <mergeCell ref="H73:N74"/>
    <mergeCell ref="H75:N76"/>
    <mergeCell ref="H77:N78"/>
    <mergeCell ref="H79:N80"/>
    <mergeCell ref="AY79:BB80"/>
    <mergeCell ref="BG73:BJ74"/>
  </mergeCells>
  <conditionalFormatting sqref="O69:R76 AM69:AP76 AA69:AD78 AY69:BB78 BK69:BQ82">
    <cfRule type="cellIs" dxfId="220" priority="1" operator="between">
      <formula>0.75</formula>
      <formula>0.874</formula>
    </cfRule>
    <cfRule type="cellIs" dxfId="219" priority="2" operator="between">
      <formula>0.875</formula>
      <formula>1</formula>
    </cfRule>
    <cfRule type="cellIs" dxfId="218" priority="3" operator="greaterThan">
      <formula>1</formula>
    </cfRule>
  </conditionalFormatting>
  <conditionalFormatting sqref="BE24:BG41 AM28 AY28 AG30 AS30:AU33 AM32 AY34 AG34:AI37 AM36 AS38:AU45 AY38:BA45 AG40:AI47 AM40:AO47 BE46:BG53 AS48 AY48 AG50 AM50 AS52 AY52 AS90:AU105 AM90:AO109 AA98:AC109 BE98:BG109 AG102:AI105 AY102:BA105">
    <cfRule type="cellIs" dxfId="217" priority="17" operator="between">
      <formula>0.75*CLV_Limit</formula>
      <formula>0.875*CLV_Limit-1</formula>
    </cfRule>
    <cfRule type="cellIs" dxfId="216" priority="29" operator="between">
      <formula>0.875*CLV_Limit</formula>
      <formula>CLV_Limit-1</formula>
    </cfRule>
    <cfRule type="cellIs" dxfId="215" priority="33" operator="greaterThan">
      <formula>CLV_Limit</formula>
    </cfRule>
  </conditionalFormatting>
  <conditionalFormatting sqref="BH24:BJ41 BK24:BQ53 AP28 BB28 AJ30 AV30:AX33 AP32 BB34 AJ34:AL37 AP36 AV38:AX45 BB38:BD45 AJ40:AL47 AP40:AR47 BH46:BJ53 AV48 BB48 AJ50 AP50 AV52 BB52 AE75 BC75 O77:V82 AM77:AT82 AA79:AH82 AY79:BF82 W81 AI81 AU81 BG81 BK90:BQ97 AV90:AX105 AP90:AR109 AD98:AF109 BH98:BQ109 AJ102:AL105 BB102:BD105">
    <cfRule type="cellIs" dxfId="214" priority="12" operator="between">
      <formula>0.75</formula>
      <formula>0.874</formula>
    </cfRule>
    <cfRule type="cellIs" dxfId="213" priority="14" operator="between">
      <formula>0.875</formula>
      <formula>1</formula>
    </cfRule>
    <cfRule type="cellIs" dxfId="212" priority="15" operator="greaterThan">
      <formula>1</formula>
    </cfRule>
  </conditionalFormatting>
  <conditionalFormatting sqref="BR92 BR90 BR108 BR94 BR96 BR98 BR100 BR102 BR104 BR106">
    <cfRule type="dataBar" priority="45">
      <dataBar>
        <cfvo type="num" val="10"/>
        <cfvo type="num" val="1"/>
        <color rgb="FF008AEF"/>
      </dataBar>
    </cfRule>
  </conditionalFormatting>
  <conditionalFormatting sqref="BR24:BY53">
    <cfRule type="dataBar" priority="34">
      <dataBar>
        <cfvo type="num" val="16"/>
        <cfvo type="num" val="1"/>
        <color rgb="FF008AEF"/>
      </dataBar>
    </cfRule>
  </conditionalFormatting>
  <conditionalFormatting sqref="BR69:BY70">
    <cfRule type="dataBar" priority="8">
      <dataBar>
        <cfvo type="num" val="5"/>
        <cfvo type="num" val="1"/>
        <color rgb="FF008AEF"/>
      </dataBar>
    </cfRule>
  </conditionalFormatting>
  <conditionalFormatting sqref="BR71:BY72">
    <cfRule type="dataBar" priority="4">
      <dataBar>
        <cfvo type="num" val="5"/>
        <cfvo type="num" val="1"/>
        <color rgb="FF008AEF"/>
      </dataBar>
    </cfRule>
  </conditionalFormatting>
  <conditionalFormatting sqref="BR73:BY82">
    <cfRule type="dataBar" priority="40">
      <dataBar>
        <cfvo type="num" val="5"/>
        <cfvo type="num" val="1"/>
        <color rgb="FF008AEF"/>
      </dataBar>
    </cfRule>
  </conditionalFormatting>
  <hyperlinks>
    <hyperlink ref="AA24:AF25" location="Conventional!A1" display="FULL" xr:uid="{00000000-0004-0000-0300-000000000000}"/>
    <hyperlink ref="AA28:AF29" location="'QR S-W'!A1" display="S-W" xr:uid="{00000000-0004-0000-0300-000001000000}"/>
    <hyperlink ref="AA30:AF31" location="'QR N-E'!A1" display="N-E" xr:uid="{00000000-0004-0000-0300-000002000000}"/>
    <hyperlink ref="AA32:AF33" location="'QR S-E'!A1" display="S-E" xr:uid="{00000000-0004-0000-0300-000003000000}"/>
    <hyperlink ref="AA34:AF35" location="'QR N-W'!A1" display="N-W" xr:uid="{00000000-0004-0000-0300-000004000000}"/>
    <hyperlink ref="AA36:AF37" location="'P DLT N-S'!A1" display="N-S" xr:uid="{00000000-0004-0000-0300-000005000000}"/>
    <hyperlink ref="AA38:AF39" location="'P DLT E-W'!A1" display="E-W" xr:uid="{00000000-0004-0000-0300-000006000000}"/>
    <hyperlink ref="AA40:AF41" location="'Full DLT'!A1" display="FULL" xr:uid="{00000000-0004-0000-0300-000007000000}"/>
    <hyperlink ref="AA42:AF43" location="'RCUT N-S'!A1" display="N-S" xr:uid="{00000000-0004-0000-0300-000008000000}"/>
    <hyperlink ref="AA44:AF45" location="'RCUT E-W'!A1" display="E-W" xr:uid="{00000000-0004-0000-0300-000009000000}"/>
    <hyperlink ref="AA46:AF47" location="'MUT N-S '!A1" display="N-S" xr:uid="{00000000-0004-0000-0300-00000A000000}"/>
    <hyperlink ref="AA48:AF49" location="'MUT E-W'!A1" display="E-W" xr:uid="{00000000-0004-0000-0300-00000B000000}"/>
    <hyperlink ref="AA50:AF51" location="'PMUT N-S'!A1" display="N-S" xr:uid="{00000000-0004-0000-0300-00000C000000}"/>
    <hyperlink ref="AA52:AF53" location="'PMUT E-W'!A1" display="E-W" xr:uid="{00000000-0004-0000-0300-00000D000000}"/>
    <hyperlink ref="U108:Z109" location="'SPI E-W'!A1" display="E-W" xr:uid="{00000000-0004-0000-0300-00000E000000}"/>
    <hyperlink ref="U106:Z107" location="'SPI N-S '!A1" display="N-S" xr:uid="{00000000-0004-0000-0300-00000F000000}"/>
    <hyperlink ref="U104:Z105" location="'DCD E-W'!A1" display="E-W" xr:uid="{00000000-0004-0000-0300-000010000000}"/>
    <hyperlink ref="U102:Z103" location="'DCD N-S'!A1" display="N-S" xr:uid="{00000000-0004-0000-0300-000011000000}"/>
    <hyperlink ref="U92:Z93" location="'TD E-W'!A1" display="E-W" xr:uid="{00000000-0004-0000-0300-000012000000}"/>
    <hyperlink ref="U96:Z97" location="'PCL E-W'!A1" display="E-W" xr:uid="{00000000-0004-0000-0300-000013000000}"/>
    <hyperlink ref="AA26:AF27" location="'Conventional Shared RT LT'!A1" display="CSRL" xr:uid="{00000000-0004-0000-0300-000014000000}"/>
    <hyperlink ref="H73:M74" location="'1x1 Rndabt '!A1" display="1 X 1 Lane" xr:uid="{00000000-0004-0000-0300-000015000000}"/>
    <hyperlink ref="H75:M76" location="'1NS x 2 EW Rndabt'!A1" display="1 X 2" xr:uid="{00000000-0004-0000-0300-000016000000}"/>
    <hyperlink ref="H77:M78" location="'2 NS x 1 EW Rndabt'!A1" display="2 X 1" xr:uid="{00000000-0004-0000-0300-000017000000}"/>
    <hyperlink ref="H79:M80" location="'2x2 Rndabt'!A1" display="2 X 2" xr:uid="{00000000-0004-0000-0300-000018000000}"/>
    <hyperlink ref="H81:M82" location="'3x3 Rndabt'!A1" display="3 X 3" xr:uid="{00000000-0004-0000-0300-000019000000}"/>
    <hyperlink ref="U90:Z91" location="'TD N-S'!A1" display="N-S" xr:uid="{00000000-0004-0000-0300-00001A000000}"/>
    <hyperlink ref="U94:Z95" location="'PCL N-S'!A1" display="N-S" xr:uid="{00000000-0004-0000-0300-00001B000000}"/>
    <hyperlink ref="U98:Z99" location="'DLTI N-S'!A1" display="N-S" xr:uid="{00000000-0004-0000-0300-00001C000000}"/>
    <hyperlink ref="U100:Z101" location="'DLTI E-W '!A1" display="E-W" xr:uid="{00000000-0004-0000-0300-00001D000000}"/>
    <hyperlink ref="H69:M70" location="'1x1 Rndabt '!A1" display="1 X 1 Lane" xr:uid="{00000000-0004-0000-0300-00001E000000}"/>
    <hyperlink ref="H71:M72" location="'1x1 Rndabt '!A1" display="1 X 1 Lane" xr:uid="{00000000-0004-0000-0300-00001F000000}"/>
    <hyperlink ref="H69:N70" location="'50 Mini-Rndabt'!A1" display="50 ICD" xr:uid="{00000000-0004-0000-0300-000020000000}"/>
    <hyperlink ref="H71:N72" location="'75 Mini-Rndabt'!A1" display="75 ICD" xr:uid="{00000000-0004-0000-0300-000021000000}"/>
  </hyperlinks>
  <pageMargins left="0.2" right="0.2" top="0.5" bottom="0.5" header="0.3" footer="0.3"/>
  <pageSetup orientation="landscape" horizontalDpi="1200" verticalDpi="1200" r:id="rId1"/>
  <headerFooter>
    <oddFooter>&amp;CCapacity Analysis for Planning of Junctions</oddFooter>
  </headerFooter>
  <ignoredErrors>
    <ignoredError sqref="BE28 BE34 AS32 AM36 BZ48:CA48 BE48 BE52 AY52 AY48 AY44 AY42 AS44 AM50 AM46 AM44 AM42 AM40 AS40 AS42 AY40 AY38 BE40 BE38 BZ50:CA5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249977111117893"/>
  </sheetPr>
  <dimension ref="A1:HK75"/>
  <sheetViews>
    <sheetView showGridLines="0" showRowColHeaders="0" zoomScaleNormal="100" zoomScalePageLayoutView="85" workbookViewId="0">
      <selection activeCell="CJ30" sqref="CJ30:CL30"/>
    </sheetView>
  </sheetViews>
  <sheetFormatPr defaultColWidth="0" defaultRowHeight="0" customHeight="1" zeroHeight="1"/>
  <cols>
    <col min="1" max="1" width="0.5703125" customWidth="1"/>
    <col min="2" max="61" width="1.7109375" customWidth="1"/>
    <col min="62" max="63" width="0.5703125" customWidth="1"/>
    <col min="64" max="123" width="1.7109375" customWidth="1"/>
    <col min="124" max="124" width="0.5703125" customWidth="1"/>
    <col min="125" max="219" width="1.7109375" hidden="1" customWidth="1"/>
    <col min="220" max="16384" width="9.140625" hidden="1"/>
  </cols>
  <sheetData>
    <row r="1" spans="2:123" ht="9.9499999999999993" customHeight="1">
      <c r="B1" s="737" t="s">
        <v>56</v>
      </c>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738"/>
      <c r="AR1" s="738"/>
      <c r="AS1" s="738"/>
      <c r="AT1" s="738"/>
      <c r="AU1" s="738"/>
      <c r="AV1" s="738"/>
      <c r="AW1" s="738"/>
      <c r="AX1" s="738"/>
      <c r="AY1" s="738"/>
      <c r="AZ1" s="738"/>
      <c r="BA1" s="738"/>
      <c r="BB1" s="738"/>
      <c r="BC1" s="738"/>
      <c r="BD1" s="738"/>
      <c r="BE1" s="738"/>
      <c r="BF1" s="738"/>
      <c r="BG1" s="738"/>
      <c r="BH1" s="738"/>
      <c r="BI1" s="739"/>
      <c r="BJ1" s="174"/>
      <c r="BK1" s="174"/>
      <c r="BL1" s="737" t="s">
        <v>56</v>
      </c>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9"/>
    </row>
    <row r="2" spans="2:123" ht="9.9499999999999993" customHeight="1">
      <c r="B2" s="740"/>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2"/>
      <c r="BJ2" s="174"/>
      <c r="BK2" s="174"/>
      <c r="BL2" s="740"/>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c r="CT2" s="741"/>
      <c r="CU2" s="741"/>
      <c r="CV2" s="741"/>
      <c r="CW2" s="741"/>
      <c r="CX2" s="741"/>
      <c r="CY2" s="741"/>
      <c r="CZ2" s="741"/>
      <c r="DA2" s="741"/>
      <c r="DB2" s="741"/>
      <c r="DC2" s="741"/>
      <c r="DD2" s="741"/>
      <c r="DE2" s="741"/>
      <c r="DF2" s="741"/>
      <c r="DG2" s="741"/>
      <c r="DH2" s="741"/>
      <c r="DI2" s="741"/>
      <c r="DJ2" s="741"/>
      <c r="DK2" s="741"/>
      <c r="DL2" s="741"/>
      <c r="DM2" s="741"/>
      <c r="DN2" s="741"/>
      <c r="DO2" s="741"/>
      <c r="DP2" s="741"/>
      <c r="DQ2" s="741"/>
      <c r="DR2" s="741"/>
      <c r="DS2" s="742"/>
    </row>
    <row r="3" spans="2:123" ht="9.9499999999999993" customHeight="1">
      <c r="B3" s="603" t="s">
        <v>96</v>
      </c>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743"/>
      <c r="BJ3" s="174"/>
      <c r="BK3" s="174"/>
      <c r="BL3" s="603" t="s">
        <v>97</v>
      </c>
      <c r="BM3" s="604"/>
      <c r="BN3" s="604"/>
      <c r="BO3" s="604"/>
      <c r="BP3" s="604"/>
      <c r="BQ3" s="604"/>
      <c r="BR3" s="604"/>
      <c r="BS3" s="604"/>
      <c r="BT3" s="604"/>
      <c r="BU3" s="604"/>
      <c r="BV3" s="604"/>
      <c r="BW3" s="604"/>
      <c r="BX3" s="604"/>
      <c r="BY3" s="604"/>
      <c r="BZ3" s="604"/>
      <c r="CA3" s="604"/>
      <c r="CB3" s="604"/>
      <c r="CC3" s="604"/>
      <c r="CD3" s="604"/>
      <c r="CE3" s="604"/>
      <c r="CF3" s="604"/>
      <c r="CG3" s="604"/>
      <c r="CH3" s="604"/>
      <c r="CI3" s="604"/>
      <c r="CJ3" s="604"/>
      <c r="CK3" s="604"/>
      <c r="CL3" s="604"/>
      <c r="CM3" s="604"/>
      <c r="CN3" s="604"/>
      <c r="CO3" s="604"/>
      <c r="CP3" s="604"/>
      <c r="CQ3" s="604"/>
      <c r="CR3" s="604"/>
      <c r="CS3" s="604"/>
      <c r="CT3" s="604"/>
      <c r="CU3" s="604"/>
      <c r="CV3" s="604"/>
      <c r="CW3" s="604"/>
      <c r="CX3" s="604"/>
      <c r="CY3" s="604"/>
      <c r="CZ3" s="604"/>
      <c r="DA3" s="604"/>
      <c r="DB3" s="604"/>
      <c r="DC3" s="604"/>
      <c r="DD3" s="604"/>
      <c r="DE3" s="604"/>
      <c r="DF3" s="604"/>
      <c r="DG3" s="604"/>
      <c r="DH3" s="604"/>
      <c r="DI3" s="604"/>
      <c r="DJ3" s="604"/>
      <c r="DK3" s="604"/>
      <c r="DL3" s="604"/>
      <c r="DM3" s="604"/>
      <c r="DN3" s="604"/>
      <c r="DO3" s="604"/>
      <c r="DP3" s="604"/>
      <c r="DQ3" s="604"/>
      <c r="DR3" s="604"/>
      <c r="DS3" s="743"/>
    </row>
    <row r="4" spans="2:123" ht="9.9499999999999993" customHeight="1">
      <c r="B4" s="603"/>
      <c r="C4" s="604"/>
      <c r="D4" s="604"/>
      <c r="E4" s="604"/>
      <c r="F4" s="604"/>
      <c r="G4" s="604"/>
      <c r="H4" s="604"/>
      <c r="I4" s="604"/>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c r="AT4" s="604"/>
      <c r="AU4" s="604"/>
      <c r="AV4" s="604"/>
      <c r="AW4" s="604"/>
      <c r="AX4" s="604"/>
      <c r="AY4" s="604"/>
      <c r="AZ4" s="604"/>
      <c r="BA4" s="604"/>
      <c r="BB4" s="604"/>
      <c r="BC4" s="604"/>
      <c r="BD4" s="604"/>
      <c r="BE4" s="604"/>
      <c r="BF4" s="604"/>
      <c r="BG4" s="604"/>
      <c r="BH4" s="604"/>
      <c r="BI4" s="743"/>
      <c r="BJ4" s="174"/>
      <c r="BK4" s="174"/>
      <c r="BL4" s="603"/>
      <c r="BM4" s="60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604"/>
      <c r="CL4" s="604"/>
      <c r="CM4" s="604"/>
      <c r="CN4" s="604"/>
      <c r="CO4" s="604"/>
      <c r="CP4" s="604"/>
      <c r="CQ4" s="604"/>
      <c r="CR4" s="604"/>
      <c r="CS4" s="604"/>
      <c r="CT4" s="604"/>
      <c r="CU4" s="604"/>
      <c r="CV4" s="604"/>
      <c r="CW4" s="604"/>
      <c r="CX4" s="604"/>
      <c r="CY4" s="604"/>
      <c r="CZ4" s="604"/>
      <c r="DA4" s="604"/>
      <c r="DB4" s="604"/>
      <c r="DC4" s="604"/>
      <c r="DD4" s="604"/>
      <c r="DE4" s="604"/>
      <c r="DF4" s="604"/>
      <c r="DG4" s="604"/>
      <c r="DH4" s="604"/>
      <c r="DI4" s="604"/>
      <c r="DJ4" s="604"/>
      <c r="DK4" s="604"/>
      <c r="DL4" s="604"/>
      <c r="DM4" s="604"/>
      <c r="DN4" s="604"/>
      <c r="DO4" s="604"/>
      <c r="DP4" s="604"/>
      <c r="DQ4" s="604"/>
      <c r="DR4" s="604"/>
      <c r="DS4" s="743"/>
    </row>
    <row r="5" spans="2:123" ht="9.9499999999999993" customHeigh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thickBot="1">
      <c r="B6" s="1"/>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756"/>
      <c r="AL6" s="756"/>
      <c r="AM6" s="756"/>
      <c r="AN6" s="174"/>
      <c r="AO6" s="174"/>
      <c r="AP6" s="174"/>
      <c r="AQ6" s="756"/>
      <c r="AR6" s="756"/>
      <c r="AS6" s="756"/>
      <c r="AT6" s="174"/>
      <c r="AU6" s="174"/>
      <c r="AV6" s="174"/>
      <c r="AW6" s="174"/>
      <c r="AX6" s="174"/>
      <c r="AY6" s="174"/>
      <c r="AZ6" s="174"/>
      <c r="BA6" s="174"/>
      <c r="BB6" s="174"/>
      <c r="BC6" s="174"/>
      <c r="BD6" s="174"/>
      <c r="BE6" s="174"/>
      <c r="BF6" s="174"/>
      <c r="BG6" s="174"/>
      <c r="BH6" s="174"/>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c r="B7" s="1"/>
      <c r="C7" s="205" t="s">
        <v>3</v>
      </c>
      <c r="D7" s="206"/>
      <c r="E7" s="206"/>
      <c r="F7" s="206"/>
      <c r="G7" s="206"/>
      <c r="H7" s="206"/>
      <c r="I7" s="206"/>
      <c r="J7" s="206"/>
      <c r="K7" s="593" t="str">
        <f>P_Name</f>
        <v>"Enter the Project Title here (Input worksheet)"</v>
      </c>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4"/>
      <c r="AK7" s="757" t="s">
        <v>41</v>
      </c>
      <c r="AL7" s="758"/>
      <c r="AM7" s="758"/>
      <c r="AN7" s="758"/>
      <c r="AO7" s="758"/>
      <c r="AP7" s="758"/>
      <c r="AQ7" s="758"/>
      <c r="AR7" s="758"/>
      <c r="AS7" s="758"/>
      <c r="AT7" s="758"/>
      <c r="AU7" s="758"/>
      <c r="AV7" s="758"/>
      <c r="AW7" s="758"/>
      <c r="AX7" s="758"/>
      <c r="AY7" s="758"/>
      <c r="AZ7" s="758"/>
      <c r="BA7" s="758"/>
      <c r="BB7" s="758"/>
      <c r="BC7" s="758"/>
      <c r="BD7" s="758"/>
      <c r="BE7" s="758"/>
      <c r="BF7" s="758"/>
      <c r="BG7" s="758"/>
      <c r="BH7" s="759"/>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thickBot="1">
      <c r="B8" s="1"/>
      <c r="C8" s="207"/>
      <c r="D8" s="208"/>
      <c r="E8" s="208"/>
      <c r="F8" s="208"/>
      <c r="G8" s="208"/>
      <c r="H8" s="208"/>
      <c r="I8" s="208"/>
      <c r="J8" s="208"/>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6"/>
      <c r="AK8" s="760"/>
      <c r="AL8" s="761"/>
      <c r="AM8" s="761"/>
      <c r="AN8" s="761"/>
      <c r="AO8" s="761"/>
      <c r="AP8" s="761"/>
      <c r="AQ8" s="761"/>
      <c r="AR8" s="761"/>
      <c r="AS8" s="761"/>
      <c r="AT8" s="761"/>
      <c r="AU8" s="761"/>
      <c r="AV8" s="761"/>
      <c r="AW8" s="761"/>
      <c r="AX8" s="761"/>
      <c r="AY8" s="761"/>
      <c r="AZ8" s="761"/>
      <c r="BA8" s="761"/>
      <c r="BB8" s="761"/>
      <c r="BC8" s="761"/>
      <c r="BD8" s="761"/>
      <c r="BE8" s="761"/>
      <c r="BF8" s="761"/>
      <c r="BG8" s="761"/>
      <c r="BH8" s="762"/>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c r="B9" s="1"/>
      <c r="C9" s="207" t="s">
        <v>5</v>
      </c>
      <c r="D9" s="208"/>
      <c r="E9" s="208"/>
      <c r="F9" s="208"/>
      <c r="G9" s="208"/>
      <c r="H9" s="208"/>
      <c r="I9" s="208"/>
      <c r="J9" s="208"/>
      <c r="K9" s="597" t="str">
        <f>P_Number</f>
        <v>"Enter the Project Number here (Input worksheet)"</v>
      </c>
      <c r="L9" s="597"/>
      <c r="M9" s="597"/>
      <c r="N9" s="597"/>
      <c r="O9" s="597"/>
      <c r="P9" s="597"/>
      <c r="Q9" s="597"/>
      <c r="R9" s="597"/>
      <c r="S9" s="597"/>
      <c r="T9" s="597"/>
      <c r="U9" s="597"/>
      <c r="V9" s="597"/>
      <c r="W9" s="597"/>
      <c r="X9" s="597"/>
      <c r="Y9" s="597"/>
      <c r="Z9" s="597"/>
      <c r="AA9" s="597"/>
      <c r="AB9" s="597"/>
      <c r="AC9" s="597"/>
      <c r="AD9" s="597"/>
      <c r="AE9" s="597"/>
      <c r="AF9" s="597"/>
      <c r="AG9" s="597"/>
      <c r="AH9" s="597"/>
      <c r="AI9" s="597"/>
      <c r="AJ9" s="598"/>
      <c r="AK9" s="744" t="str">
        <f xml:space="preserve"> "&lt; " &amp; 0.75*CLV_Limit</f>
        <v>&lt; 1200</v>
      </c>
      <c r="AL9" s="745"/>
      <c r="AM9" s="745"/>
      <c r="AN9" s="745"/>
      <c r="AO9" s="745"/>
      <c r="AP9" s="745"/>
      <c r="AQ9" s="748" t="str">
        <f xml:space="preserve"> ROUND(0.75*CLV_Limit,0) &amp; " - " &amp; ROUND(0.875*CLV_Limit-1,0)</f>
        <v>1200 - 1399</v>
      </c>
      <c r="AR9" s="748"/>
      <c r="AS9" s="748"/>
      <c r="AT9" s="748"/>
      <c r="AU9" s="748"/>
      <c r="AV9" s="748"/>
      <c r="AW9" s="750" t="str">
        <f>ROUND(0.875*CLV_Limit,0)&amp;" - "&amp; ROUND(CLV_Limit-1,0)</f>
        <v>1400 - 1599</v>
      </c>
      <c r="AX9" s="750"/>
      <c r="AY9" s="750"/>
      <c r="AZ9" s="750"/>
      <c r="BA9" s="750"/>
      <c r="BB9" s="750"/>
      <c r="BC9" s="752" t="str">
        <f>"≥ " &amp;CLV_Limit</f>
        <v>≥ 1600</v>
      </c>
      <c r="BD9" s="752"/>
      <c r="BE9" s="752"/>
      <c r="BF9" s="752"/>
      <c r="BG9" s="752"/>
      <c r="BH9" s="753"/>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thickBot="1">
      <c r="B10" s="1"/>
      <c r="C10" s="207"/>
      <c r="D10" s="208"/>
      <c r="E10" s="208"/>
      <c r="F10" s="208"/>
      <c r="G10" s="208"/>
      <c r="H10" s="208"/>
      <c r="I10" s="208"/>
      <c r="J10" s="208"/>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8"/>
      <c r="AK10" s="746"/>
      <c r="AL10" s="747"/>
      <c r="AM10" s="747"/>
      <c r="AN10" s="747"/>
      <c r="AO10" s="747"/>
      <c r="AP10" s="747"/>
      <c r="AQ10" s="749"/>
      <c r="AR10" s="749"/>
      <c r="AS10" s="749"/>
      <c r="AT10" s="749"/>
      <c r="AU10" s="749"/>
      <c r="AV10" s="749"/>
      <c r="AW10" s="751"/>
      <c r="AX10" s="751"/>
      <c r="AY10" s="751"/>
      <c r="AZ10" s="751"/>
      <c r="BA10" s="751"/>
      <c r="BB10" s="751"/>
      <c r="BC10" s="754"/>
      <c r="BD10" s="754"/>
      <c r="BE10" s="754"/>
      <c r="BF10" s="754"/>
      <c r="BG10" s="754"/>
      <c r="BH10" s="755"/>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t="s">
        <v>7</v>
      </c>
      <c r="D11" s="208"/>
      <c r="E11" s="208"/>
      <c r="F11" s="208"/>
      <c r="G11" s="208"/>
      <c r="H11" s="208"/>
      <c r="I11" s="208"/>
      <c r="J11" s="208"/>
      <c r="K11" s="597" t="str">
        <f>Location</f>
        <v>"Enter the Project Location here (Input worksheet)"</v>
      </c>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8"/>
      <c r="AK11" s="712" t="s">
        <v>98</v>
      </c>
      <c r="AL11" s="1913"/>
      <c r="AM11" s="1913"/>
      <c r="AN11" s="1913"/>
      <c r="AO11" s="1913"/>
      <c r="AP11" s="1913"/>
      <c r="AQ11" s="1913"/>
      <c r="AR11" s="1913"/>
      <c r="AS11" s="1913"/>
      <c r="AT11" s="1913"/>
      <c r="AU11" s="1913"/>
      <c r="AV11" s="1914"/>
      <c r="AW11" s="706">
        <f xml:space="preserve"> ROUND(H28/CLV_Limit,2)</f>
        <v>1.86</v>
      </c>
      <c r="AX11" s="706"/>
      <c r="AY11" s="706"/>
      <c r="AZ11" s="706"/>
      <c r="BA11" s="706"/>
      <c r="BB11" s="706"/>
      <c r="BC11" s="706"/>
      <c r="BD11" s="706"/>
      <c r="BE11" s="706"/>
      <c r="BF11" s="706"/>
      <c r="BG11" s="706"/>
      <c r="BH11" s="707"/>
      <c r="BI11" s="177"/>
      <c r="BJ11" s="174"/>
      <c r="BK11" s="174"/>
      <c r="BL11" s="1"/>
      <c r="BM11" s="174"/>
      <c r="BN11" s="174"/>
      <c r="BO11" s="174"/>
      <c r="BP11" s="44"/>
      <c r="BQ11" s="44"/>
      <c r="BR11" s="44"/>
      <c r="BS11" s="44"/>
      <c r="BT11" s="44"/>
      <c r="BU11" s="44"/>
      <c r="BV11" s="44"/>
      <c r="BW11" s="9"/>
      <c r="BX11" s="9"/>
      <c r="BY11" s="9"/>
      <c r="BZ11" s="9"/>
      <c r="CA11" s="9"/>
      <c r="CB11" s="9"/>
      <c r="CC11" s="9"/>
      <c r="CD11" s="9"/>
      <c r="CE11" s="9"/>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c r="D12" s="208"/>
      <c r="E12" s="208"/>
      <c r="F12" s="208"/>
      <c r="G12" s="208"/>
      <c r="H12" s="208"/>
      <c r="I12" s="208"/>
      <c r="J12" s="208"/>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8"/>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44"/>
      <c r="BQ12" s="44"/>
      <c r="BR12" s="44"/>
      <c r="BS12" s="44"/>
      <c r="BT12" s="44"/>
      <c r="BU12" s="44"/>
      <c r="BV12" s="44"/>
      <c r="BW12" s="9"/>
      <c r="BX12" s="9"/>
      <c r="BY12" s="9"/>
      <c r="BZ12" s="9"/>
      <c r="CA12" s="9"/>
      <c r="CB12" s="9"/>
      <c r="CC12" s="9"/>
      <c r="CD12" s="9"/>
      <c r="CE12" s="9"/>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c r="B13" s="1"/>
      <c r="C13" s="207" t="s">
        <v>9</v>
      </c>
      <c r="D13" s="208"/>
      <c r="E13" s="208"/>
      <c r="F13" s="208"/>
      <c r="G13" s="208"/>
      <c r="H13" s="208"/>
      <c r="I13" s="208"/>
      <c r="J13" s="208"/>
      <c r="K13" s="599" t="str">
        <f>Date</f>
        <v>"Enter the date here (Input worksheet)"</v>
      </c>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600"/>
      <c r="AK13" s="1915"/>
      <c r="AL13" s="1916"/>
      <c r="AM13" s="1916"/>
      <c r="AN13" s="1916"/>
      <c r="AO13" s="1916"/>
      <c r="AP13" s="1916"/>
      <c r="AQ13" s="1916"/>
      <c r="AR13" s="1916"/>
      <c r="AS13" s="1916"/>
      <c r="AT13" s="1916"/>
      <c r="AU13" s="1916"/>
      <c r="AV13" s="1917"/>
      <c r="AW13" s="708"/>
      <c r="AX13" s="708"/>
      <c r="AY13" s="708"/>
      <c r="AZ13" s="708"/>
      <c r="BA13" s="708"/>
      <c r="BB13" s="708"/>
      <c r="BC13" s="708"/>
      <c r="BD13" s="708"/>
      <c r="BE13" s="708"/>
      <c r="BF13" s="708"/>
      <c r="BG13" s="708"/>
      <c r="BH13" s="709"/>
      <c r="BI13" s="177"/>
      <c r="BJ13" s="174"/>
      <c r="BK13" s="174"/>
      <c r="BL13" s="1"/>
      <c r="BM13" s="174"/>
      <c r="BN13" s="174"/>
      <c r="BO13" s="174"/>
      <c r="BP13" s="44"/>
      <c r="BQ13" s="44"/>
      <c r="BR13" s="44"/>
      <c r="BS13" s="44"/>
      <c r="BT13" s="44"/>
      <c r="BU13" s="44"/>
      <c r="BV13" s="44"/>
      <c r="BW13" s="9"/>
      <c r="BX13" s="9"/>
      <c r="BY13" s="9"/>
      <c r="BZ13" s="9"/>
      <c r="CA13" s="9"/>
      <c r="CB13" s="9"/>
      <c r="CC13" s="9"/>
      <c r="CD13" s="9"/>
      <c r="CE13" s="9"/>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thickBot="1">
      <c r="B14" s="1"/>
      <c r="C14" s="239"/>
      <c r="D14" s="240"/>
      <c r="E14" s="240"/>
      <c r="F14" s="240"/>
      <c r="G14" s="240"/>
      <c r="H14" s="240"/>
      <c r="I14" s="240"/>
      <c r="J14" s="240"/>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2"/>
      <c r="AK14" s="1918"/>
      <c r="AL14" s="1919"/>
      <c r="AM14" s="1919"/>
      <c r="AN14" s="1919"/>
      <c r="AO14" s="1919"/>
      <c r="AP14" s="1919"/>
      <c r="AQ14" s="1919"/>
      <c r="AR14" s="1919"/>
      <c r="AS14" s="1919"/>
      <c r="AT14" s="1919"/>
      <c r="AU14" s="1919"/>
      <c r="AV14" s="1920"/>
      <c r="AW14" s="710"/>
      <c r="AX14" s="710"/>
      <c r="AY14" s="710"/>
      <c r="AZ14" s="710"/>
      <c r="BA14" s="710"/>
      <c r="BB14" s="710"/>
      <c r="BC14" s="710"/>
      <c r="BD14" s="710"/>
      <c r="BE14" s="710"/>
      <c r="BF14" s="710"/>
      <c r="BG14" s="710"/>
      <c r="BH14" s="711"/>
      <c r="BI14" s="177"/>
      <c r="BJ14" s="174"/>
      <c r="BK14" s="174"/>
      <c r="BL14" s="1"/>
      <c r="BM14" s="174"/>
      <c r="BN14" s="174"/>
      <c r="BO14" s="174"/>
      <c r="BP14" s="44"/>
      <c r="BQ14" s="44"/>
      <c r="BR14" s="44"/>
      <c r="BS14" s="44"/>
      <c r="BT14" s="44"/>
      <c r="BU14" s="44"/>
      <c r="BV14" s="44"/>
      <c r="BW14" s="9"/>
      <c r="BX14" s="9"/>
      <c r="BY14" s="9"/>
      <c r="BZ14" s="9"/>
      <c r="CA14" s="9"/>
      <c r="CB14" s="9"/>
      <c r="CC14" s="9"/>
      <c r="CD14" s="9"/>
      <c r="CE14" s="9"/>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7"/>
      <c r="BJ15" s="174"/>
      <c r="BK15" s="174"/>
      <c r="BL15" s="1"/>
      <c r="BM15" s="174"/>
      <c r="BN15" s="174"/>
      <c r="BO15" s="174"/>
      <c r="BP15" s="44"/>
      <c r="BQ15" s="44"/>
      <c r="BR15" s="44"/>
      <c r="BS15" s="44"/>
      <c r="BT15" s="44"/>
      <c r="BU15" s="44"/>
      <c r="BV15" s="44"/>
      <c r="BW15" s="9"/>
      <c r="BX15" s="9"/>
      <c r="BY15" s="9"/>
      <c r="BZ15" s="9"/>
      <c r="CA15" s="9"/>
      <c r="CB15" s="9"/>
      <c r="CC15" s="9"/>
      <c r="CD15" s="9"/>
      <c r="CE15" s="9"/>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7"/>
      <c r="BJ16" s="174"/>
      <c r="BK16" s="174"/>
      <c r="BL16" s="1"/>
      <c r="BM16" s="174"/>
      <c r="BN16" s="174"/>
      <c r="BO16" s="174"/>
      <c r="BP16" s="44"/>
      <c r="BQ16" s="44"/>
      <c r="BR16" s="44"/>
      <c r="BS16" s="44"/>
      <c r="BT16" s="44"/>
      <c r="BU16" s="44"/>
      <c r="BV16" s="44"/>
      <c r="BW16" s="9"/>
      <c r="BX16" s="9"/>
      <c r="BY16" s="9"/>
      <c r="BZ16" s="9"/>
      <c r="CA16" s="9"/>
      <c r="CB16" s="9"/>
      <c r="CC16" s="9"/>
      <c r="CD16" s="9"/>
      <c r="CE16" s="9"/>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7"/>
      <c r="BJ17" s="174"/>
      <c r="BK17" s="174"/>
      <c r="BL17" s="1"/>
      <c r="BM17" s="174"/>
      <c r="BN17" s="174"/>
      <c r="BO17" s="174"/>
      <c r="BP17" s="44"/>
      <c r="BQ17" s="44"/>
      <c r="BR17" s="44"/>
      <c r="BS17" s="44"/>
      <c r="BT17" s="44"/>
      <c r="BU17" s="44"/>
      <c r="BV17" s="44"/>
      <c r="BW17" s="9"/>
      <c r="BX17" s="9"/>
      <c r="BY17" s="9"/>
      <c r="BZ17" s="9"/>
      <c r="CA17" s="9"/>
      <c r="CB17" s="9"/>
      <c r="CC17" s="9"/>
      <c r="CD17" s="9"/>
      <c r="CE17" s="9"/>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4"/>
      <c r="AK18" s="14"/>
      <c r="AL18" s="14"/>
      <c r="AM18" s="174"/>
      <c r="AN18" s="174"/>
      <c r="AO18" s="174"/>
      <c r="AP18" s="174"/>
      <c r="AQ18" s="174"/>
      <c r="AR18" s="174"/>
      <c r="AS18" s="174"/>
      <c r="AT18" s="174"/>
      <c r="AU18" s="174"/>
      <c r="AV18" s="174"/>
      <c r="AW18" s="14"/>
      <c r="AX18" s="14"/>
      <c r="AY18" s="14"/>
      <c r="AZ18" s="14"/>
      <c r="BA18" s="14"/>
      <c r="BB18" s="14"/>
      <c r="BC18" s="14"/>
      <c r="BD18" s="14"/>
      <c r="BE18" s="14"/>
      <c r="BF18" s="14"/>
      <c r="BG18" s="14"/>
      <c r="BH18" s="174"/>
      <c r="BI18" s="177"/>
      <c r="BJ18" s="174"/>
      <c r="BK18" s="174"/>
      <c r="BL18" s="1"/>
      <c r="BM18" s="174"/>
      <c r="BN18" s="174"/>
      <c r="BO18" s="174"/>
      <c r="BP18" s="44"/>
      <c r="BQ18" s="44"/>
      <c r="BR18" s="44"/>
      <c r="BS18" s="44"/>
      <c r="BT18" s="44"/>
      <c r="BU18" s="44"/>
      <c r="BV18" s="44"/>
      <c r="BW18" s="9"/>
      <c r="BX18" s="9"/>
      <c r="BY18" s="9"/>
      <c r="BZ18" s="9"/>
      <c r="CA18" s="9"/>
      <c r="CB18" s="9"/>
      <c r="CC18" s="9"/>
      <c r="CD18" s="9"/>
      <c r="CE18" s="9"/>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4"/>
      <c r="AK19" s="1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4"/>
      <c r="BH19" s="174"/>
      <c r="BI19" s="177"/>
      <c r="BJ19" s="174"/>
      <c r="BK19" s="174"/>
      <c r="BL19" s="1"/>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4"/>
      <c r="AK20" s="1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4"/>
      <c r="BH20" s="174"/>
      <c r="BI20" s="177"/>
      <c r="BJ20" s="174"/>
      <c r="BK20" s="174"/>
      <c r="BL20" s="1"/>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4"/>
      <c r="AB21" s="14"/>
      <c r="AC21" s="14"/>
      <c r="AD21" s="14"/>
      <c r="AE21" s="14"/>
      <c r="AF21" s="14"/>
      <c r="AG21" s="14"/>
      <c r="AH21" s="14"/>
      <c r="AI21" s="14"/>
      <c r="AJ21" s="14"/>
      <c r="AK21" s="1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4"/>
      <c r="BH21" s="174"/>
      <c r="BI21" s="177"/>
      <c r="BJ21" s="174"/>
      <c r="BK21" s="174"/>
      <c r="BL21" s="1"/>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7"/>
    </row>
    <row r="22" spans="2:123" ht="9.9499999999999993" customHeigh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4"/>
      <c r="AB22" s="14"/>
      <c r="AC22" s="14"/>
      <c r="AD22" s="14"/>
      <c r="AE22" s="14"/>
      <c r="AF22" s="14"/>
      <c r="AG22" s="14"/>
      <c r="AH22" s="14"/>
      <c r="AI22" s="14"/>
      <c r="AJ22" s="14"/>
      <c r="AK22" s="1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4"/>
      <c r="BH22" s="174"/>
      <c r="BI22" s="177"/>
      <c r="BJ22" s="174"/>
      <c r="BK22" s="174"/>
      <c r="BL22" s="1"/>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4"/>
      <c r="AB23" s="14"/>
      <c r="AC23" s="14"/>
      <c r="AD23" s="14"/>
      <c r="AE23" s="14"/>
      <c r="AF23" s="14"/>
      <c r="AG23" s="14"/>
      <c r="AH23" s="14"/>
      <c r="AI23" s="14"/>
      <c r="AJ23" s="14"/>
      <c r="AK23" s="1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4"/>
      <c r="BH23" s="174"/>
      <c r="BI23" s="177"/>
      <c r="BJ23" s="174"/>
      <c r="BK23" s="174"/>
      <c r="BL23" s="1"/>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4"/>
      <c r="AB24" s="14"/>
      <c r="AC24" s="14"/>
      <c r="AD24" s="14"/>
      <c r="AE24" s="14"/>
      <c r="AF24" s="14"/>
      <c r="AG24" s="14"/>
      <c r="AH24" s="14"/>
      <c r="AI24" s="14"/>
      <c r="AJ24" s="14"/>
      <c r="AK24" s="14"/>
      <c r="AL24" s="174"/>
      <c r="AM24" s="174"/>
      <c r="AN24" s="174"/>
      <c r="AO24" s="174"/>
      <c r="AP24" s="174"/>
      <c r="AQ24" s="174"/>
      <c r="AR24" s="174"/>
      <c r="AS24" s="174"/>
      <c r="AT24" s="174"/>
      <c r="AU24" s="174"/>
      <c r="AV24" s="14"/>
      <c r="AW24" s="174"/>
      <c r="AX24" s="174"/>
      <c r="AY24" s="174"/>
      <c r="AZ24" s="174"/>
      <c r="BA24" s="174"/>
      <c r="BB24" s="174"/>
      <c r="BC24" s="174"/>
      <c r="BD24" s="174"/>
      <c r="BE24" s="174"/>
      <c r="BF24" s="174"/>
      <c r="BG24" s="14"/>
      <c r="BH24" s="174"/>
      <c r="BI24" s="177"/>
      <c r="BJ24" s="174"/>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6"/>
      <c r="CI24" s="174"/>
      <c r="CJ24" s="763"/>
      <c r="CK24" s="764"/>
      <c r="CL24" s="765"/>
      <c r="CM24" s="769"/>
      <c r="CN24" s="764"/>
      <c r="CO24" s="765"/>
      <c r="CP24" s="769"/>
      <c r="CQ24" s="764"/>
      <c r="CR24" s="765"/>
      <c r="CS24" s="769"/>
      <c r="CT24" s="764"/>
      <c r="CU24" s="771"/>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74"/>
      <c r="AM25" s="174"/>
      <c r="AN25" s="174"/>
      <c r="AO25" s="174"/>
      <c r="AP25" s="174"/>
      <c r="AQ25" s="174"/>
      <c r="AR25" s="174"/>
      <c r="AS25" s="174"/>
      <c r="AT25" s="174"/>
      <c r="AU25" s="174"/>
      <c r="AV25" s="14"/>
      <c r="AW25" s="174"/>
      <c r="AX25" s="174"/>
      <c r="AY25" s="174"/>
      <c r="AZ25" s="174"/>
      <c r="BA25" s="174"/>
      <c r="BB25" s="174"/>
      <c r="BC25" s="174"/>
      <c r="BD25" s="174"/>
      <c r="BE25" s="174"/>
      <c r="BF25" s="174"/>
      <c r="BG25" s="1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6"/>
      <c r="CI25" s="16"/>
      <c r="CJ25" s="766"/>
      <c r="CK25" s="767"/>
      <c r="CL25" s="768"/>
      <c r="CM25" s="770"/>
      <c r="CN25" s="767"/>
      <c r="CO25" s="768"/>
      <c r="CP25" s="770"/>
      <c r="CQ25" s="767"/>
      <c r="CR25" s="768"/>
      <c r="CS25" s="770"/>
      <c r="CT25" s="767"/>
      <c r="CU25" s="772"/>
      <c r="CV25" s="174"/>
      <c r="CW25" s="174"/>
      <c r="CX25" s="174"/>
      <c r="CY25" s="174"/>
      <c r="CZ25" s="174"/>
      <c r="DA25" s="174"/>
      <c r="DB25" s="174"/>
      <c r="DC25" s="174"/>
      <c r="DD25" s="174"/>
      <c r="DE25" s="174"/>
      <c r="DF25" s="174"/>
      <c r="DG25" s="15"/>
      <c r="DH25" s="19"/>
      <c r="DI25" s="174"/>
      <c r="DJ25" s="174"/>
      <c r="DK25" s="174"/>
      <c r="DL25" s="174"/>
      <c r="DM25" s="174"/>
      <c r="DN25" s="174"/>
      <c r="DO25" s="174"/>
      <c r="DP25" s="174"/>
      <c r="DQ25" s="174"/>
      <c r="DR25" s="174"/>
      <c r="DS25" s="177"/>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74"/>
      <c r="AM26" s="174"/>
      <c r="AN26" s="174"/>
      <c r="AO26" s="174"/>
      <c r="AP26" s="174"/>
      <c r="AQ26" s="174"/>
      <c r="AR26" s="174"/>
      <c r="AS26" s="174"/>
      <c r="AT26" s="174"/>
      <c r="AU26" s="174"/>
      <c r="AV26" s="14"/>
      <c r="AW26" s="174"/>
      <c r="AX26" s="174"/>
      <c r="AY26" s="174"/>
      <c r="AZ26" s="174"/>
      <c r="BA26" s="174"/>
      <c r="BB26" s="174"/>
      <c r="BC26" s="174"/>
      <c r="BD26" s="174"/>
      <c r="BE26" s="174"/>
      <c r="BF26" s="174"/>
      <c r="BG26" s="1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6"/>
      <c r="CI26" s="16"/>
      <c r="CJ26" s="766"/>
      <c r="CK26" s="767"/>
      <c r="CL26" s="768"/>
      <c r="CM26" s="770"/>
      <c r="CN26" s="767"/>
      <c r="CO26" s="768"/>
      <c r="CP26" s="770"/>
      <c r="CQ26" s="767"/>
      <c r="CR26" s="768"/>
      <c r="CS26" s="770"/>
      <c r="CT26" s="767"/>
      <c r="CU26" s="772"/>
      <c r="CV26" s="174"/>
      <c r="CW26" s="174"/>
      <c r="CX26" s="174"/>
      <c r="CY26" s="174"/>
      <c r="CZ26" s="174"/>
      <c r="DA26" s="174"/>
      <c r="DB26" s="174"/>
      <c r="DC26" s="174"/>
      <c r="DD26" s="174"/>
      <c r="DE26" s="174"/>
      <c r="DF26" s="174"/>
      <c r="DG26" s="174"/>
      <c r="DH26" s="19"/>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74"/>
      <c r="AM27" s="174"/>
      <c r="AN27" s="174"/>
      <c r="AO27" s="174"/>
      <c r="AP27" s="174"/>
      <c r="AQ27" s="174"/>
      <c r="AR27" s="174"/>
      <c r="AS27" s="174"/>
      <c r="AT27" s="174"/>
      <c r="AU27" s="174"/>
      <c r="AV27" s="14"/>
      <c r="AW27" s="174"/>
      <c r="AX27" s="174"/>
      <c r="AY27" s="174"/>
      <c r="AZ27" s="174"/>
      <c r="BA27" s="174"/>
      <c r="BB27" s="174"/>
      <c r="BC27" s="174"/>
      <c r="BD27" s="174"/>
      <c r="BE27" s="174"/>
      <c r="BF27" s="174"/>
      <c r="BG27" s="1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6"/>
      <c r="CH27" s="16"/>
      <c r="CI27" s="16"/>
      <c r="CJ27" s="766"/>
      <c r="CK27" s="767"/>
      <c r="CL27" s="768"/>
      <c r="CM27" s="770"/>
      <c r="CN27" s="767"/>
      <c r="CO27" s="768"/>
      <c r="CP27" s="770"/>
      <c r="CQ27" s="767"/>
      <c r="CR27" s="768"/>
      <c r="CS27" s="770"/>
      <c r="CT27" s="767"/>
      <c r="CU27" s="772"/>
      <c r="CV27" s="174"/>
      <c r="CW27" s="174"/>
      <c r="CX27" s="174"/>
      <c r="CY27" s="174"/>
      <c r="CZ27" s="174"/>
      <c r="DA27" s="174"/>
      <c r="DB27" s="174"/>
      <c r="DC27" s="174"/>
      <c r="DD27" s="174"/>
      <c r="DE27" s="174"/>
      <c r="DF27" s="174"/>
      <c r="DG27" s="174"/>
      <c r="DH27" s="19"/>
      <c r="DI27" s="174"/>
      <c r="DJ27" s="174"/>
      <c r="DK27" s="174"/>
      <c r="DL27" s="174"/>
      <c r="DM27" s="174"/>
      <c r="DN27" s="174"/>
      <c r="DO27" s="174"/>
      <c r="DP27" s="174"/>
      <c r="DQ27" s="174"/>
      <c r="DR27" s="174"/>
      <c r="DS27" s="177"/>
    </row>
    <row r="28" spans="2:123" ht="9.9499999999999993" customHeight="1">
      <c r="B28" s="1"/>
      <c r="C28" s="174"/>
      <c r="D28" s="174"/>
      <c r="E28" s="174"/>
      <c r="F28" s="174"/>
      <c r="G28" s="174"/>
      <c r="H28" s="728">
        <f>CL37</f>
        <v>2974.8919667590026</v>
      </c>
      <c r="I28" s="729"/>
      <c r="J28" s="729"/>
      <c r="K28" s="729"/>
      <c r="L28" s="729"/>
      <c r="M28" s="729"/>
      <c r="N28" s="729"/>
      <c r="O28" s="729"/>
      <c r="P28" s="729"/>
      <c r="Q28" s="730"/>
      <c r="R28" s="174"/>
      <c r="S28" s="174"/>
      <c r="T28" s="174"/>
      <c r="U28" s="174"/>
      <c r="V28" s="174"/>
      <c r="W28" s="174"/>
      <c r="X28" s="174"/>
      <c r="Y28" s="174"/>
      <c r="Z28" s="14"/>
      <c r="AA28" s="14"/>
      <c r="AB28" s="14"/>
      <c r="AC28" s="14"/>
      <c r="AD28" s="14"/>
      <c r="AE28" s="14"/>
      <c r="AF28" s="14"/>
      <c r="AG28" s="14"/>
      <c r="AH28" s="14"/>
      <c r="AI28" s="14"/>
      <c r="AJ28" s="14"/>
      <c r="AK28" s="14"/>
      <c r="AL28" s="174"/>
      <c r="AM28" s="174"/>
      <c r="AN28" s="174"/>
      <c r="AO28" s="174"/>
      <c r="AP28" s="174"/>
      <c r="AQ28" s="174"/>
      <c r="AR28" s="174"/>
      <c r="AS28" s="174"/>
      <c r="AT28" s="174"/>
      <c r="AU28" s="174"/>
      <c r="AV28" s="14"/>
      <c r="AW28" s="174"/>
      <c r="AX28" s="174"/>
      <c r="AY28" s="174"/>
      <c r="AZ28" s="174"/>
      <c r="BA28" s="174"/>
      <c r="BB28" s="174"/>
      <c r="BC28" s="174"/>
      <c r="BD28" s="174"/>
      <c r="BE28" s="174"/>
      <c r="BF28" s="174"/>
      <c r="BG28" s="1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6"/>
      <c r="CH28" s="16"/>
      <c r="CI28" s="16"/>
      <c r="CJ28" s="773" t="s">
        <v>99</v>
      </c>
      <c r="CK28" s="774"/>
      <c r="CL28" s="775"/>
      <c r="CM28" s="776" t="s">
        <v>99</v>
      </c>
      <c r="CN28" s="774"/>
      <c r="CO28" s="775"/>
      <c r="CP28" s="776" t="s">
        <v>99</v>
      </c>
      <c r="CQ28" s="774"/>
      <c r="CR28" s="775"/>
      <c r="CS28" s="776" t="s">
        <v>99</v>
      </c>
      <c r="CT28" s="774"/>
      <c r="CU28" s="777"/>
      <c r="CV28" s="174"/>
      <c r="CW28" s="19"/>
      <c r="CX28" s="19"/>
      <c r="CY28" s="19"/>
      <c r="CZ28" s="19"/>
      <c r="DA28" s="19"/>
      <c r="DB28" s="19"/>
      <c r="DC28" s="174"/>
      <c r="DD28" s="174"/>
      <c r="DE28" s="174"/>
      <c r="DF28" s="174"/>
      <c r="DG28" s="174"/>
      <c r="DH28" s="19"/>
      <c r="DI28" s="174"/>
      <c r="DJ28" s="174"/>
      <c r="DK28" s="174"/>
      <c r="DL28" s="174"/>
      <c r="DM28" s="174"/>
      <c r="DN28" s="174"/>
      <c r="DO28" s="174"/>
      <c r="DP28" s="174"/>
      <c r="DQ28" s="174"/>
      <c r="DR28" s="174"/>
      <c r="DS28" s="177"/>
    </row>
    <row r="29" spans="2:123" ht="9.9499999999999993" customHeight="1">
      <c r="B29" s="1"/>
      <c r="C29" s="174"/>
      <c r="D29" s="174"/>
      <c r="E29" s="174"/>
      <c r="F29" s="174"/>
      <c r="G29" s="174"/>
      <c r="H29" s="731"/>
      <c r="I29" s="732"/>
      <c r="J29" s="732"/>
      <c r="K29" s="732"/>
      <c r="L29" s="732"/>
      <c r="M29" s="732"/>
      <c r="N29" s="732"/>
      <c r="O29" s="732"/>
      <c r="P29" s="732"/>
      <c r="Q29" s="733"/>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6"/>
      <c r="CH29" s="16"/>
      <c r="CI29" s="16"/>
      <c r="CJ29" s="778">
        <f>SBR_Master</f>
        <v>0</v>
      </c>
      <c r="CK29" s="779"/>
      <c r="CL29" s="780"/>
      <c r="CM29" s="781">
        <f>SBT_Master</f>
        <v>1447</v>
      </c>
      <c r="CN29" s="779"/>
      <c r="CO29" s="780"/>
      <c r="CP29" s="781">
        <f>SBL_Master</f>
        <v>607</v>
      </c>
      <c r="CQ29" s="779"/>
      <c r="CR29" s="780"/>
      <c r="CS29" s="781">
        <f>SBU_Master</f>
        <v>0</v>
      </c>
      <c r="CT29" s="779"/>
      <c r="CU29" s="782"/>
      <c r="CV29" s="174"/>
      <c r="CW29" s="19"/>
      <c r="CX29" s="19"/>
      <c r="CY29" s="19"/>
      <c r="CZ29" s="19"/>
      <c r="DA29" s="19"/>
      <c r="DB29" s="19"/>
      <c r="DC29" s="174"/>
      <c r="DD29" s="174"/>
      <c r="DE29" s="174"/>
      <c r="DF29" s="174"/>
      <c r="DG29" s="174"/>
      <c r="DH29" s="19"/>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734"/>
      <c r="I30" s="735"/>
      <c r="J30" s="735"/>
      <c r="K30" s="735"/>
      <c r="L30" s="735"/>
      <c r="M30" s="735"/>
      <c r="N30" s="735"/>
      <c r="O30" s="735"/>
      <c r="P30" s="735"/>
      <c r="Q30" s="736"/>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6"/>
      <c r="CJ30" s="783">
        <v>1</v>
      </c>
      <c r="CK30" s="784"/>
      <c r="CL30" s="784"/>
      <c r="CM30" s="784">
        <v>1</v>
      </c>
      <c r="CN30" s="784"/>
      <c r="CO30" s="784"/>
      <c r="CP30" s="785">
        <v>1</v>
      </c>
      <c r="CQ30" s="786"/>
      <c r="CR30" s="786"/>
      <c r="CS30" s="786"/>
      <c r="CT30" s="786"/>
      <c r="CU30" s="787"/>
      <c r="CV30" s="174"/>
      <c r="CW30" s="19"/>
      <c r="CX30" s="19"/>
      <c r="CY30" s="19"/>
      <c r="CZ30" s="19"/>
      <c r="DA30" s="19"/>
      <c r="DB30" s="19"/>
      <c r="DC30" s="174"/>
      <c r="DD30" s="174"/>
      <c r="DE30" s="174"/>
      <c r="DF30" s="174"/>
      <c r="DG30" s="174"/>
      <c r="DH30" s="19"/>
      <c r="DI30" s="174"/>
      <c r="DJ30" s="174"/>
      <c r="DK30" s="174"/>
      <c r="DL30" s="174"/>
      <c r="DM30" s="174"/>
      <c r="DN30" s="174"/>
      <c r="DO30" s="174"/>
      <c r="DP30" s="174"/>
      <c r="DQ30" s="174"/>
      <c r="DR30" s="174"/>
      <c r="DS30" s="177"/>
    </row>
    <row r="31" spans="2:123" ht="9.9499999999999993" customHeight="1">
      <c r="B31" s="1"/>
      <c r="C31" s="174"/>
      <c r="D31" s="174"/>
      <c r="E31" s="174"/>
      <c r="F31" s="174"/>
      <c r="G31" s="174"/>
      <c r="H31" s="713">
        <f>ROUND(H28/CLV_Limit,2)</f>
        <v>1.86</v>
      </c>
      <c r="I31" s="714"/>
      <c r="J31" s="714"/>
      <c r="K31" s="714"/>
      <c r="L31" s="715"/>
      <c r="M31" s="722" t="s">
        <v>100</v>
      </c>
      <c r="N31" s="722"/>
      <c r="O31" s="722"/>
      <c r="P31" s="722"/>
      <c r="Q31" s="723"/>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74"/>
      <c r="CC31" s="788"/>
      <c r="CD31" s="789"/>
      <c r="CE31" s="789"/>
      <c r="CF31" s="789"/>
      <c r="CG31" s="794" t="s">
        <v>99</v>
      </c>
      <c r="CH31" s="797">
        <f>EBU_Master</f>
        <v>0</v>
      </c>
      <c r="CI31" s="800">
        <v>1</v>
      </c>
      <c r="CJ31" s="56"/>
      <c r="CK31" s="175"/>
      <c r="CL31" s="175"/>
      <c r="CM31" s="175"/>
      <c r="CN31" s="175"/>
      <c r="CO31" s="175"/>
      <c r="CP31" s="175"/>
      <c r="CQ31" s="175"/>
      <c r="CR31" s="175"/>
      <c r="CS31" s="175"/>
      <c r="CT31" s="175"/>
      <c r="CU31" s="176"/>
      <c r="CV31" s="803">
        <v>1</v>
      </c>
      <c r="CW31" s="806">
        <f>WBR_Master</f>
        <v>625</v>
      </c>
      <c r="CX31" s="809" t="s">
        <v>99</v>
      </c>
      <c r="CY31" s="789"/>
      <c r="CZ31" s="789"/>
      <c r="DA31" s="789"/>
      <c r="DB31" s="812"/>
      <c r="DC31" s="174"/>
      <c r="DD31" s="174"/>
      <c r="DE31" s="174"/>
      <c r="DF31" s="174"/>
      <c r="DG31" s="174"/>
      <c r="DH31" s="174"/>
      <c r="DI31" s="174"/>
      <c r="DJ31" s="174"/>
      <c r="DK31" s="174"/>
      <c r="DL31" s="174"/>
      <c r="DM31" s="174"/>
      <c r="DN31" s="174"/>
      <c r="DO31" s="174"/>
      <c r="DP31" s="174"/>
      <c r="DQ31" s="174"/>
      <c r="DR31" s="174"/>
      <c r="DS31" s="177"/>
    </row>
    <row r="32" spans="2:123" ht="9.9499999999999993" customHeight="1">
      <c r="B32" s="1"/>
      <c r="C32" s="174"/>
      <c r="D32" s="174"/>
      <c r="E32" s="174"/>
      <c r="F32" s="174"/>
      <c r="G32" s="174"/>
      <c r="H32" s="716"/>
      <c r="I32" s="717"/>
      <c r="J32" s="717"/>
      <c r="K32" s="717"/>
      <c r="L32" s="718"/>
      <c r="M32" s="724"/>
      <c r="N32" s="724"/>
      <c r="O32" s="724"/>
      <c r="P32" s="724"/>
      <c r="Q32" s="725"/>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74"/>
      <c r="CC32" s="790"/>
      <c r="CD32" s="791"/>
      <c r="CE32" s="791"/>
      <c r="CF32" s="791"/>
      <c r="CG32" s="795"/>
      <c r="CH32" s="798"/>
      <c r="CI32" s="801"/>
      <c r="CJ32" s="58"/>
      <c r="CK32" s="109"/>
      <c r="CL32" s="109"/>
      <c r="CM32" s="109"/>
      <c r="CN32" s="109"/>
      <c r="CO32" s="109"/>
      <c r="CP32" s="109"/>
      <c r="CQ32" s="109"/>
      <c r="CR32" s="109"/>
      <c r="CS32" s="109"/>
      <c r="CT32" s="109"/>
      <c r="CU32" s="60"/>
      <c r="CV32" s="804"/>
      <c r="CW32" s="807"/>
      <c r="CX32" s="810"/>
      <c r="CY32" s="791"/>
      <c r="CZ32" s="791"/>
      <c r="DA32" s="791"/>
      <c r="DB32" s="813"/>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174"/>
      <c r="D33" s="174"/>
      <c r="E33" s="174"/>
      <c r="F33" s="174"/>
      <c r="G33" s="174"/>
      <c r="H33" s="719"/>
      <c r="I33" s="720"/>
      <c r="J33" s="720"/>
      <c r="K33" s="720"/>
      <c r="L33" s="721"/>
      <c r="M33" s="726"/>
      <c r="N33" s="726"/>
      <c r="O33" s="726"/>
      <c r="P33" s="726"/>
      <c r="Q33" s="727"/>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174"/>
      <c r="CC33" s="792"/>
      <c r="CD33" s="793"/>
      <c r="CE33" s="793"/>
      <c r="CF33" s="793"/>
      <c r="CG33" s="796"/>
      <c r="CH33" s="799"/>
      <c r="CI33" s="801"/>
      <c r="CJ33" s="58"/>
      <c r="CK33" s="109"/>
      <c r="CL33" s="109"/>
      <c r="CM33" s="109"/>
      <c r="CN33" s="109"/>
      <c r="CO33" s="109"/>
      <c r="CP33" s="109"/>
      <c r="CQ33" s="109"/>
      <c r="CR33" s="109"/>
      <c r="CS33" s="109"/>
      <c r="CT33" s="109"/>
      <c r="CU33" s="60"/>
      <c r="CV33" s="805"/>
      <c r="CW33" s="808"/>
      <c r="CX33" s="811"/>
      <c r="CY33" s="793"/>
      <c r="CZ33" s="793"/>
      <c r="DA33" s="793"/>
      <c r="DB33" s="81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74"/>
      <c r="CB34" s="174"/>
      <c r="CC34" s="815"/>
      <c r="CD34" s="816"/>
      <c r="CE34" s="816"/>
      <c r="CF34" s="816"/>
      <c r="CG34" s="817" t="s">
        <v>99</v>
      </c>
      <c r="CH34" s="818">
        <f>EBL_Master</f>
        <v>899</v>
      </c>
      <c r="CI34" s="801"/>
      <c r="CJ34" s="58"/>
      <c r="CK34" s="109"/>
      <c r="CL34" s="763"/>
      <c r="CM34" s="764"/>
      <c r="CN34" s="764"/>
      <c r="CO34" s="764"/>
      <c r="CP34" s="764"/>
      <c r="CQ34" s="764"/>
      <c r="CR34" s="764"/>
      <c r="CS34" s="771"/>
      <c r="CT34" s="109"/>
      <c r="CU34" s="60"/>
      <c r="CV34" s="819">
        <v>1</v>
      </c>
      <c r="CW34" s="820">
        <f>WBT_Master</f>
        <v>0</v>
      </c>
      <c r="CX34" s="821" t="s">
        <v>99</v>
      </c>
      <c r="CY34" s="816"/>
      <c r="CZ34" s="816"/>
      <c r="DA34" s="816"/>
      <c r="DB34" s="822"/>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174"/>
      <c r="CC35" s="790"/>
      <c r="CD35" s="791"/>
      <c r="CE35" s="791"/>
      <c r="CF35" s="791"/>
      <c r="CG35" s="795"/>
      <c r="CH35" s="798"/>
      <c r="CI35" s="801"/>
      <c r="CJ35" s="58"/>
      <c r="CK35" s="109"/>
      <c r="CL35" s="766"/>
      <c r="CM35" s="767"/>
      <c r="CN35" s="767"/>
      <c r="CO35" s="767"/>
      <c r="CP35" s="767"/>
      <c r="CQ35" s="767"/>
      <c r="CR35" s="767"/>
      <c r="CS35" s="772"/>
      <c r="CT35" s="109"/>
      <c r="CU35" s="60"/>
      <c r="CV35" s="804"/>
      <c r="CW35" s="807"/>
      <c r="CX35" s="810"/>
      <c r="CY35" s="791"/>
      <c r="CZ35" s="791"/>
      <c r="DA35" s="791"/>
      <c r="DB35" s="813"/>
      <c r="DC35" s="174"/>
      <c r="DD35" s="174"/>
      <c r="DE35" s="174"/>
      <c r="DF35" s="174"/>
      <c r="DG35" s="174"/>
      <c r="DH35" s="174"/>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174"/>
      <c r="CC36" s="792"/>
      <c r="CD36" s="793"/>
      <c r="CE36" s="793"/>
      <c r="CF36" s="793"/>
      <c r="CG36" s="796"/>
      <c r="CH36" s="799"/>
      <c r="CI36" s="802"/>
      <c r="CJ36" s="58"/>
      <c r="CK36" s="109"/>
      <c r="CL36" s="766"/>
      <c r="CM36" s="767"/>
      <c r="CN36" s="767"/>
      <c r="CO36" s="767"/>
      <c r="CP36" s="767"/>
      <c r="CQ36" s="767"/>
      <c r="CR36" s="767"/>
      <c r="CS36" s="772"/>
      <c r="CT36" s="109"/>
      <c r="CU36" s="60"/>
      <c r="CV36" s="805"/>
      <c r="CW36" s="808"/>
      <c r="CX36" s="811"/>
      <c r="CY36" s="793"/>
      <c r="CZ36" s="793"/>
      <c r="DA36" s="793"/>
      <c r="DB36" s="81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74"/>
      <c r="CB37" s="174"/>
      <c r="CC37" s="815"/>
      <c r="CD37" s="816"/>
      <c r="CE37" s="816"/>
      <c r="CF37" s="816"/>
      <c r="CG37" s="817" t="s">
        <v>99</v>
      </c>
      <c r="CH37" s="818">
        <f>EBT_Master</f>
        <v>0</v>
      </c>
      <c r="CI37" s="828">
        <v>1</v>
      </c>
      <c r="CJ37" s="58"/>
      <c r="CK37" s="109"/>
      <c r="CL37" s="833">
        <f>MAX((CH34/LTAF+CH31/UTAF)/CI31 + MAX(CW34/CV34, ROUND(MAX(0,CW31/RTAF/CV31-CP29/LTAF/CP30),0)), (CW37/LTAF+CW40/UTAF)/CV37 +MAX(CH37/CI37, ROUND(MAX(0,CH40/RTAF/CI40-CM44/LTAF/CJ43),0)))+MAX((CM44/LTAF+CJ44/UTAF)/LTAF/CJ43 + MAX(CM29/CM30, ROUND(MAX(0,CJ29/RTAF/CJ30-CH34/LTAF/CI31),0)), (CP29/LTAF+CS29/UTAF)/LTAF/CP30 +MAX(CP44/CP43, ROUND(MAX(0,CS44/RTAF/CS43-CW37/LTAF/CV37),0)))</f>
        <v>2974.8919667590026</v>
      </c>
      <c r="CM37" s="834"/>
      <c r="CN37" s="834"/>
      <c r="CO37" s="834"/>
      <c r="CP37" s="834"/>
      <c r="CQ37" s="834"/>
      <c r="CR37" s="834"/>
      <c r="CS37" s="835"/>
      <c r="CT37" s="109"/>
      <c r="CU37" s="60"/>
      <c r="CV37" s="819">
        <v>1</v>
      </c>
      <c r="CW37" s="820">
        <f>WBL_Master</f>
        <v>588</v>
      </c>
      <c r="CX37" s="821" t="s">
        <v>99</v>
      </c>
      <c r="CY37" s="816"/>
      <c r="CZ37" s="816"/>
      <c r="DA37" s="816"/>
      <c r="DB37" s="822"/>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174"/>
      <c r="CC38" s="790"/>
      <c r="CD38" s="791"/>
      <c r="CE38" s="791"/>
      <c r="CF38" s="791"/>
      <c r="CG38" s="795"/>
      <c r="CH38" s="798"/>
      <c r="CI38" s="801"/>
      <c r="CJ38" s="58"/>
      <c r="CK38" s="109"/>
      <c r="CL38" s="833"/>
      <c r="CM38" s="834"/>
      <c r="CN38" s="834"/>
      <c r="CO38" s="834"/>
      <c r="CP38" s="834"/>
      <c r="CQ38" s="834"/>
      <c r="CR38" s="834"/>
      <c r="CS38" s="835"/>
      <c r="CT38" s="109"/>
      <c r="CU38" s="60"/>
      <c r="CV38" s="804"/>
      <c r="CW38" s="807"/>
      <c r="CX38" s="810"/>
      <c r="CY38" s="791"/>
      <c r="CZ38" s="791"/>
      <c r="DA38" s="791"/>
      <c r="DB38" s="813"/>
      <c r="DC38" s="174"/>
      <c r="DD38" s="174"/>
      <c r="DE38" s="174"/>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792"/>
      <c r="CD39" s="793"/>
      <c r="CE39" s="793"/>
      <c r="CF39" s="793"/>
      <c r="CG39" s="796"/>
      <c r="CH39" s="799"/>
      <c r="CI39" s="802"/>
      <c r="CJ39" s="58"/>
      <c r="CK39" s="109"/>
      <c r="CL39" s="836"/>
      <c r="CM39" s="837"/>
      <c r="CN39" s="837"/>
      <c r="CO39" s="837"/>
      <c r="CP39" s="837"/>
      <c r="CQ39" s="837"/>
      <c r="CR39" s="837"/>
      <c r="CS39" s="838"/>
      <c r="CT39" s="109"/>
      <c r="CU39" s="60"/>
      <c r="CV39" s="804"/>
      <c r="CW39" s="808"/>
      <c r="CX39" s="811"/>
      <c r="CY39" s="793"/>
      <c r="CZ39" s="793"/>
      <c r="DA39" s="793"/>
      <c r="DB39" s="814"/>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174"/>
      <c r="BW40" s="174"/>
      <c r="BX40" s="174"/>
      <c r="BY40" s="174"/>
      <c r="BZ40" s="174"/>
      <c r="CA40" s="174"/>
      <c r="CB40" s="174"/>
      <c r="CC40" s="815"/>
      <c r="CD40" s="816"/>
      <c r="CE40" s="816"/>
      <c r="CF40" s="816"/>
      <c r="CG40" s="817" t="s">
        <v>99</v>
      </c>
      <c r="CH40" s="818">
        <f>EBR_Master</f>
        <v>208</v>
      </c>
      <c r="CI40" s="828">
        <v>1</v>
      </c>
      <c r="CJ40" s="58"/>
      <c r="CK40" s="109"/>
      <c r="CL40" s="109"/>
      <c r="CM40" s="109"/>
      <c r="CN40" s="109"/>
      <c r="CO40" s="109"/>
      <c r="CP40" s="109"/>
      <c r="CQ40" s="109"/>
      <c r="CR40" s="109"/>
      <c r="CS40" s="109"/>
      <c r="CT40" s="109"/>
      <c r="CU40" s="60"/>
      <c r="CV40" s="804"/>
      <c r="CW40" s="820">
        <f>WBU_Master</f>
        <v>0</v>
      </c>
      <c r="CX40" s="821" t="s">
        <v>99</v>
      </c>
      <c r="CY40" s="816"/>
      <c r="CZ40" s="816"/>
      <c r="DA40" s="816"/>
      <c r="DB40" s="822"/>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74"/>
      <c r="CB41" s="174"/>
      <c r="CC41" s="790"/>
      <c r="CD41" s="791"/>
      <c r="CE41" s="791"/>
      <c r="CF41" s="791"/>
      <c r="CG41" s="795"/>
      <c r="CH41" s="798"/>
      <c r="CI41" s="801"/>
      <c r="CJ41" s="58"/>
      <c r="CK41" s="109"/>
      <c r="CL41" s="109"/>
      <c r="CM41" s="109"/>
      <c r="CN41" s="109"/>
      <c r="CO41" s="109"/>
      <c r="CP41" s="109"/>
      <c r="CQ41" s="109"/>
      <c r="CR41" s="109"/>
      <c r="CS41" s="109"/>
      <c r="CT41" s="109"/>
      <c r="CU41" s="60"/>
      <c r="CV41" s="804"/>
      <c r="CW41" s="807"/>
      <c r="CX41" s="810"/>
      <c r="CY41" s="791"/>
      <c r="CZ41" s="791"/>
      <c r="DA41" s="791"/>
      <c r="DB41" s="813"/>
      <c r="DC41" s="174"/>
      <c r="DD41" s="174"/>
      <c r="DE41" s="174"/>
      <c r="DF41" s="174"/>
      <c r="DG41" s="174"/>
      <c r="DH41" s="174"/>
      <c r="DI41" s="174"/>
      <c r="DJ41" s="174"/>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74"/>
      <c r="CB42" s="174"/>
      <c r="CC42" s="824"/>
      <c r="CD42" s="825"/>
      <c r="CE42" s="825"/>
      <c r="CF42" s="825"/>
      <c r="CG42" s="826"/>
      <c r="CH42" s="827"/>
      <c r="CI42" s="829"/>
      <c r="CJ42" s="61"/>
      <c r="CK42" s="110"/>
      <c r="CL42" s="110"/>
      <c r="CM42" s="110"/>
      <c r="CN42" s="110"/>
      <c r="CO42" s="110"/>
      <c r="CP42" s="110"/>
      <c r="CQ42" s="110"/>
      <c r="CR42" s="110"/>
      <c r="CS42" s="110"/>
      <c r="CT42" s="110"/>
      <c r="CU42" s="63"/>
      <c r="CV42" s="823"/>
      <c r="CW42" s="830"/>
      <c r="CX42" s="831"/>
      <c r="CY42" s="825"/>
      <c r="CZ42" s="825"/>
      <c r="DA42" s="825"/>
      <c r="DB42" s="832"/>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839">
        <v>1</v>
      </c>
      <c r="CK43" s="840"/>
      <c r="CL43" s="840"/>
      <c r="CM43" s="840"/>
      <c r="CN43" s="840"/>
      <c r="CO43" s="841"/>
      <c r="CP43" s="842">
        <v>1</v>
      </c>
      <c r="CQ43" s="840"/>
      <c r="CR43" s="841"/>
      <c r="CS43" s="842">
        <v>1</v>
      </c>
      <c r="CT43" s="840"/>
      <c r="CU43" s="843"/>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844">
        <f>NBU_Master</f>
        <v>0</v>
      </c>
      <c r="CK44" s="845"/>
      <c r="CL44" s="846"/>
      <c r="CM44" s="847">
        <f>NBL_Master</f>
        <v>0</v>
      </c>
      <c r="CN44" s="845"/>
      <c r="CO44" s="846"/>
      <c r="CP44" s="847">
        <f>NBT_Master</f>
        <v>1260</v>
      </c>
      <c r="CQ44" s="845"/>
      <c r="CR44" s="846"/>
      <c r="CS44" s="847">
        <f>NBR_Master</f>
        <v>1060</v>
      </c>
      <c r="CT44" s="845"/>
      <c r="CU44" s="848"/>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773" t="s">
        <v>99</v>
      </c>
      <c r="CK45" s="774"/>
      <c r="CL45" s="775"/>
      <c r="CM45" s="776" t="s">
        <v>99</v>
      </c>
      <c r="CN45" s="774"/>
      <c r="CO45" s="775"/>
      <c r="CP45" s="776" t="s">
        <v>99</v>
      </c>
      <c r="CQ45" s="774"/>
      <c r="CR45" s="775"/>
      <c r="CS45" s="776" t="s">
        <v>99</v>
      </c>
      <c r="CT45" s="774"/>
      <c r="CU45" s="777"/>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766"/>
      <c r="CK46" s="767"/>
      <c r="CL46" s="768"/>
      <c r="CM46" s="770"/>
      <c r="CN46" s="767"/>
      <c r="CO46" s="768"/>
      <c r="CP46" s="770"/>
      <c r="CQ46" s="767"/>
      <c r="CR46" s="768"/>
      <c r="CS46" s="770"/>
      <c r="CT46" s="767"/>
      <c r="CU46" s="772"/>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25"/>
      <c r="BQ47" s="25"/>
      <c r="BR47" s="25"/>
      <c r="BS47" s="25"/>
      <c r="BT47" s="25"/>
      <c r="BU47" s="25"/>
      <c r="BV47" s="25"/>
      <c r="BW47" s="25"/>
      <c r="BX47" s="174"/>
      <c r="BY47" s="174"/>
      <c r="BZ47" s="174"/>
      <c r="CA47" s="174"/>
      <c r="CB47" s="174"/>
      <c r="CC47" s="174"/>
      <c r="CD47" s="174"/>
      <c r="CE47" s="174"/>
      <c r="CF47" s="25"/>
      <c r="CG47" s="174"/>
      <c r="CH47" s="174"/>
      <c r="CI47" s="174"/>
      <c r="CJ47" s="766"/>
      <c r="CK47" s="767"/>
      <c r="CL47" s="768"/>
      <c r="CM47" s="770"/>
      <c r="CN47" s="767"/>
      <c r="CO47" s="768"/>
      <c r="CP47" s="770"/>
      <c r="CQ47" s="767"/>
      <c r="CR47" s="768"/>
      <c r="CS47" s="770"/>
      <c r="CT47" s="767"/>
      <c r="CU47" s="772"/>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6"/>
      <c r="BQ48" s="16"/>
      <c r="BR48" s="16"/>
      <c r="BS48" s="16"/>
      <c r="BT48" s="16"/>
      <c r="BU48" s="16"/>
      <c r="BV48" s="16"/>
      <c r="BW48" s="16"/>
      <c r="BX48" s="174"/>
      <c r="BY48" s="174"/>
      <c r="BZ48" s="174"/>
      <c r="CA48" s="174"/>
      <c r="CB48" s="174"/>
      <c r="CC48" s="174"/>
      <c r="CD48" s="174"/>
      <c r="CE48" s="174"/>
      <c r="CF48" s="16"/>
      <c r="CG48" s="174"/>
      <c r="CH48" s="174"/>
      <c r="CI48" s="174"/>
      <c r="CJ48" s="766"/>
      <c r="CK48" s="767"/>
      <c r="CL48" s="768"/>
      <c r="CM48" s="770"/>
      <c r="CN48" s="767"/>
      <c r="CO48" s="768"/>
      <c r="CP48" s="770"/>
      <c r="CQ48" s="767"/>
      <c r="CR48" s="768"/>
      <c r="CS48" s="770"/>
      <c r="CT48" s="767"/>
      <c r="CU48" s="772"/>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4"/>
      <c r="BU49" s="174"/>
      <c r="BV49" s="174"/>
      <c r="BW49" s="174"/>
      <c r="BX49" s="174"/>
      <c r="BY49" s="174"/>
      <c r="BZ49" s="174"/>
      <c r="CA49" s="174"/>
      <c r="CB49" s="174"/>
      <c r="CC49" s="174"/>
      <c r="CD49" s="174"/>
      <c r="CE49" s="174"/>
      <c r="CF49" s="174"/>
      <c r="CG49" s="174"/>
      <c r="CH49" s="174"/>
      <c r="CI49" s="174"/>
      <c r="CJ49" s="849"/>
      <c r="CK49" s="705"/>
      <c r="CL49" s="850"/>
      <c r="CM49" s="851"/>
      <c r="CN49" s="705"/>
      <c r="CO49" s="850"/>
      <c r="CP49" s="851"/>
      <c r="CQ49" s="705"/>
      <c r="CR49" s="850"/>
      <c r="CS49" s="851"/>
      <c r="CT49" s="705"/>
      <c r="CU49" s="852"/>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4"/>
      <c r="BU55" s="4"/>
      <c r="BV55" s="4"/>
      <c r="BW55" s="4"/>
      <c r="BX55" s="174"/>
      <c r="BY55" s="174"/>
      <c r="BZ55" s="174"/>
      <c r="CA55" s="174"/>
      <c r="CB55" s="174"/>
      <c r="CC55" s="174"/>
      <c r="CD55" s="174"/>
      <c r="CE55" s="174"/>
      <c r="CF55" s="174"/>
      <c r="CG55" s="174"/>
      <c r="CH55" s="174"/>
      <c r="CI55" s="174"/>
      <c r="CJ55" s="174"/>
      <c r="CK55" s="174"/>
      <c r="CL55" s="174"/>
      <c r="CM55" s="174"/>
      <c r="CN55" s="17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6"/>
      <c r="BQ67" s="16"/>
      <c r="BR67" s="16"/>
      <c r="BS67" s="16"/>
      <c r="BT67" s="16"/>
      <c r="BU67" s="16"/>
      <c r="BV67" s="16"/>
      <c r="BW67" s="16"/>
      <c r="BX67" s="16"/>
      <c r="BY67" s="16"/>
      <c r="BZ67" s="16"/>
      <c r="CA67" s="16"/>
      <c r="CB67" s="16"/>
      <c r="CC67" s="16"/>
      <c r="CD67" s="16"/>
      <c r="CE67" s="16"/>
      <c r="CF67" s="16"/>
      <c r="CG67" s="16"/>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4"/>
      <c r="BQ68" s="4"/>
      <c r="BR68" s="4"/>
      <c r="BS68" s="4"/>
      <c r="BT68" s="4"/>
      <c r="BU68" s="4"/>
      <c r="BV68" s="4"/>
      <c r="BW68" s="4"/>
      <c r="BX68" s="4"/>
      <c r="BY68" s="4"/>
      <c r="BZ68" s="4"/>
      <c r="CA68" s="4"/>
      <c r="CB68" s="4"/>
      <c r="CC68" s="4"/>
      <c r="CD68" s="4"/>
      <c r="CE68" s="4"/>
      <c r="CF68" s="4"/>
      <c r="CG68" s="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6"/>
      <c r="BQ69" s="16"/>
      <c r="BR69" s="16"/>
      <c r="BS69" s="16"/>
      <c r="BT69" s="16"/>
      <c r="BU69" s="16"/>
      <c r="BV69" s="16"/>
      <c r="BW69" s="16"/>
      <c r="BX69" s="16"/>
      <c r="BY69" s="16"/>
      <c r="BZ69" s="16"/>
      <c r="CA69" s="16"/>
      <c r="CB69" s="16"/>
      <c r="CC69" s="16"/>
      <c r="CD69" s="16"/>
      <c r="CE69" s="16"/>
      <c r="CF69" s="16"/>
      <c r="CG69" s="16"/>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6"/>
      <c r="BQ70" s="16"/>
      <c r="BR70" s="16"/>
      <c r="BS70" s="16"/>
      <c r="BT70" s="16"/>
      <c r="BU70" s="16"/>
      <c r="BV70" s="16"/>
      <c r="BW70" s="16"/>
      <c r="BX70" s="16"/>
      <c r="BY70" s="16"/>
      <c r="BZ70" s="16"/>
      <c r="CA70" s="16"/>
      <c r="CB70" s="16"/>
      <c r="CC70" s="16"/>
      <c r="CD70" s="16"/>
      <c r="CE70" s="16"/>
      <c r="CF70" s="16"/>
      <c r="CG70" s="16"/>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4"/>
      <c r="BQ71" s="4"/>
      <c r="BR71" s="4"/>
      <c r="BS71" s="4"/>
      <c r="BT71" s="4"/>
      <c r="BU71" s="4"/>
      <c r="BV71" s="4"/>
      <c r="BW71" s="4"/>
      <c r="BX71" s="4"/>
      <c r="BY71" s="4"/>
      <c r="BZ71" s="4"/>
      <c r="CA71" s="4"/>
      <c r="CB71" s="4"/>
      <c r="CC71" s="4"/>
      <c r="CD71" s="4"/>
      <c r="CE71" s="4"/>
      <c r="CF71" s="4"/>
      <c r="CG71" s="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4"/>
      <c r="BQ72" s="4"/>
      <c r="BR72" s="4"/>
      <c r="BS72" s="4"/>
      <c r="BT72" s="4"/>
      <c r="BU72" s="4"/>
      <c r="BV72" s="4"/>
      <c r="BW72" s="4"/>
      <c r="BX72" s="4"/>
      <c r="BY72" s="4"/>
      <c r="BZ72" s="4"/>
      <c r="CA72" s="4"/>
      <c r="CB72" s="4"/>
      <c r="CC72" s="4"/>
      <c r="CD72" s="4"/>
      <c r="CE72" s="4"/>
      <c r="CF72" s="4"/>
      <c r="CG72" s="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4"/>
      <c r="BQ73" s="4"/>
      <c r="BR73" s="4"/>
      <c r="BS73" s="4"/>
      <c r="BT73" s="4"/>
      <c r="BU73" s="4"/>
      <c r="BV73" s="4"/>
      <c r="BW73" s="4"/>
      <c r="BX73" s="4"/>
      <c r="BY73" s="4"/>
      <c r="BZ73" s="4"/>
      <c r="CA73" s="4"/>
      <c r="CB73" s="4"/>
      <c r="CC73" s="4"/>
      <c r="CD73" s="4"/>
      <c r="CE73" s="4"/>
      <c r="CF73" s="4"/>
      <c r="CG73" s="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168"/>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sheetData>
  <sheetProtection sheet="1" objects="1" scenarios="1" selectLockedCells="1"/>
  <mergeCells count="87">
    <mergeCell ref="CJ45:CL45"/>
    <mergeCell ref="CM45:CO45"/>
    <mergeCell ref="CP45:CR45"/>
    <mergeCell ref="CS45:CU45"/>
    <mergeCell ref="CJ46:CL49"/>
    <mergeCell ref="CM46:CO49"/>
    <mergeCell ref="CP46:CR49"/>
    <mergeCell ref="CS46:CU49"/>
    <mergeCell ref="CJ43:CO43"/>
    <mergeCell ref="CP43:CR43"/>
    <mergeCell ref="CS43:CU43"/>
    <mergeCell ref="CJ44:CL44"/>
    <mergeCell ref="CM44:CO44"/>
    <mergeCell ref="CP44:CR44"/>
    <mergeCell ref="CS44:CU44"/>
    <mergeCell ref="CV37:CV42"/>
    <mergeCell ref="CW37:CW39"/>
    <mergeCell ref="CX37:CX39"/>
    <mergeCell ref="CY37:DB39"/>
    <mergeCell ref="CC40:CF42"/>
    <mergeCell ref="CG40:CG42"/>
    <mergeCell ref="CH40:CH42"/>
    <mergeCell ref="CI40:CI42"/>
    <mergeCell ref="CW40:CW42"/>
    <mergeCell ref="CX40:CX42"/>
    <mergeCell ref="CY40:DB42"/>
    <mergeCell ref="CC37:CF39"/>
    <mergeCell ref="CG37:CG39"/>
    <mergeCell ref="CH37:CH39"/>
    <mergeCell ref="CI37:CI39"/>
    <mergeCell ref="CL37:CS39"/>
    <mergeCell ref="CV31:CV33"/>
    <mergeCell ref="CW31:CW33"/>
    <mergeCell ref="CX31:CX33"/>
    <mergeCell ref="CY31:DB33"/>
    <mergeCell ref="CC34:CF36"/>
    <mergeCell ref="CG34:CG36"/>
    <mergeCell ref="CH34:CH36"/>
    <mergeCell ref="CL34:CS36"/>
    <mergeCell ref="CV34:CV36"/>
    <mergeCell ref="CW34:CW36"/>
    <mergeCell ref="CX34:CX36"/>
    <mergeCell ref="CY34:DB36"/>
    <mergeCell ref="CJ30:CL30"/>
    <mergeCell ref="CM30:CO30"/>
    <mergeCell ref="CP30:CU30"/>
    <mergeCell ref="CC31:CF33"/>
    <mergeCell ref="CG31:CG33"/>
    <mergeCell ref="CH31:CH33"/>
    <mergeCell ref="CI31:CI36"/>
    <mergeCell ref="CJ28:CL28"/>
    <mergeCell ref="CM28:CO28"/>
    <mergeCell ref="CP28:CR28"/>
    <mergeCell ref="CS28:CU28"/>
    <mergeCell ref="CJ29:CL29"/>
    <mergeCell ref="CM29:CO29"/>
    <mergeCell ref="CP29:CR29"/>
    <mergeCell ref="CS29:CU29"/>
    <mergeCell ref="BL1:DS2"/>
    <mergeCell ref="BL3:DS4"/>
    <mergeCell ref="CJ24:CL27"/>
    <mergeCell ref="CM24:CO27"/>
    <mergeCell ref="CP24:CR27"/>
    <mergeCell ref="CS24:CU27"/>
    <mergeCell ref="B1:BI2"/>
    <mergeCell ref="B3:BI4"/>
    <mergeCell ref="C7:J8"/>
    <mergeCell ref="K7:AJ8"/>
    <mergeCell ref="AK9:AP10"/>
    <mergeCell ref="AQ9:AV10"/>
    <mergeCell ref="AW9:BB10"/>
    <mergeCell ref="BC9:BH10"/>
    <mergeCell ref="AK6:AM6"/>
    <mergeCell ref="AQ6:AS6"/>
    <mergeCell ref="C9:J10"/>
    <mergeCell ref="K9:AJ10"/>
    <mergeCell ref="AK7:BH8"/>
    <mergeCell ref="N74:AU74"/>
    <mergeCell ref="C13:J14"/>
    <mergeCell ref="K13:AJ14"/>
    <mergeCell ref="AW11:BH14"/>
    <mergeCell ref="AK11:AV14"/>
    <mergeCell ref="H31:L33"/>
    <mergeCell ref="M31:Q33"/>
    <mergeCell ref="H28:Q30"/>
    <mergeCell ref="C11:J12"/>
    <mergeCell ref="K11:AJ12"/>
  </mergeCells>
  <conditionalFormatting sqref="H28">
    <cfRule type="cellIs" dxfId="211" priority="21" operator="between">
      <formula>0.75*CLV_Limit</formula>
      <formula>0.875*CLV_Limit</formula>
    </cfRule>
    <cfRule type="cellIs" dxfId="210" priority="22" operator="between">
      <formula>0.875*CLV_Limit</formula>
      <formula>CLV_Limit-1</formula>
    </cfRule>
    <cfRule type="cellIs" dxfId="209" priority="24" operator="greaterThan">
      <formula>CLV_Limit</formula>
    </cfRule>
  </conditionalFormatting>
  <conditionalFormatting sqref="AW11 H31">
    <cfRule type="cellIs" dxfId="208" priority="14" operator="between">
      <formula>0.75</formula>
      <formula>0.875</formula>
    </cfRule>
    <cfRule type="cellIs" dxfId="207" priority="15" operator="between">
      <formula>0.875</formula>
      <formula>1</formula>
    </cfRule>
    <cfRule type="cellIs" dxfId="206" priority="20" operator="greaterThan">
      <formula>1</formula>
    </cfRule>
  </conditionalFormatting>
  <conditionalFormatting sqref="CL37">
    <cfRule type="cellIs" dxfId="205" priority="1" operator="between">
      <formula>0.75*CLV_Limit</formula>
      <formula>0.875*CLV_Limit</formula>
    </cfRule>
    <cfRule type="cellIs" dxfId="204" priority="2" operator="between">
      <formula>0.875*CLV_Limit</formula>
      <formula>CLV_Limit-1</formula>
    </cfRule>
    <cfRule type="cellIs" dxfId="203" priority="3" operator="greaterThan">
      <formula>CLV_Limit</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249977111117893"/>
  </sheetPr>
  <dimension ref="A1:FB75"/>
  <sheetViews>
    <sheetView showGridLines="0" showRowColHeaders="0" showRuler="0" topLeftCell="A31" zoomScaleNormal="100" zoomScalePageLayoutView="85" workbookViewId="0">
      <selection activeCell="CJ30" sqref="CJ30:CL30"/>
    </sheetView>
  </sheetViews>
  <sheetFormatPr defaultColWidth="0" defaultRowHeight="13.15" zeroHeight="1"/>
  <cols>
    <col min="1" max="1" width="0.5703125" customWidth="1"/>
    <col min="2" max="60" width="1.7109375" customWidth="1"/>
    <col min="61" max="61" width="1.5703125" customWidth="1"/>
    <col min="62" max="63" width="0.5703125" customWidth="1"/>
    <col min="64" max="123" width="1.7109375" customWidth="1"/>
    <col min="124" max="124" width="0.5703125" customWidth="1"/>
    <col min="125" max="158" width="1.7109375" hidden="1" customWidth="1"/>
    <col min="159" max="16384" width="9.140625" hidden="1"/>
  </cols>
  <sheetData>
    <row r="1" spans="2:123" ht="9.9499999999999993" customHeight="1">
      <c r="B1" s="571" t="s">
        <v>58</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571" t="s">
        <v>58</v>
      </c>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80"/>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181"/>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3"/>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4"/>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4"/>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872" t="str">
        <f>P_Name</f>
        <v>"Enter the Project Title here (Input worksheet)"</v>
      </c>
      <c r="L6" s="873"/>
      <c r="M6" s="873"/>
      <c r="N6" s="873"/>
      <c r="O6" s="873"/>
      <c r="P6" s="873"/>
      <c r="Q6" s="873"/>
      <c r="R6" s="873"/>
      <c r="S6" s="873"/>
      <c r="T6" s="873"/>
      <c r="U6" s="873"/>
      <c r="V6" s="873"/>
      <c r="W6" s="873"/>
      <c r="X6" s="873"/>
      <c r="Y6" s="873"/>
      <c r="Z6" s="873"/>
      <c r="AA6" s="873"/>
      <c r="AB6" s="873"/>
      <c r="AC6" s="873"/>
      <c r="AD6" s="873"/>
      <c r="AE6" s="873"/>
      <c r="AF6" s="873"/>
      <c r="AG6" s="873"/>
      <c r="AH6" s="873"/>
      <c r="AI6" s="873"/>
      <c r="AJ6" s="874"/>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878" t="s">
        <v>103</v>
      </c>
      <c r="BN6" s="878"/>
      <c r="BO6" s="878"/>
      <c r="BP6" s="878"/>
      <c r="BQ6" s="878"/>
      <c r="BR6" s="878"/>
      <c r="BS6" s="878"/>
      <c r="BT6" s="878"/>
      <c r="BU6" s="878"/>
      <c r="BV6" s="878"/>
      <c r="BW6" s="878"/>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875"/>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7"/>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878"/>
      <c r="BN7" s="878"/>
      <c r="BO7" s="878"/>
      <c r="BP7" s="878"/>
      <c r="BQ7" s="878"/>
      <c r="BR7" s="878"/>
      <c r="BS7" s="878"/>
      <c r="BT7" s="878"/>
      <c r="BU7" s="878"/>
      <c r="BV7" s="878"/>
      <c r="BW7" s="878"/>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853" t="str">
        <f>P_Number</f>
        <v>"Enter the Project Number here (Input worksheet)"</v>
      </c>
      <c r="L8" s="854"/>
      <c r="M8" s="854"/>
      <c r="N8" s="854"/>
      <c r="O8" s="854"/>
      <c r="P8" s="854"/>
      <c r="Q8" s="854"/>
      <c r="R8" s="854"/>
      <c r="S8" s="854"/>
      <c r="T8" s="854"/>
      <c r="U8" s="854"/>
      <c r="V8" s="854"/>
      <c r="W8" s="854"/>
      <c r="X8" s="854"/>
      <c r="Y8" s="854"/>
      <c r="Z8" s="854"/>
      <c r="AA8" s="854"/>
      <c r="AB8" s="854"/>
      <c r="AC8" s="854"/>
      <c r="AD8" s="854"/>
      <c r="AE8" s="854"/>
      <c r="AF8" s="854"/>
      <c r="AG8" s="854"/>
      <c r="AH8" s="854"/>
      <c r="AI8" s="854"/>
      <c r="AJ8" s="854"/>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878" t="s">
        <v>104</v>
      </c>
      <c r="BN8" s="878"/>
      <c r="BO8" s="879" t="s">
        <v>105</v>
      </c>
      <c r="BP8" s="879"/>
      <c r="BQ8" s="879"/>
      <c r="BR8" s="879"/>
      <c r="BS8" s="879"/>
      <c r="BT8" s="297">
        <f>CS52+CP52</f>
        <v>2320</v>
      </c>
      <c r="BU8" s="297"/>
      <c r="BV8" s="297"/>
      <c r="BW8" s="297"/>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855"/>
      <c r="L9" s="856"/>
      <c r="M9" s="856"/>
      <c r="N9" s="856"/>
      <c r="O9" s="856"/>
      <c r="P9" s="856"/>
      <c r="Q9" s="856"/>
      <c r="R9" s="856"/>
      <c r="S9" s="856"/>
      <c r="T9" s="856"/>
      <c r="U9" s="856"/>
      <c r="V9" s="856"/>
      <c r="W9" s="856"/>
      <c r="X9" s="856"/>
      <c r="Y9" s="856"/>
      <c r="Z9" s="856"/>
      <c r="AA9" s="856"/>
      <c r="AB9" s="856"/>
      <c r="AC9" s="856"/>
      <c r="AD9" s="856"/>
      <c r="AE9" s="856"/>
      <c r="AF9" s="856"/>
      <c r="AG9" s="856"/>
      <c r="AH9" s="856"/>
      <c r="AI9" s="856"/>
      <c r="AJ9" s="856"/>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878"/>
      <c r="BN9" s="878"/>
      <c r="BO9" s="879"/>
      <c r="BP9" s="879"/>
      <c r="BQ9" s="879"/>
      <c r="BR9" s="879"/>
      <c r="BS9" s="879"/>
      <c r="BT9" s="297"/>
      <c r="BU9" s="297"/>
      <c r="BV9" s="297"/>
      <c r="BW9" s="297"/>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853" t="str">
        <f>Location</f>
        <v>"Enter the Project Location here (Input worksheet)"</v>
      </c>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4"/>
      <c r="AJ10" s="854"/>
      <c r="AK10" s="712" t="s">
        <v>98</v>
      </c>
      <c r="AL10" s="1913"/>
      <c r="AM10" s="1913"/>
      <c r="AN10" s="1913"/>
      <c r="AO10" s="1913"/>
      <c r="AP10" s="1913"/>
      <c r="AQ10" s="1913"/>
      <c r="AR10" s="1913"/>
      <c r="AS10" s="1913"/>
      <c r="AT10" s="1913"/>
      <c r="AU10" s="1913"/>
      <c r="AV10" s="1914"/>
      <c r="AW10" s="706">
        <f xml:space="preserve"> ROUND(H28/CLV_Limit,2)</f>
        <v>2.06</v>
      </c>
      <c r="AX10" s="706"/>
      <c r="AY10" s="706"/>
      <c r="AZ10" s="706"/>
      <c r="BA10" s="706"/>
      <c r="BB10" s="706"/>
      <c r="BC10" s="706"/>
      <c r="BD10" s="706"/>
      <c r="BE10" s="706"/>
      <c r="BF10" s="706"/>
      <c r="BG10" s="706"/>
      <c r="BH10" s="707"/>
      <c r="BI10" s="177"/>
      <c r="BJ10" s="174"/>
      <c r="BK10" s="174"/>
      <c r="BL10" s="1"/>
      <c r="BM10" s="878"/>
      <c r="BN10" s="878"/>
      <c r="BO10" s="573" t="s">
        <v>106</v>
      </c>
      <c r="BP10" s="573"/>
      <c r="BQ10" s="573"/>
      <c r="BR10" s="573"/>
      <c r="BS10" s="573"/>
      <c r="BT10" s="880">
        <f>IF(BT8&lt;199, 1.1, IF(BT8&lt;599,2, IF(BT8&lt;799,3, IF(BT8&lt;999,4, IF(BT8&gt;1000,5,5)))))</f>
        <v>5</v>
      </c>
      <c r="BU10" s="882" t="s">
        <v>107</v>
      </c>
      <c r="BV10" s="882"/>
      <c r="BW10" s="883"/>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855"/>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6"/>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878"/>
      <c r="BN11" s="878"/>
      <c r="BO11" s="573"/>
      <c r="BP11" s="573"/>
      <c r="BQ11" s="573"/>
      <c r="BR11" s="573"/>
      <c r="BS11" s="573"/>
      <c r="BT11" s="881"/>
      <c r="BU11" s="884"/>
      <c r="BV11" s="884"/>
      <c r="BW11" s="885"/>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857" t="str">
        <f>Date</f>
        <v>"Enter the date here (Input worksheet)"</v>
      </c>
      <c r="L12" s="858"/>
      <c r="M12" s="858"/>
      <c r="N12" s="858"/>
      <c r="O12" s="858"/>
      <c r="P12" s="858"/>
      <c r="Q12" s="858"/>
      <c r="R12" s="858"/>
      <c r="S12" s="858"/>
      <c r="T12" s="858"/>
      <c r="U12" s="858"/>
      <c r="V12" s="858"/>
      <c r="W12" s="858"/>
      <c r="X12" s="858"/>
      <c r="Y12" s="858"/>
      <c r="Z12" s="858"/>
      <c r="AA12" s="858"/>
      <c r="AB12" s="858"/>
      <c r="AC12" s="858"/>
      <c r="AD12" s="858"/>
      <c r="AE12" s="858"/>
      <c r="AF12" s="858"/>
      <c r="AG12" s="858"/>
      <c r="AH12" s="858"/>
      <c r="AI12" s="858"/>
      <c r="AJ12" s="858"/>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878" t="s">
        <v>108</v>
      </c>
      <c r="BN12" s="878"/>
      <c r="BO12" s="879" t="s">
        <v>105</v>
      </c>
      <c r="BP12" s="879"/>
      <c r="BQ12" s="879"/>
      <c r="BR12" s="879"/>
      <c r="BS12" s="879"/>
      <c r="BT12" s="297">
        <f>CM21+CJ21</f>
        <v>1447</v>
      </c>
      <c r="BU12" s="297"/>
      <c r="BV12" s="297"/>
      <c r="BW12" s="297"/>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859"/>
      <c r="L13" s="860"/>
      <c r="M13" s="860"/>
      <c r="N13" s="860"/>
      <c r="O13" s="860"/>
      <c r="P13" s="860"/>
      <c r="Q13" s="860"/>
      <c r="R13" s="860"/>
      <c r="S13" s="860"/>
      <c r="T13" s="860"/>
      <c r="U13" s="860"/>
      <c r="V13" s="860"/>
      <c r="W13" s="860"/>
      <c r="X13" s="860"/>
      <c r="Y13" s="860"/>
      <c r="Z13" s="860"/>
      <c r="AA13" s="860"/>
      <c r="AB13" s="860"/>
      <c r="AC13" s="860"/>
      <c r="AD13" s="860"/>
      <c r="AE13" s="860"/>
      <c r="AF13" s="860"/>
      <c r="AG13" s="860"/>
      <c r="AH13" s="860"/>
      <c r="AI13" s="860"/>
      <c r="AJ13" s="860"/>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
      <c r="BM13" s="878"/>
      <c r="BN13" s="878"/>
      <c r="BO13" s="879"/>
      <c r="BP13" s="879"/>
      <c r="BQ13" s="879"/>
      <c r="BR13" s="879"/>
      <c r="BS13" s="879"/>
      <c r="BT13" s="297"/>
      <c r="BU13" s="297"/>
      <c r="BV13" s="297"/>
      <c r="BW13" s="297"/>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
      <c r="BM14" s="878"/>
      <c r="BN14" s="878"/>
      <c r="BO14" s="573" t="s">
        <v>106</v>
      </c>
      <c r="BP14" s="573"/>
      <c r="BQ14" s="573"/>
      <c r="BR14" s="573"/>
      <c r="BS14" s="573"/>
      <c r="BT14" s="880">
        <f>IF(BT12&lt;199, 1.1, IF(BT12&lt;599,2, IF(BT12&lt;799,3, IF(BT12&lt;999,4, IF(BT12&gt;1000,5,5)))))</f>
        <v>5</v>
      </c>
      <c r="BU14" s="882" t="s">
        <v>107</v>
      </c>
      <c r="BV14" s="882"/>
      <c r="BW14" s="883"/>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thickBo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
      <c r="BM15" s="878"/>
      <c r="BN15" s="878"/>
      <c r="BO15" s="573"/>
      <c r="BP15" s="573"/>
      <c r="BQ15" s="573"/>
      <c r="BR15" s="573"/>
      <c r="BS15" s="573"/>
      <c r="BT15" s="881"/>
      <c r="BU15" s="884"/>
      <c r="BV15" s="884"/>
      <c r="BW15" s="885"/>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4"/>
      <c r="AK16" s="14"/>
      <c r="AL16" s="14"/>
      <c r="AM16" s="174"/>
      <c r="AN16" s="174"/>
      <c r="AO16" s="174"/>
      <c r="AP16" s="174"/>
      <c r="AQ16" s="174"/>
      <c r="AR16" s="174"/>
      <c r="AS16" s="174"/>
      <c r="AT16" s="174"/>
      <c r="AU16" s="174"/>
      <c r="AV16" s="174"/>
      <c r="AW16" s="14"/>
      <c r="AX16" s="14"/>
      <c r="AY16" s="14"/>
      <c r="AZ16" s="14"/>
      <c r="BA16" s="14"/>
      <c r="BB16" s="14"/>
      <c r="BC16" s="14"/>
      <c r="BD16" s="14"/>
      <c r="BE16" s="14"/>
      <c r="BF16" s="14"/>
      <c r="BG16" s="14"/>
      <c r="BH16" s="174"/>
      <c r="BI16" s="177"/>
      <c r="BJ16" s="174"/>
      <c r="BK16" s="174"/>
      <c r="BL16" s="1"/>
      <c r="BM16" s="878" t="s">
        <v>109</v>
      </c>
      <c r="BN16" s="878"/>
      <c r="BO16" s="879" t="s">
        <v>105</v>
      </c>
      <c r="BP16" s="879"/>
      <c r="BQ16" s="879"/>
      <c r="BR16" s="879"/>
      <c r="BS16" s="879"/>
      <c r="BT16" s="297">
        <f>BZ37+BZ40</f>
        <v>208</v>
      </c>
      <c r="BU16" s="297"/>
      <c r="BV16" s="297"/>
      <c r="BW16" s="297"/>
      <c r="BX16" s="174"/>
      <c r="BY16" s="174"/>
      <c r="BZ16" s="174"/>
      <c r="CA16" s="174"/>
      <c r="CB16" s="174"/>
      <c r="CC16" s="174"/>
      <c r="CD16" s="174"/>
      <c r="CE16" s="174"/>
      <c r="CF16" s="174"/>
      <c r="CG16" s="174"/>
      <c r="CH16" s="174"/>
      <c r="CI16" s="174"/>
      <c r="CJ16" s="763"/>
      <c r="CK16" s="764"/>
      <c r="CL16" s="765"/>
      <c r="CM16" s="769"/>
      <c r="CN16" s="764"/>
      <c r="CO16" s="765"/>
      <c r="CP16" s="769"/>
      <c r="CQ16" s="764"/>
      <c r="CR16" s="765"/>
      <c r="CS16" s="769"/>
      <c r="CT16" s="764"/>
      <c r="CU16" s="771"/>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4"/>
      <c r="AK17" s="14"/>
      <c r="AL17" s="14"/>
      <c r="AM17" s="174"/>
      <c r="AN17" s="174"/>
      <c r="AO17" s="174"/>
      <c r="AP17" s="174"/>
      <c r="AQ17" s="174"/>
      <c r="AR17" s="174"/>
      <c r="AS17" s="174"/>
      <c r="AT17" s="174"/>
      <c r="AU17" s="174"/>
      <c r="AV17" s="174"/>
      <c r="AW17" s="14"/>
      <c r="AX17" s="14"/>
      <c r="AY17" s="14"/>
      <c r="AZ17" s="14"/>
      <c r="BA17" s="14"/>
      <c r="BB17" s="14"/>
      <c r="BC17" s="14"/>
      <c r="BD17" s="14"/>
      <c r="BE17" s="14"/>
      <c r="BF17" s="14"/>
      <c r="BG17" s="14"/>
      <c r="BH17" s="174"/>
      <c r="BI17" s="177"/>
      <c r="BJ17" s="174"/>
      <c r="BK17" s="174"/>
      <c r="BL17" s="1"/>
      <c r="BM17" s="878"/>
      <c r="BN17" s="878"/>
      <c r="BO17" s="879"/>
      <c r="BP17" s="879"/>
      <c r="BQ17" s="879"/>
      <c r="BR17" s="879"/>
      <c r="BS17" s="879"/>
      <c r="BT17" s="297"/>
      <c r="BU17" s="297"/>
      <c r="BV17" s="297"/>
      <c r="BW17" s="297"/>
      <c r="BX17" s="174"/>
      <c r="BY17" s="174"/>
      <c r="BZ17" s="174"/>
      <c r="CA17" s="174"/>
      <c r="CB17" s="174"/>
      <c r="CC17" s="174"/>
      <c r="CD17" s="174"/>
      <c r="CE17" s="174"/>
      <c r="CF17" s="174"/>
      <c r="CG17" s="174"/>
      <c r="CH17" s="174"/>
      <c r="CI17" s="174"/>
      <c r="CJ17" s="766"/>
      <c r="CK17" s="767"/>
      <c r="CL17" s="768"/>
      <c r="CM17" s="770"/>
      <c r="CN17" s="767"/>
      <c r="CO17" s="768"/>
      <c r="CP17" s="770"/>
      <c r="CQ17" s="767"/>
      <c r="CR17" s="768"/>
      <c r="CS17" s="770"/>
      <c r="CT17" s="767"/>
      <c r="CU17" s="772"/>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4"/>
      <c r="AK18" s="14"/>
      <c r="AL18" s="14"/>
      <c r="AM18" s="174"/>
      <c r="AN18" s="174"/>
      <c r="AO18" s="174"/>
      <c r="AP18" s="174"/>
      <c r="AQ18" s="174"/>
      <c r="AR18" s="174"/>
      <c r="AS18" s="174"/>
      <c r="AT18" s="174"/>
      <c r="AU18" s="174"/>
      <c r="AV18" s="174"/>
      <c r="AW18" s="14"/>
      <c r="AX18" s="14"/>
      <c r="AY18" s="14"/>
      <c r="AZ18" s="14"/>
      <c r="BA18" s="14"/>
      <c r="BB18" s="14"/>
      <c r="BC18" s="14"/>
      <c r="BD18" s="14"/>
      <c r="BE18" s="14"/>
      <c r="BF18" s="14"/>
      <c r="BG18" s="14"/>
      <c r="BH18" s="174"/>
      <c r="BI18" s="177"/>
      <c r="BJ18" s="174"/>
      <c r="BK18" s="174"/>
      <c r="BL18" s="1"/>
      <c r="BM18" s="878"/>
      <c r="BN18" s="878"/>
      <c r="BO18" s="573" t="s">
        <v>106</v>
      </c>
      <c r="BP18" s="573"/>
      <c r="BQ18" s="573"/>
      <c r="BR18" s="573"/>
      <c r="BS18" s="573"/>
      <c r="BT18" s="880">
        <f>IF(BT16&lt;199, 1.1, IF(BT16&lt;599,2, IF(BT16&lt;799,3, IF(BT16&lt;999,4, IF(BT16&gt;1000,5,5)))))</f>
        <v>2</v>
      </c>
      <c r="BU18" s="882" t="s">
        <v>107</v>
      </c>
      <c r="BV18" s="882"/>
      <c r="BW18" s="883"/>
      <c r="BX18" s="174"/>
      <c r="BY18" s="174"/>
      <c r="BZ18" s="174"/>
      <c r="CA18" s="174"/>
      <c r="CB18" s="174"/>
      <c r="CC18" s="174"/>
      <c r="CD18" s="174"/>
      <c r="CE18" s="174"/>
      <c r="CF18" s="174"/>
      <c r="CG18" s="174"/>
      <c r="CH18" s="174"/>
      <c r="CI18" s="174"/>
      <c r="CJ18" s="766"/>
      <c r="CK18" s="767"/>
      <c r="CL18" s="768"/>
      <c r="CM18" s="770"/>
      <c r="CN18" s="767"/>
      <c r="CO18" s="768"/>
      <c r="CP18" s="770"/>
      <c r="CQ18" s="767"/>
      <c r="CR18" s="768"/>
      <c r="CS18" s="770"/>
      <c r="CT18" s="767"/>
      <c r="CU18" s="772"/>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7"/>
    </row>
    <row r="19" spans="2:123" ht="9.9499999999999993" customHeigh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4"/>
      <c r="AK19" s="1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4"/>
      <c r="BH19" s="174"/>
      <c r="BI19" s="177"/>
      <c r="BJ19" s="174"/>
      <c r="BK19" s="174"/>
      <c r="BL19" s="1"/>
      <c r="BM19" s="878"/>
      <c r="BN19" s="878"/>
      <c r="BO19" s="573"/>
      <c r="BP19" s="573"/>
      <c r="BQ19" s="573"/>
      <c r="BR19" s="573"/>
      <c r="BS19" s="573"/>
      <c r="BT19" s="881"/>
      <c r="BU19" s="884"/>
      <c r="BV19" s="884"/>
      <c r="BW19" s="885"/>
      <c r="BX19" s="174"/>
      <c r="BY19" s="174"/>
      <c r="BZ19" s="174"/>
      <c r="CA19" s="174"/>
      <c r="CB19" s="174"/>
      <c r="CC19" s="174"/>
      <c r="CD19" s="174"/>
      <c r="CE19" s="174"/>
      <c r="CF19" s="174"/>
      <c r="CG19" s="174"/>
      <c r="CH19" s="174"/>
      <c r="CI19" s="174"/>
      <c r="CJ19" s="766"/>
      <c r="CK19" s="767"/>
      <c r="CL19" s="768"/>
      <c r="CM19" s="770"/>
      <c r="CN19" s="767"/>
      <c r="CO19" s="768"/>
      <c r="CP19" s="770"/>
      <c r="CQ19" s="767"/>
      <c r="CR19" s="768"/>
      <c r="CS19" s="770"/>
      <c r="CT19" s="767"/>
      <c r="CU19" s="772"/>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4"/>
      <c r="AK20" s="1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4"/>
      <c r="BH20" s="174"/>
      <c r="BI20" s="177"/>
      <c r="BJ20" s="174"/>
      <c r="BK20" s="174"/>
      <c r="BL20" s="1"/>
      <c r="BM20" s="878" t="s">
        <v>110</v>
      </c>
      <c r="BN20" s="878"/>
      <c r="BO20" s="879" t="s">
        <v>105</v>
      </c>
      <c r="BP20" s="879"/>
      <c r="BQ20" s="879"/>
      <c r="BR20" s="879"/>
      <c r="BS20" s="879"/>
      <c r="BT20" s="297">
        <f>DE34+DE31</f>
        <v>625</v>
      </c>
      <c r="BU20" s="297"/>
      <c r="BV20" s="297"/>
      <c r="BW20" s="297"/>
      <c r="BX20" s="174"/>
      <c r="BY20" s="174"/>
      <c r="BZ20" s="174"/>
      <c r="CA20" s="174"/>
      <c r="CB20" s="174"/>
      <c r="CC20" s="174"/>
      <c r="CD20" s="174"/>
      <c r="CE20" s="174"/>
      <c r="CF20" s="174"/>
      <c r="CG20" s="174"/>
      <c r="CH20" s="174"/>
      <c r="CI20" s="174"/>
      <c r="CJ20" s="886" t="s">
        <v>99</v>
      </c>
      <c r="CK20" s="887"/>
      <c r="CL20" s="888"/>
      <c r="CM20" s="889" t="s">
        <v>99</v>
      </c>
      <c r="CN20" s="887"/>
      <c r="CO20" s="888"/>
      <c r="CP20" s="889" t="s">
        <v>99</v>
      </c>
      <c r="CQ20" s="887"/>
      <c r="CR20" s="888"/>
      <c r="CS20" s="889" t="s">
        <v>99</v>
      </c>
      <c r="CT20" s="887"/>
      <c r="CU20" s="890"/>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7"/>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4"/>
      <c r="AB21" s="14"/>
      <c r="AC21" s="14"/>
      <c r="AD21" s="14"/>
      <c r="AE21" s="14"/>
      <c r="AF21" s="14"/>
      <c r="AG21" s="14"/>
      <c r="AH21" s="14"/>
      <c r="AI21" s="14"/>
      <c r="AJ21" s="14"/>
      <c r="AK21" s="1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4"/>
      <c r="BH21" s="174"/>
      <c r="BI21" s="177"/>
      <c r="BJ21" s="174"/>
      <c r="BK21" s="174"/>
      <c r="BL21" s="1"/>
      <c r="BM21" s="878"/>
      <c r="BN21" s="878"/>
      <c r="BO21" s="879"/>
      <c r="BP21" s="879"/>
      <c r="BQ21" s="879"/>
      <c r="BR21" s="879"/>
      <c r="BS21" s="879"/>
      <c r="BT21" s="297"/>
      <c r="BU21" s="297"/>
      <c r="BV21" s="297"/>
      <c r="BW21" s="297"/>
      <c r="BX21" s="174"/>
      <c r="BY21" s="174"/>
      <c r="BZ21" s="174"/>
      <c r="CA21" s="174"/>
      <c r="CB21" s="174"/>
      <c r="CC21" s="174"/>
      <c r="CD21" s="174"/>
      <c r="CE21" s="174"/>
      <c r="CF21" s="174"/>
      <c r="CG21" s="174"/>
      <c r="CH21" s="174"/>
      <c r="CI21" s="174"/>
      <c r="CJ21" s="891">
        <f>SBR_Master</f>
        <v>0</v>
      </c>
      <c r="CK21" s="892"/>
      <c r="CL21" s="893"/>
      <c r="CM21" s="894">
        <f>SBT_Master</f>
        <v>1447</v>
      </c>
      <c r="CN21" s="892"/>
      <c r="CO21" s="893"/>
      <c r="CP21" s="894">
        <f>SBL_Master</f>
        <v>607</v>
      </c>
      <c r="CQ21" s="892"/>
      <c r="CR21" s="893"/>
      <c r="CS21" s="894">
        <f>SBU_Master</f>
        <v>0</v>
      </c>
      <c r="CT21" s="892"/>
      <c r="CU21" s="895"/>
      <c r="CV21" s="174"/>
      <c r="CW21" s="174"/>
      <c r="CX21" s="174"/>
      <c r="CY21" s="174"/>
      <c r="CZ21" s="756"/>
      <c r="DA21" s="756"/>
      <c r="DB21" s="756"/>
      <c r="DC21" s="756"/>
      <c r="DD21" s="174"/>
      <c r="DE21" s="174"/>
      <c r="DF21" s="174"/>
      <c r="DG21" s="174"/>
      <c r="DH21" s="174"/>
      <c r="DI21" s="174"/>
      <c r="DJ21" s="174"/>
      <c r="DK21" s="174"/>
      <c r="DL21" s="174"/>
      <c r="DM21" s="174"/>
      <c r="DN21" s="174"/>
      <c r="DO21" s="174"/>
      <c r="DP21" s="17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4"/>
      <c r="AB22" s="14"/>
      <c r="AC22" s="14"/>
      <c r="AD22" s="14"/>
      <c r="AE22" s="14"/>
      <c r="AF22" s="14"/>
      <c r="AG22" s="14"/>
      <c r="AH22" s="14"/>
      <c r="AI22" s="14"/>
      <c r="AJ22" s="14"/>
      <c r="AK22" s="1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4"/>
      <c r="BH22" s="174"/>
      <c r="BI22" s="177"/>
      <c r="BJ22" s="174"/>
      <c r="BK22" s="174"/>
      <c r="BL22" s="1"/>
      <c r="BM22" s="878"/>
      <c r="BN22" s="878"/>
      <c r="BO22" s="573" t="s">
        <v>106</v>
      </c>
      <c r="BP22" s="573"/>
      <c r="BQ22" s="573"/>
      <c r="BR22" s="573"/>
      <c r="BS22" s="573"/>
      <c r="BT22" s="880">
        <f>IF(BT20&lt;199, 1.1, IF(BT20&lt;599,2, IF(BT20&lt;799,3, IF(BT20&lt;999,4, IF(BT20&gt;1000,5,5)))))</f>
        <v>3</v>
      </c>
      <c r="BU22" s="882" t="s">
        <v>107</v>
      </c>
      <c r="BV22" s="882"/>
      <c r="BW22" s="883"/>
      <c r="BX22" s="174"/>
      <c r="BY22" s="174"/>
      <c r="BZ22" s="174"/>
      <c r="CA22" s="174"/>
      <c r="CB22" s="174"/>
      <c r="CC22" s="174"/>
      <c r="CD22" s="174"/>
      <c r="CE22" s="174"/>
      <c r="CF22" s="174"/>
      <c r="CG22" s="174"/>
      <c r="CH22" s="174"/>
      <c r="CI22" s="174"/>
      <c r="CJ22" s="896">
        <v>0</v>
      </c>
      <c r="CK22" s="897"/>
      <c r="CL22" s="897"/>
      <c r="CM22" s="897">
        <v>2</v>
      </c>
      <c r="CN22" s="897"/>
      <c r="CO22" s="897"/>
      <c r="CP22" s="898">
        <v>1</v>
      </c>
      <c r="CQ22" s="899"/>
      <c r="CR22" s="899"/>
      <c r="CS22" s="899"/>
      <c r="CT22" s="899"/>
      <c r="CU22" s="900"/>
      <c r="CV22" s="174"/>
      <c r="CW22" s="174"/>
      <c r="CX22" s="174"/>
      <c r="CY22" s="174"/>
      <c r="CZ22" s="756"/>
      <c r="DA22" s="756"/>
      <c r="DB22" s="756"/>
      <c r="DC22" s="756"/>
      <c r="DD22" s="174"/>
      <c r="DE22" s="174"/>
      <c r="DF22" s="174"/>
      <c r="DG22" s="174"/>
      <c r="DH22" s="174"/>
      <c r="DI22" s="174"/>
      <c r="DJ22" s="174"/>
      <c r="DK22" s="174"/>
      <c r="DL22" s="174"/>
      <c r="DM22" s="174"/>
      <c r="DN22" s="174"/>
      <c r="DO22" s="174"/>
      <c r="DP22" s="174"/>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4"/>
      <c r="AB23" s="14"/>
      <c r="AC23" s="14"/>
      <c r="AD23" s="14"/>
      <c r="AE23" s="14"/>
      <c r="AF23" s="14"/>
      <c r="AG23" s="14"/>
      <c r="AH23" s="14"/>
      <c r="AI23" s="14"/>
      <c r="AJ23" s="14"/>
      <c r="AK23" s="1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4"/>
      <c r="BH23" s="174"/>
      <c r="BI23" s="177"/>
      <c r="BJ23" s="174"/>
      <c r="BK23" s="174"/>
      <c r="BL23" s="1"/>
      <c r="BM23" s="878"/>
      <c r="BN23" s="878"/>
      <c r="BO23" s="573"/>
      <c r="BP23" s="573"/>
      <c r="BQ23" s="573"/>
      <c r="BR23" s="573"/>
      <c r="BS23" s="573"/>
      <c r="BT23" s="881"/>
      <c r="BU23" s="884"/>
      <c r="BV23" s="884"/>
      <c r="BW23" s="885"/>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4"/>
      <c r="AB24" s="14"/>
      <c r="AC24" s="14"/>
      <c r="AD24" s="14"/>
      <c r="AE24" s="14"/>
      <c r="AF24" s="14"/>
      <c r="AG24" s="14"/>
      <c r="AH24" s="14"/>
      <c r="AI24" s="14"/>
      <c r="AJ24" s="14"/>
      <c r="AK24" s="14"/>
      <c r="AL24" s="174"/>
      <c r="AM24" s="174"/>
      <c r="AN24" s="174"/>
      <c r="AO24" s="174"/>
      <c r="AP24" s="174"/>
      <c r="AQ24" s="174"/>
      <c r="AR24" s="174"/>
      <c r="AS24" s="174"/>
      <c r="AT24" s="174"/>
      <c r="AU24" s="174"/>
      <c r="AV24" s="14"/>
      <c r="AW24" s="174"/>
      <c r="AX24" s="174"/>
      <c r="AY24" s="174"/>
      <c r="AZ24" s="174"/>
      <c r="BA24" s="174"/>
      <c r="BB24" s="174"/>
      <c r="BC24" s="174"/>
      <c r="BD24" s="174"/>
      <c r="BE24" s="174"/>
      <c r="BF24" s="174"/>
      <c r="BG24" s="14"/>
      <c r="BH24" s="174"/>
      <c r="BI24" s="177"/>
      <c r="BJ24" s="174"/>
      <c r="BK24" s="174"/>
      <c r="BL24" s="1"/>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763"/>
      <c r="CK24" s="764"/>
      <c r="CL24" s="765"/>
      <c r="CM24" s="769"/>
      <c r="CN24" s="764"/>
      <c r="CO24" s="765"/>
      <c r="CP24" s="769"/>
      <c r="CQ24" s="764"/>
      <c r="CR24" s="771"/>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7"/>
    </row>
    <row r="25" spans="2:123" ht="9.9499999999999993" customHeigh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74"/>
      <c r="AM25" s="174"/>
      <c r="AN25" s="174"/>
      <c r="AO25" s="174"/>
      <c r="AP25" s="174"/>
      <c r="AQ25" s="174"/>
      <c r="AR25" s="174"/>
      <c r="AS25" s="174"/>
      <c r="AT25" s="174"/>
      <c r="AU25" s="174"/>
      <c r="AV25" s="14"/>
      <c r="AW25" s="174"/>
      <c r="AX25" s="174"/>
      <c r="AY25" s="174"/>
      <c r="AZ25" s="174"/>
      <c r="BA25" s="174"/>
      <c r="BB25" s="174"/>
      <c r="BC25" s="174"/>
      <c r="BD25" s="174"/>
      <c r="BE25" s="174"/>
      <c r="BF25" s="174"/>
      <c r="BG25" s="14"/>
      <c r="BH25" s="174"/>
      <c r="BI25" s="177"/>
      <c r="BJ25" s="174"/>
      <c r="BK25" s="174"/>
      <c r="BL25" s="1"/>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766"/>
      <c r="CK25" s="767"/>
      <c r="CL25" s="768"/>
      <c r="CM25" s="770"/>
      <c r="CN25" s="767"/>
      <c r="CO25" s="768"/>
      <c r="CP25" s="770"/>
      <c r="CQ25" s="767"/>
      <c r="CR25" s="772"/>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7"/>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74"/>
      <c r="AM26" s="174"/>
      <c r="AN26" s="174"/>
      <c r="AO26" s="174"/>
      <c r="AP26" s="174"/>
      <c r="AQ26" s="174"/>
      <c r="AR26" s="174"/>
      <c r="AS26" s="174"/>
      <c r="AT26" s="174"/>
      <c r="AU26" s="174"/>
      <c r="AV26" s="14"/>
      <c r="AW26" s="174"/>
      <c r="AX26" s="174"/>
      <c r="AY26" s="174"/>
      <c r="AZ26" s="174"/>
      <c r="BA26" s="174"/>
      <c r="BB26" s="174"/>
      <c r="BC26" s="174"/>
      <c r="BD26" s="174"/>
      <c r="BE26" s="174"/>
      <c r="BF26" s="174"/>
      <c r="BG26" s="14"/>
      <c r="BH26" s="174"/>
      <c r="BI26" s="177"/>
      <c r="BJ26" s="174"/>
      <c r="BK26" s="174"/>
      <c r="BL26" s="1"/>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766"/>
      <c r="CK26" s="767"/>
      <c r="CL26" s="768"/>
      <c r="CM26" s="770"/>
      <c r="CN26" s="767"/>
      <c r="CO26" s="768"/>
      <c r="CP26" s="770"/>
      <c r="CQ26" s="767"/>
      <c r="CR26" s="772"/>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7"/>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74"/>
      <c r="AM27" s="174"/>
      <c r="AN27" s="174"/>
      <c r="AO27" s="174"/>
      <c r="AP27" s="174"/>
      <c r="AQ27" s="174"/>
      <c r="AR27" s="174"/>
      <c r="AS27" s="174"/>
      <c r="AT27" s="174"/>
      <c r="AU27" s="174"/>
      <c r="AV27" s="14"/>
      <c r="AW27" s="174"/>
      <c r="AX27" s="174"/>
      <c r="AY27" s="174"/>
      <c r="AZ27" s="174"/>
      <c r="BA27" s="174"/>
      <c r="BB27" s="174"/>
      <c r="BC27" s="174"/>
      <c r="BD27" s="174"/>
      <c r="BE27" s="174"/>
      <c r="BF27" s="174"/>
      <c r="BG27" s="14"/>
      <c r="BH27" s="174"/>
      <c r="BI27" s="177"/>
      <c r="BJ27" s="174"/>
      <c r="BK27" s="174"/>
      <c r="BL27" s="1"/>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766"/>
      <c r="CK27" s="767"/>
      <c r="CL27" s="768"/>
      <c r="CM27" s="770"/>
      <c r="CN27" s="767"/>
      <c r="CO27" s="768"/>
      <c r="CP27" s="770"/>
      <c r="CQ27" s="767"/>
      <c r="CR27" s="772"/>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7"/>
    </row>
    <row r="28" spans="2:123" ht="9.9499999999999993" customHeight="1">
      <c r="B28" s="1"/>
      <c r="C28" s="174"/>
      <c r="D28" s="174"/>
      <c r="E28" s="174"/>
      <c r="F28" s="174"/>
      <c r="G28" s="174"/>
      <c r="H28" s="728">
        <f>CL37</f>
        <v>3291</v>
      </c>
      <c r="I28" s="861"/>
      <c r="J28" s="861"/>
      <c r="K28" s="861"/>
      <c r="L28" s="861"/>
      <c r="M28" s="861"/>
      <c r="N28" s="861"/>
      <c r="O28" s="861"/>
      <c r="P28" s="861"/>
      <c r="Q28" s="862"/>
      <c r="R28" s="174"/>
      <c r="S28" s="174"/>
      <c r="T28" s="174"/>
      <c r="U28" s="174"/>
      <c r="V28" s="174"/>
      <c r="W28" s="174"/>
      <c r="X28" s="174"/>
      <c r="Y28" s="174"/>
      <c r="Z28" s="14"/>
      <c r="AA28" s="14"/>
      <c r="AB28" s="14"/>
      <c r="AC28" s="14"/>
      <c r="AD28" s="14"/>
      <c r="AE28" s="14"/>
      <c r="AF28" s="14"/>
      <c r="AG28" s="14"/>
      <c r="AH28" s="14"/>
      <c r="AI28" s="14"/>
      <c r="AJ28" s="14"/>
      <c r="AK28" s="14"/>
      <c r="AL28" s="174"/>
      <c r="AM28" s="174"/>
      <c r="AN28" s="174"/>
      <c r="AO28" s="174"/>
      <c r="AP28" s="174"/>
      <c r="AQ28" s="174"/>
      <c r="AR28" s="174"/>
      <c r="AS28" s="174"/>
      <c r="AT28" s="174"/>
      <c r="AU28" s="174"/>
      <c r="AV28" s="14"/>
      <c r="AW28" s="174"/>
      <c r="AX28" s="174"/>
      <c r="AY28" s="174"/>
      <c r="AZ28" s="174"/>
      <c r="BA28" s="174"/>
      <c r="BB28" s="174"/>
      <c r="BC28" s="174"/>
      <c r="BD28" s="174"/>
      <c r="BE28" s="174"/>
      <c r="BF28" s="174"/>
      <c r="BG28" s="14"/>
      <c r="BH28" s="174"/>
      <c r="BI28" s="177"/>
      <c r="BJ28" s="174"/>
      <c r="BK28" s="174"/>
      <c r="BL28" s="1"/>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918" t="s">
        <v>99</v>
      </c>
      <c r="CK28" s="919"/>
      <c r="CL28" s="920"/>
      <c r="CM28" s="921" t="s">
        <v>99</v>
      </c>
      <c r="CN28" s="919"/>
      <c r="CO28" s="920"/>
      <c r="CP28" s="921" t="s">
        <v>99</v>
      </c>
      <c r="CQ28" s="919"/>
      <c r="CR28" s="922"/>
      <c r="CS28" s="174"/>
      <c r="CT28" s="174"/>
      <c r="CU28" s="174"/>
      <c r="CV28" s="174"/>
      <c r="CW28" s="174"/>
      <c r="CX28" s="174"/>
      <c r="CY28" s="174"/>
      <c r="CZ28" s="174"/>
      <c r="DA28" s="174"/>
      <c r="DB28" s="174"/>
      <c r="DC28" s="174"/>
      <c r="DD28" s="174"/>
      <c r="DE28" s="174"/>
      <c r="DF28" s="174"/>
      <c r="DG28" s="174"/>
      <c r="DH28" s="19"/>
      <c r="DI28" s="174"/>
      <c r="DJ28" s="174"/>
      <c r="DK28" s="174"/>
      <c r="DL28" s="174"/>
      <c r="DM28" s="174"/>
      <c r="DN28" s="174"/>
      <c r="DO28" s="174"/>
      <c r="DP28" s="174"/>
      <c r="DQ28" s="174"/>
      <c r="DR28" s="174"/>
      <c r="DS28" s="177"/>
    </row>
    <row r="29" spans="2:123" ht="9.9499999999999993" customHeight="1">
      <c r="B29" s="1"/>
      <c r="C29" s="174"/>
      <c r="D29" s="174"/>
      <c r="E29" s="174"/>
      <c r="F29" s="174"/>
      <c r="G29" s="174"/>
      <c r="H29" s="863"/>
      <c r="I29" s="864"/>
      <c r="J29" s="864"/>
      <c r="K29" s="864"/>
      <c r="L29" s="864"/>
      <c r="M29" s="864"/>
      <c r="N29" s="864"/>
      <c r="O29" s="864"/>
      <c r="P29" s="864"/>
      <c r="Q29" s="865"/>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4"/>
      <c r="BH29" s="174"/>
      <c r="BI29" s="177"/>
      <c r="BJ29" s="174"/>
      <c r="BK29" s="174"/>
      <c r="BL29" s="1"/>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923">
        <f>(CJ21+CM21)/(CJ30+CM30)</f>
        <v>723.5</v>
      </c>
      <c r="CK29" s="924"/>
      <c r="CL29" s="925"/>
      <c r="CM29" s="926">
        <f>(CJ21+CM21)/(CJ30+CM30)</f>
        <v>723.5</v>
      </c>
      <c r="CN29" s="924"/>
      <c r="CO29" s="925"/>
      <c r="CP29" s="926">
        <f>SBL_Master</f>
        <v>607</v>
      </c>
      <c r="CQ29" s="924"/>
      <c r="CR29" s="927"/>
      <c r="CS29" s="174"/>
      <c r="CT29" s="174"/>
      <c r="CU29" s="174"/>
      <c r="CV29" s="174"/>
      <c r="CW29" s="174"/>
      <c r="CX29" s="174"/>
      <c r="CY29" s="174"/>
      <c r="CZ29" s="174"/>
      <c r="DA29" s="174"/>
      <c r="DB29" s="174"/>
      <c r="DC29" s="174"/>
      <c r="DD29" s="174"/>
      <c r="DE29" s="174"/>
      <c r="DF29" s="174"/>
      <c r="DG29" s="174"/>
      <c r="DH29" s="19"/>
      <c r="DI29" s="174"/>
      <c r="DJ29" s="174"/>
      <c r="DK29" s="174"/>
      <c r="DL29" s="174"/>
      <c r="DM29" s="174"/>
      <c r="DN29" s="174"/>
      <c r="DO29" s="174"/>
      <c r="DP29" s="174"/>
      <c r="DQ29" s="174"/>
      <c r="DR29" s="174"/>
      <c r="DS29" s="177"/>
    </row>
    <row r="30" spans="2:123" ht="9.9499999999999993" customHeight="1" thickBot="1">
      <c r="B30" s="1"/>
      <c r="C30" s="174"/>
      <c r="D30" s="174"/>
      <c r="E30" s="174"/>
      <c r="F30" s="174"/>
      <c r="G30" s="174"/>
      <c r="H30" s="866"/>
      <c r="I30" s="867"/>
      <c r="J30" s="867"/>
      <c r="K30" s="867"/>
      <c r="L30" s="867"/>
      <c r="M30" s="867"/>
      <c r="N30" s="867"/>
      <c r="O30" s="867"/>
      <c r="P30" s="867"/>
      <c r="Q30" s="868"/>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928">
        <v>1</v>
      </c>
      <c r="CK30" s="929"/>
      <c r="CL30" s="929"/>
      <c r="CM30" s="929">
        <v>1</v>
      </c>
      <c r="CN30" s="929"/>
      <c r="CO30" s="929"/>
      <c r="CP30" s="929">
        <v>1</v>
      </c>
      <c r="CQ30" s="929"/>
      <c r="CR30" s="930"/>
      <c r="CS30" s="174"/>
      <c r="CT30" s="174"/>
      <c r="CU30" s="174"/>
      <c r="CV30" s="174"/>
      <c r="CW30" s="174"/>
      <c r="CX30" s="174"/>
      <c r="CY30" s="174"/>
      <c r="CZ30" s="174"/>
      <c r="DA30" s="174"/>
      <c r="DB30" s="174"/>
      <c r="DC30" s="174"/>
      <c r="DD30" s="174"/>
      <c r="DE30" s="174"/>
      <c r="DF30" s="174"/>
      <c r="DG30" s="174"/>
      <c r="DH30" s="19"/>
      <c r="DI30" s="174"/>
      <c r="DJ30" s="174"/>
      <c r="DK30" s="174"/>
      <c r="DL30" s="174"/>
      <c r="DM30" s="174"/>
      <c r="DN30" s="174"/>
      <c r="DO30" s="174"/>
      <c r="DP30" s="174"/>
      <c r="DQ30" s="174"/>
      <c r="DR30" s="174"/>
      <c r="DS30" s="177"/>
    </row>
    <row r="31" spans="2:123" ht="9.9499999999999993" customHeight="1">
      <c r="B31" s="1"/>
      <c r="C31" s="174"/>
      <c r="D31" s="174"/>
      <c r="E31" s="174"/>
      <c r="F31" s="174"/>
      <c r="G31" s="174"/>
      <c r="H31" s="713">
        <f>ROUND(H28/CLV_Limit,2)</f>
        <v>2.06</v>
      </c>
      <c r="I31" s="714"/>
      <c r="J31" s="714"/>
      <c r="K31" s="714"/>
      <c r="L31" s="715"/>
      <c r="M31" s="722" t="s">
        <v>100</v>
      </c>
      <c r="N31" s="722"/>
      <c r="O31" s="722"/>
      <c r="P31" s="722"/>
      <c r="Q31" s="723"/>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788"/>
      <c r="BV31" s="789"/>
      <c r="BW31" s="789"/>
      <c r="BX31" s="789"/>
      <c r="BY31" s="901" t="s">
        <v>99</v>
      </c>
      <c r="BZ31" s="904">
        <f>EBU_Master</f>
        <v>0</v>
      </c>
      <c r="CA31" s="907">
        <v>1</v>
      </c>
      <c r="CB31" s="174"/>
      <c r="CC31" s="174"/>
      <c r="CD31" s="174"/>
      <c r="CE31" s="174"/>
      <c r="CF31" s="174"/>
      <c r="CG31" s="174"/>
      <c r="CH31" s="174"/>
      <c r="CI31" s="174"/>
      <c r="CJ31" s="56"/>
      <c r="CK31" s="175"/>
      <c r="CL31" s="175"/>
      <c r="CM31" s="175"/>
      <c r="CN31" s="175"/>
      <c r="CO31" s="175"/>
      <c r="CP31" s="175"/>
      <c r="CQ31" s="175"/>
      <c r="CR31" s="175"/>
      <c r="CS31" s="175"/>
      <c r="CT31" s="175"/>
      <c r="CU31" s="176"/>
      <c r="CV31" s="910">
        <v>1</v>
      </c>
      <c r="CW31" s="913">
        <f>(DE34+DE31)/(CV31+CV34)</f>
        <v>625</v>
      </c>
      <c r="CX31" s="914" t="s">
        <v>99</v>
      </c>
      <c r="CY31" s="789"/>
      <c r="CZ31" s="789"/>
      <c r="DA31" s="789"/>
      <c r="DB31" s="812"/>
      <c r="DC31" s="174"/>
      <c r="DD31" s="915">
        <v>0</v>
      </c>
      <c r="DE31" s="940">
        <f>WBR_Master</f>
        <v>625</v>
      </c>
      <c r="DF31" s="943" t="s">
        <v>99</v>
      </c>
      <c r="DG31" s="789"/>
      <c r="DH31" s="789"/>
      <c r="DI31" s="789"/>
      <c r="DJ31" s="812"/>
      <c r="DK31" s="174"/>
      <c r="DL31" s="174"/>
      <c r="DM31" s="174"/>
      <c r="DN31" s="174"/>
      <c r="DO31" s="174"/>
      <c r="DP31" s="174"/>
      <c r="DQ31" s="174"/>
      <c r="DR31" s="174"/>
      <c r="DS31" s="177"/>
    </row>
    <row r="32" spans="2:123" ht="9.9499999999999993" customHeight="1">
      <c r="B32" s="1"/>
      <c r="C32" s="174"/>
      <c r="D32" s="174"/>
      <c r="E32" s="174"/>
      <c r="F32" s="174"/>
      <c r="G32" s="174"/>
      <c r="H32" s="716"/>
      <c r="I32" s="717"/>
      <c r="J32" s="717"/>
      <c r="K32" s="717"/>
      <c r="L32" s="718"/>
      <c r="M32" s="724"/>
      <c r="N32" s="724"/>
      <c r="O32" s="724"/>
      <c r="P32" s="724"/>
      <c r="Q32" s="725"/>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790"/>
      <c r="BV32" s="791"/>
      <c r="BW32" s="791"/>
      <c r="BX32" s="791"/>
      <c r="BY32" s="902"/>
      <c r="BZ32" s="905"/>
      <c r="CA32" s="908"/>
      <c r="CB32" s="174"/>
      <c r="CC32" s="174"/>
      <c r="CD32" s="174"/>
      <c r="CE32" s="174"/>
      <c r="CF32" s="174"/>
      <c r="CG32" s="174"/>
      <c r="CH32" s="174"/>
      <c r="CI32" s="174"/>
      <c r="CJ32" s="58"/>
      <c r="CK32" s="109"/>
      <c r="CL32" s="109"/>
      <c r="CM32" s="109"/>
      <c r="CN32" s="109"/>
      <c r="CO32" s="109"/>
      <c r="CP32" s="109"/>
      <c r="CQ32" s="109"/>
      <c r="CR32" s="109"/>
      <c r="CS32" s="109"/>
      <c r="CT32" s="109"/>
      <c r="CU32" s="60"/>
      <c r="CV32" s="911"/>
      <c r="CW32" s="1921"/>
      <c r="CX32" s="1922"/>
      <c r="CY32" s="791"/>
      <c r="CZ32" s="791"/>
      <c r="DA32" s="791"/>
      <c r="DB32" s="813"/>
      <c r="DC32" s="174"/>
      <c r="DD32" s="916"/>
      <c r="DE32" s="941"/>
      <c r="DF32" s="944"/>
      <c r="DG32" s="791"/>
      <c r="DH32" s="791"/>
      <c r="DI32" s="791"/>
      <c r="DJ32" s="813"/>
      <c r="DK32" s="174"/>
      <c r="DL32" s="174"/>
      <c r="DM32" s="174"/>
      <c r="DN32" s="174"/>
      <c r="DO32" s="174"/>
      <c r="DP32" s="174"/>
      <c r="DQ32" s="174"/>
      <c r="DR32" s="174"/>
      <c r="DS32" s="177"/>
    </row>
    <row r="33" spans="2:123" ht="9.9499999999999993" customHeight="1" thickBot="1">
      <c r="B33" s="1"/>
      <c r="C33" s="174"/>
      <c r="D33" s="174"/>
      <c r="E33" s="174"/>
      <c r="F33" s="174"/>
      <c r="G33" s="174"/>
      <c r="H33" s="719"/>
      <c r="I33" s="720"/>
      <c r="J33" s="720"/>
      <c r="K33" s="720"/>
      <c r="L33" s="721"/>
      <c r="M33" s="726"/>
      <c r="N33" s="726"/>
      <c r="O33" s="726"/>
      <c r="P33" s="726"/>
      <c r="Q33" s="727"/>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792"/>
      <c r="BV33" s="793"/>
      <c r="BW33" s="793"/>
      <c r="BX33" s="793"/>
      <c r="BY33" s="903"/>
      <c r="BZ33" s="906"/>
      <c r="CA33" s="908"/>
      <c r="CB33" s="174"/>
      <c r="CC33" s="174"/>
      <c r="CD33" s="174"/>
      <c r="CE33" s="174"/>
      <c r="CF33" s="174"/>
      <c r="CG33" s="174"/>
      <c r="CH33" s="174"/>
      <c r="CI33" s="174"/>
      <c r="CJ33" s="58"/>
      <c r="CK33" s="109"/>
      <c r="CL33" s="109"/>
      <c r="CM33" s="109"/>
      <c r="CN33" s="109"/>
      <c r="CO33" s="109"/>
      <c r="CP33" s="109"/>
      <c r="CQ33" s="109"/>
      <c r="CR33" s="109"/>
      <c r="CS33" s="109"/>
      <c r="CT33" s="109"/>
      <c r="CU33" s="60"/>
      <c r="CV33" s="912"/>
      <c r="CW33" s="1923"/>
      <c r="CX33" s="1924"/>
      <c r="CY33" s="793"/>
      <c r="CZ33" s="793"/>
      <c r="DA33" s="793"/>
      <c r="DB33" s="814"/>
      <c r="DC33" s="174"/>
      <c r="DD33" s="917"/>
      <c r="DE33" s="942"/>
      <c r="DF33" s="945"/>
      <c r="DG33" s="793"/>
      <c r="DH33" s="793"/>
      <c r="DI33" s="793"/>
      <c r="DJ33" s="81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815"/>
      <c r="BV34" s="816"/>
      <c r="BW34" s="816"/>
      <c r="BX34" s="816"/>
      <c r="BY34" s="946" t="s">
        <v>99</v>
      </c>
      <c r="BZ34" s="947">
        <f>EBL_Master</f>
        <v>899</v>
      </c>
      <c r="CA34" s="908"/>
      <c r="CB34" s="174"/>
      <c r="CC34" s="788"/>
      <c r="CD34" s="789"/>
      <c r="CE34" s="789"/>
      <c r="CF34" s="789"/>
      <c r="CG34" s="948" t="s">
        <v>99</v>
      </c>
      <c r="CH34" s="949">
        <f>EBL_Master</f>
        <v>899</v>
      </c>
      <c r="CI34" s="950">
        <v>1</v>
      </c>
      <c r="CJ34" s="58"/>
      <c r="CK34" s="109"/>
      <c r="CL34" s="763"/>
      <c r="CM34" s="764"/>
      <c r="CN34" s="764"/>
      <c r="CO34" s="764"/>
      <c r="CP34" s="764"/>
      <c r="CQ34" s="764"/>
      <c r="CR34" s="764"/>
      <c r="CS34" s="771"/>
      <c r="CT34" s="109"/>
      <c r="CU34" s="60"/>
      <c r="CV34" s="951">
        <v>0</v>
      </c>
      <c r="CW34" s="952">
        <f>(DE34+DE31)/(CV31+CV34)</f>
        <v>625</v>
      </c>
      <c r="CX34" s="953" t="s">
        <v>99</v>
      </c>
      <c r="CY34" s="816"/>
      <c r="CZ34" s="816"/>
      <c r="DA34" s="816"/>
      <c r="DB34" s="822"/>
      <c r="DC34" s="174"/>
      <c r="DD34" s="954">
        <v>2</v>
      </c>
      <c r="DE34" s="955">
        <f>WBT_Master</f>
        <v>0</v>
      </c>
      <c r="DF34" s="956" t="s">
        <v>99</v>
      </c>
      <c r="DG34" s="816"/>
      <c r="DH34" s="816"/>
      <c r="DI34" s="816"/>
      <c r="DJ34" s="822"/>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790"/>
      <c r="BV35" s="791"/>
      <c r="BW35" s="791"/>
      <c r="BX35" s="791"/>
      <c r="BY35" s="902"/>
      <c r="BZ35" s="905"/>
      <c r="CA35" s="908"/>
      <c r="CB35" s="174"/>
      <c r="CC35" s="790"/>
      <c r="CD35" s="791"/>
      <c r="CE35" s="791"/>
      <c r="CF35" s="791"/>
      <c r="CG35" s="932"/>
      <c r="CH35" s="935"/>
      <c r="CI35" s="938"/>
      <c r="CJ35" s="58"/>
      <c r="CK35" s="109"/>
      <c r="CL35" s="766"/>
      <c r="CM35" s="767"/>
      <c r="CN35" s="767"/>
      <c r="CO35" s="767"/>
      <c r="CP35" s="767"/>
      <c r="CQ35" s="767"/>
      <c r="CR35" s="767"/>
      <c r="CS35" s="772"/>
      <c r="CT35" s="109"/>
      <c r="CU35" s="60"/>
      <c r="CV35" s="911"/>
      <c r="CW35" s="1921"/>
      <c r="CX35" s="1922"/>
      <c r="CY35" s="791"/>
      <c r="CZ35" s="791"/>
      <c r="DA35" s="791"/>
      <c r="DB35" s="813"/>
      <c r="DC35" s="174"/>
      <c r="DD35" s="916"/>
      <c r="DE35" s="941"/>
      <c r="DF35" s="944"/>
      <c r="DG35" s="791"/>
      <c r="DH35" s="791"/>
      <c r="DI35" s="791"/>
      <c r="DJ35" s="813"/>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792"/>
      <c r="BV36" s="793"/>
      <c r="BW36" s="793"/>
      <c r="BX36" s="793"/>
      <c r="BY36" s="903"/>
      <c r="BZ36" s="906"/>
      <c r="CA36" s="909"/>
      <c r="CB36" s="174"/>
      <c r="CC36" s="792"/>
      <c r="CD36" s="793"/>
      <c r="CE36" s="793"/>
      <c r="CF36" s="793"/>
      <c r="CG36" s="933"/>
      <c r="CH36" s="936"/>
      <c r="CI36" s="939"/>
      <c r="CJ36" s="58"/>
      <c r="CK36" s="109"/>
      <c r="CL36" s="766"/>
      <c r="CM36" s="767"/>
      <c r="CN36" s="767"/>
      <c r="CO36" s="767"/>
      <c r="CP36" s="767"/>
      <c r="CQ36" s="767"/>
      <c r="CR36" s="767"/>
      <c r="CS36" s="772"/>
      <c r="CT36" s="109"/>
      <c r="CU36" s="60"/>
      <c r="CV36" s="912"/>
      <c r="CW36" s="1923"/>
      <c r="CX36" s="1924"/>
      <c r="CY36" s="793"/>
      <c r="CZ36" s="793"/>
      <c r="DA36" s="793"/>
      <c r="DB36" s="814"/>
      <c r="DC36" s="174"/>
      <c r="DD36" s="917"/>
      <c r="DE36" s="942"/>
      <c r="DF36" s="945"/>
      <c r="DG36" s="793"/>
      <c r="DH36" s="793"/>
      <c r="DI36" s="793"/>
      <c r="DJ36" s="81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815"/>
      <c r="BV37" s="816"/>
      <c r="BW37" s="816"/>
      <c r="BX37" s="816"/>
      <c r="BY37" s="946" t="s">
        <v>99</v>
      </c>
      <c r="BZ37" s="947">
        <f>EBT_Master</f>
        <v>0</v>
      </c>
      <c r="CA37" s="961">
        <v>2</v>
      </c>
      <c r="CB37" s="174"/>
      <c r="CC37" s="815"/>
      <c r="CD37" s="816"/>
      <c r="CE37" s="816"/>
      <c r="CF37" s="816"/>
      <c r="CG37" s="931" t="s">
        <v>99</v>
      </c>
      <c r="CH37" s="934">
        <f>(BZ37+BZ40)/(CI37+CI40)</f>
        <v>208</v>
      </c>
      <c r="CI37" s="937">
        <v>0</v>
      </c>
      <c r="CJ37" s="58"/>
      <c r="CK37" s="109"/>
      <c r="CL37" s="833">
        <f>MAX(CP29/CP30,CM44/CM43)+MAX(CJ29/CJ30,CS44/CS43)+MAX(CH40/CI40,CW31/CV31)+MAX(CW37/CV37,CH34/CI34)</f>
        <v>3291</v>
      </c>
      <c r="CM37" s="834"/>
      <c r="CN37" s="834"/>
      <c r="CO37" s="834"/>
      <c r="CP37" s="834"/>
      <c r="CQ37" s="834"/>
      <c r="CR37" s="834"/>
      <c r="CS37" s="835"/>
      <c r="CT37" s="109"/>
      <c r="CU37" s="60"/>
      <c r="CV37" s="951">
        <v>1</v>
      </c>
      <c r="CW37" s="952">
        <f>DE37</f>
        <v>588</v>
      </c>
      <c r="CX37" s="953" t="s">
        <v>99</v>
      </c>
      <c r="CY37" s="816"/>
      <c r="CZ37" s="816"/>
      <c r="DA37" s="816"/>
      <c r="DB37" s="822"/>
      <c r="DC37" s="174"/>
      <c r="DD37" s="954">
        <v>1</v>
      </c>
      <c r="DE37" s="955">
        <f>WBL_Master</f>
        <v>588</v>
      </c>
      <c r="DF37" s="956" t="s">
        <v>99</v>
      </c>
      <c r="DG37" s="816"/>
      <c r="DH37" s="816"/>
      <c r="DI37" s="816"/>
      <c r="DJ37" s="822"/>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790"/>
      <c r="BV38" s="791"/>
      <c r="BW38" s="791"/>
      <c r="BX38" s="791"/>
      <c r="BY38" s="902"/>
      <c r="BZ38" s="905"/>
      <c r="CA38" s="908"/>
      <c r="CB38" s="174"/>
      <c r="CC38" s="790"/>
      <c r="CD38" s="791"/>
      <c r="CE38" s="791"/>
      <c r="CF38" s="791"/>
      <c r="CG38" s="932"/>
      <c r="CH38" s="935"/>
      <c r="CI38" s="938"/>
      <c r="CJ38" s="58"/>
      <c r="CK38" s="109"/>
      <c r="CL38" s="833"/>
      <c r="CM38" s="834"/>
      <c r="CN38" s="834"/>
      <c r="CO38" s="834"/>
      <c r="CP38" s="834"/>
      <c r="CQ38" s="834"/>
      <c r="CR38" s="834"/>
      <c r="CS38" s="835"/>
      <c r="CT38" s="109"/>
      <c r="CU38" s="60"/>
      <c r="CV38" s="911"/>
      <c r="CW38" s="1921"/>
      <c r="CX38" s="1922"/>
      <c r="CY38" s="791"/>
      <c r="CZ38" s="791"/>
      <c r="DA38" s="791"/>
      <c r="DB38" s="813"/>
      <c r="DC38" s="174"/>
      <c r="DD38" s="916"/>
      <c r="DE38" s="941"/>
      <c r="DF38" s="944"/>
      <c r="DG38" s="791"/>
      <c r="DH38" s="791"/>
      <c r="DI38" s="791"/>
      <c r="DJ38" s="813"/>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792"/>
      <c r="BV39" s="793"/>
      <c r="BW39" s="793"/>
      <c r="BX39" s="793"/>
      <c r="BY39" s="903"/>
      <c r="BZ39" s="906"/>
      <c r="CA39" s="909"/>
      <c r="CB39" s="174"/>
      <c r="CC39" s="792"/>
      <c r="CD39" s="793"/>
      <c r="CE39" s="793"/>
      <c r="CF39" s="793"/>
      <c r="CG39" s="933"/>
      <c r="CH39" s="936"/>
      <c r="CI39" s="939"/>
      <c r="CJ39" s="58"/>
      <c r="CK39" s="109"/>
      <c r="CL39" s="836"/>
      <c r="CM39" s="837"/>
      <c r="CN39" s="837"/>
      <c r="CO39" s="837"/>
      <c r="CP39" s="837"/>
      <c r="CQ39" s="837"/>
      <c r="CR39" s="837"/>
      <c r="CS39" s="838"/>
      <c r="CT39" s="109"/>
      <c r="CU39" s="60"/>
      <c r="CV39" s="957"/>
      <c r="CW39" s="1925"/>
      <c r="CX39" s="1909"/>
      <c r="CY39" s="825"/>
      <c r="CZ39" s="825"/>
      <c r="DA39" s="825"/>
      <c r="DB39" s="832"/>
      <c r="DC39" s="174"/>
      <c r="DD39" s="916"/>
      <c r="DE39" s="942"/>
      <c r="DF39" s="945"/>
      <c r="DG39" s="793"/>
      <c r="DH39" s="793"/>
      <c r="DI39" s="793"/>
      <c r="DJ39" s="81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815"/>
      <c r="BV40" s="816"/>
      <c r="BW40" s="816"/>
      <c r="BX40" s="816"/>
      <c r="BY40" s="946" t="s">
        <v>99</v>
      </c>
      <c r="BZ40" s="947">
        <f>EBR_Master</f>
        <v>208</v>
      </c>
      <c r="CA40" s="961">
        <v>0</v>
      </c>
      <c r="CB40" s="174"/>
      <c r="CC40" s="815"/>
      <c r="CD40" s="816"/>
      <c r="CE40" s="816"/>
      <c r="CF40" s="816"/>
      <c r="CG40" s="931" t="s">
        <v>99</v>
      </c>
      <c r="CH40" s="934">
        <f>(BZ37+BZ40)/(CI37+CI40)</f>
        <v>208</v>
      </c>
      <c r="CI40" s="937">
        <v>1</v>
      </c>
      <c r="CJ40" s="58"/>
      <c r="CK40" s="109"/>
      <c r="CL40" s="109"/>
      <c r="CM40" s="109"/>
      <c r="CN40" s="109"/>
      <c r="CO40" s="109"/>
      <c r="CP40" s="109"/>
      <c r="CQ40" s="109"/>
      <c r="CR40" s="109"/>
      <c r="CS40" s="109"/>
      <c r="CT40" s="109"/>
      <c r="CU40" s="60"/>
      <c r="CV40" s="174"/>
      <c r="CW40" s="174"/>
      <c r="CX40" s="174"/>
      <c r="CY40" s="174"/>
      <c r="CZ40" s="174"/>
      <c r="DA40" s="174"/>
      <c r="DB40" s="174"/>
      <c r="DC40" s="174"/>
      <c r="DD40" s="916"/>
      <c r="DE40" s="955">
        <f>WBU_Master</f>
        <v>0</v>
      </c>
      <c r="DF40" s="956" t="s">
        <v>99</v>
      </c>
      <c r="DG40" s="816"/>
      <c r="DH40" s="816"/>
      <c r="DI40" s="816"/>
      <c r="DJ40" s="822"/>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790"/>
      <c r="BV41" s="791"/>
      <c r="BW41" s="791"/>
      <c r="BX41" s="791"/>
      <c r="BY41" s="902"/>
      <c r="BZ41" s="905"/>
      <c r="CA41" s="908"/>
      <c r="CB41" s="174"/>
      <c r="CC41" s="790"/>
      <c r="CD41" s="791"/>
      <c r="CE41" s="791"/>
      <c r="CF41" s="791"/>
      <c r="CG41" s="932"/>
      <c r="CH41" s="935"/>
      <c r="CI41" s="938"/>
      <c r="CJ41" s="58"/>
      <c r="CK41" s="109"/>
      <c r="CL41" s="109"/>
      <c r="CM41" s="109"/>
      <c r="CN41" s="109"/>
      <c r="CO41" s="109"/>
      <c r="CP41" s="109"/>
      <c r="CQ41" s="109"/>
      <c r="CR41" s="109"/>
      <c r="CS41" s="109"/>
      <c r="CT41" s="109"/>
      <c r="CU41" s="60"/>
      <c r="CV41" s="174"/>
      <c r="CW41" s="174"/>
      <c r="CX41" s="174"/>
      <c r="CY41" s="174"/>
      <c r="CZ41" s="174"/>
      <c r="DA41" s="174"/>
      <c r="DB41" s="174"/>
      <c r="DC41" s="174"/>
      <c r="DD41" s="916"/>
      <c r="DE41" s="941"/>
      <c r="DF41" s="944"/>
      <c r="DG41" s="791"/>
      <c r="DH41" s="791"/>
      <c r="DI41" s="791"/>
      <c r="DJ41" s="813"/>
      <c r="DK41" s="174"/>
      <c r="DL41" s="174"/>
      <c r="DM41" s="174"/>
      <c r="DN41" s="174"/>
      <c r="DO41" s="174"/>
      <c r="DP41" s="174"/>
      <c r="DQ41" s="174"/>
      <c r="DR41" s="174"/>
      <c r="DS41" s="177"/>
    </row>
    <row r="42" spans="2:123" ht="9.9499999999999993" customHeight="1" thickBo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824"/>
      <c r="BV42" s="825"/>
      <c r="BW42" s="825"/>
      <c r="BX42" s="825"/>
      <c r="BY42" s="959"/>
      <c r="BZ42" s="960"/>
      <c r="CA42" s="962"/>
      <c r="CB42" s="174"/>
      <c r="CC42" s="824"/>
      <c r="CD42" s="825"/>
      <c r="CE42" s="825"/>
      <c r="CF42" s="825"/>
      <c r="CG42" s="963"/>
      <c r="CH42" s="964"/>
      <c r="CI42" s="965"/>
      <c r="CJ42" s="61"/>
      <c r="CK42" s="110"/>
      <c r="CL42" s="110"/>
      <c r="CM42" s="110"/>
      <c r="CN42" s="110"/>
      <c r="CO42" s="110"/>
      <c r="CP42" s="110"/>
      <c r="CQ42" s="110"/>
      <c r="CR42" s="110"/>
      <c r="CS42" s="110"/>
      <c r="CT42" s="110"/>
      <c r="CU42" s="63"/>
      <c r="CV42" s="174"/>
      <c r="CW42" s="174"/>
      <c r="CX42" s="174"/>
      <c r="CY42" s="174"/>
      <c r="CZ42" s="174"/>
      <c r="DA42" s="174"/>
      <c r="DB42" s="174"/>
      <c r="DC42" s="174"/>
      <c r="DD42" s="958"/>
      <c r="DE42" s="966"/>
      <c r="DF42" s="967"/>
      <c r="DG42" s="825"/>
      <c r="DH42" s="825"/>
      <c r="DI42" s="825"/>
      <c r="DJ42" s="832"/>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968">
        <v>1</v>
      </c>
      <c r="CN43" s="969"/>
      <c r="CO43" s="970"/>
      <c r="CP43" s="971">
        <v>1</v>
      </c>
      <c r="CQ43" s="969"/>
      <c r="CR43" s="970"/>
      <c r="CS43" s="971">
        <v>1</v>
      </c>
      <c r="CT43" s="969"/>
      <c r="CU43" s="972"/>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973">
        <f>NBL_Master</f>
        <v>0</v>
      </c>
      <c r="CN44" s="974"/>
      <c r="CO44" s="975"/>
      <c r="CP44" s="976">
        <f>(CP52+CS52)/(CP43+CS43)</f>
        <v>1160</v>
      </c>
      <c r="CQ44" s="974"/>
      <c r="CR44" s="975"/>
      <c r="CS44" s="976">
        <f>(CP52+CS52)/(CP43+CS43)</f>
        <v>1160</v>
      </c>
      <c r="CT44" s="974"/>
      <c r="CU44" s="977"/>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918" t="s">
        <v>99</v>
      </c>
      <c r="CN45" s="919"/>
      <c r="CO45" s="920"/>
      <c r="CP45" s="921" t="s">
        <v>99</v>
      </c>
      <c r="CQ45" s="919"/>
      <c r="CR45" s="920"/>
      <c r="CS45" s="921" t="s">
        <v>99</v>
      </c>
      <c r="CT45" s="919"/>
      <c r="CU45" s="922"/>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766"/>
      <c r="CN46" s="767"/>
      <c r="CO46" s="768"/>
      <c r="CP46" s="770"/>
      <c r="CQ46" s="767"/>
      <c r="CR46" s="768"/>
      <c r="CS46" s="770"/>
      <c r="CT46" s="767"/>
      <c r="CU46" s="772"/>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25"/>
      <c r="BQ47" s="25"/>
      <c r="BR47" s="25"/>
      <c r="BS47" s="25"/>
      <c r="BT47" s="25"/>
      <c r="BU47" s="25"/>
      <c r="BV47" s="25"/>
      <c r="BW47" s="25"/>
      <c r="BX47" s="174"/>
      <c r="BY47" s="174"/>
      <c r="BZ47" s="174"/>
      <c r="CA47" s="174"/>
      <c r="CB47" s="174"/>
      <c r="CC47" s="174"/>
      <c r="CD47" s="174"/>
      <c r="CE47" s="174"/>
      <c r="CF47" s="25"/>
      <c r="CG47" s="174"/>
      <c r="CH47" s="174"/>
      <c r="CI47" s="174"/>
      <c r="CJ47" s="174"/>
      <c r="CK47" s="174"/>
      <c r="CL47" s="174"/>
      <c r="CM47" s="766"/>
      <c r="CN47" s="767"/>
      <c r="CO47" s="768"/>
      <c r="CP47" s="770"/>
      <c r="CQ47" s="767"/>
      <c r="CR47" s="768"/>
      <c r="CS47" s="770"/>
      <c r="CT47" s="767"/>
      <c r="CU47" s="772"/>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6"/>
      <c r="BQ48" s="16"/>
      <c r="BR48" s="16"/>
      <c r="BS48" s="16"/>
      <c r="BT48" s="16"/>
      <c r="BU48" s="16"/>
      <c r="BV48" s="16"/>
      <c r="BW48" s="174"/>
      <c r="BX48" s="174"/>
      <c r="BY48" s="174"/>
      <c r="BZ48" s="174"/>
      <c r="CA48" s="174"/>
      <c r="CB48" s="174"/>
      <c r="CC48" s="174"/>
      <c r="CD48" s="174"/>
      <c r="CE48" s="174"/>
      <c r="CF48" s="16"/>
      <c r="CG48" s="174"/>
      <c r="CH48" s="174"/>
      <c r="CI48" s="174"/>
      <c r="CJ48" s="174"/>
      <c r="CK48" s="174"/>
      <c r="CL48" s="174"/>
      <c r="CM48" s="766"/>
      <c r="CN48" s="767"/>
      <c r="CO48" s="768"/>
      <c r="CP48" s="770"/>
      <c r="CQ48" s="767"/>
      <c r="CR48" s="768"/>
      <c r="CS48" s="770"/>
      <c r="CT48" s="767"/>
      <c r="CU48" s="772"/>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4"/>
      <c r="BU49" s="174"/>
      <c r="BV49" s="174"/>
      <c r="BW49" s="174"/>
      <c r="BX49" s="174"/>
      <c r="BY49" s="174"/>
      <c r="BZ49" s="174"/>
      <c r="CA49" s="174"/>
      <c r="CB49" s="174"/>
      <c r="CC49" s="174"/>
      <c r="CD49" s="174"/>
      <c r="CE49" s="174"/>
      <c r="CF49" s="174"/>
      <c r="CG49" s="174"/>
      <c r="CH49" s="174"/>
      <c r="CI49" s="174"/>
      <c r="CJ49" s="174"/>
      <c r="CK49" s="174"/>
      <c r="CL49" s="174"/>
      <c r="CM49" s="849"/>
      <c r="CN49" s="705"/>
      <c r="CO49" s="850"/>
      <c r="CP49" s="851"/>
      <c r="CQ49" s="705"/>
      <c r="CR49" s="850"/>
      <c r="CS49" s="851"/>
      <c r="CT49" s="705"/>
      <c r="CU49" s="852"/>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4"/>
      <c r="BU51" s="174"/>
      <c r="BV51" s="174"/>
      <c r="BW51" s="174"/>
      <c r="BX51" s="174"/>
      <c r="BY51" s="174"/>
      <c r="BZ51" s="174"/>
      <c r="CA51" s="174"/>
      <c r="CB51" s="174"/>
      <c r="CC51" s="174"/>
      <c r="CD51" s="174"/>
      <c r="CE51" s="174"/>
      <c r="CF51" s="174"/>
      <c r="CG51" s="174"/>
      <c r="CH51" s="174"/>
      <c r="CI51" s="174"/>
      <c r="CJ51" s="978">
        <v>1</v>
      </c>
      <c r="CK51" s="979"/>
      <c r="CL51" s="979"/>
      <c r="CM51" s="979"/>
      <c r="CN51" s="979"/>
      <c r="CO51" s="980"/>
      <c r="CP51" s="981">
        <v>2</v>
      </c>
      <c r="CQ51" s="979"/>
      <c r="CR51" s="980"/>
      <c r="CS51" s="981">
        <v>0</v>
      </c>
      <c r="CT51" s="979"/>
      <c r="CU51" s="982"/>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983">
        <f>NBU_Master</f>
        <v>0</v>
      </c>
      <c r="CK52" s="984"/>
      <c r="CL52" s="985"/>
      <c r="CM52" s="986">
        <f>NBL_Master</f>
        <v>0</v>
      </c>
      <c r="CN52" s="984"/>
      <c r="CO52" s="985"/>
      <c r="CP52" s="986">
        <f>NBT_Master</f>
        <v>1260</v>
      </c>
      <c r="CQ52" s="984"/>
      <c r="CR52" s="985"/>
      <c r="CS52" s="986">
        <f>NBR_Master</f>
        <v>1060</v>
      </c>
      <c r="CT52" s="984"/>
      <c r="CU52" s="987"/>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886" t="s">
        <v>99</v>
      </c>
      <c r="CK53" s="887"/>
      <c r="CL53" s="888"/>
      <c r="CM53" s="889" t="s">
        <v>99</v>
      </c>
      <c r="CN53" s="887"/>
      <c r="CO53" s="888"/>
      <c r="CP53" s="889" t="s">
        <v>99</v>
      </c>
      <c r="CQ53" s="887"/>
      <c r="CR53" s="888"/>
      <c r="CS53" s="889" t="s">
        <v>99</v>
      </c>
      <c r="CT53" s="887"/>
      <c r="CU53" s="890"/>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766"/>
      <c r="CK54" s="767"/>
      <c r="CL54" s="768"/>
      <c r="CM54" s="770"/>
      <c r="CN54" s="767"/>
      <c r="CO54" s="768"/>
      <c r="CP54" s="770"/>
      <c r="CQ54" s="767"/>
      <c r="CR54" s="768"/>
      <c r="CS54" s="770"/>
      <c r="CT54" s="767"/>
      <c r="CU54" s="772"/>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766"/>
      <c r="CK55" s="767"/>
      <c r="CL55" s="768"/>
      <c r="CM55" s="770"/>
      <c r="CN55" s="767"/>
      <c r="CO55" s="768"/>
      <c r="CP55" s="770"/>
      <c r="CQ55" s="767"/>
      <c r="CR55" s="768"/>
      <c r="CS55" s="770"/>
      <c r="CT55" s="767"/>
      <c r="CU55" s="772"/>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766"/>
      <c r="CK56" s="767"/>
      <c r="CL56" s="768"/>
      <c r="CM56" s="770"/>
      <c r="CN56" s="767"/>
      <c r="CO56" s="768"/>
      <c r="CP56" s="770"/>
      <c r="CQ56" s="767"/>
      <c r="CR56" s="768"/>
      <c r="CS56" s="770"/>
      <c r="CT56" s="767"/>
      <c r="CU56" s="772"/>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thickBo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849"/>
      <c r="CK57" s="705"/>
      <c r="CL57" s="850"/>
      <c r="CM57" s="851"/>
      <c r="CN57" s="705"/>
      <c r="CO57" s="850"/>
      <c r="CP57" s="851"/>
      <c r="CQ57" s="705"/>
      <c r="CR57" s="850"/>
      <c r="CS57" s="851"/>
      <c r="CT57" s="705"/>
      <c r="CU57" s="852"/>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4"/>
      <c r="BQ71" s="4"/>
      <c r="BR71" s="4"/>
      <c r="BS71" s="4"/>
      <c r="BT71" s="4"/>
      <c r="BU71" s="4"/>
      <c r="BV71" s="4"/>
      <c r="BW71" s="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4"/>
      <c r="BQ72" s="4"/>
      <c r="BR72" s="4"/>
      <c r="BS72" s="4"/>
      <c r="BT72" s="4"/>
      <c r="BU72" s="4"/>
      <c r="BV72" s="4"/>
      <c r="BW72" s="4"/>
      <c r="BX72" s="4"/>
      <c r="BY72" s="4"/>
      <c r="BZ72" s="4"/>
      <c r="CA72" s="4"/>
      <c r="CB72" s="4"/>
      <c r="CC72" s="4"/>
      <c r="CD72" s="4"/>
      <c r="CE72" s="4"/>
      <c r="CF72" s="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4"/>
      <c r="BQ73" s="4"/>
      <c r="BR73" s="4"/>
      <c r="BS73" s="4"/>
      <c r="BT73" s="4"/>
      <c r="BU73" s="4"/>
      <c r="BV73" s="4"/>
      <c r="BW73" s="4"/>
      <c r="BX73" s="4"/>
      <c r="BY73" s="4"/>
      <c r="BZ73" s="4"/>
      <c r="CA73" s="4"/>
      <c r="CB73" s="4"/>
      <c r="CC73" s="4"/>
      <c r="CD73" s="4"/>
      <c r="CE73" s="4"/>
      <c r="CF73" s="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168"/>
      <c r="N74" s="705" t="s">
        <v>101</v>
      </c>
      <c r="O74" s="705"/>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168"/>
      <c r="AW74" s="168"/>
      <c r="AX74" s="168"/>
      <c r="AY74" s="168"/>
      <c r="AZ74" s="168"/>
      <c r="BA74" s="168"/>
      <c r="BB74" s="168"/>
      <c r="BC74" s="168"/>
      <c r="BD74" s="168"/>
      <c r="BE74" s="168"/>
      <c r="BF74" s="168"/>
      <c r="BG74" s="168"/>
      <c r="BH74" s="168"/>
      <c r="BI74" s="171"/>
      <c r="BJ74" s="174"/>
      <c r="BK74" s="174"/>
      <c r="BL74" s="12"/>
      <c r="BM74" s="168"/>
      <c r="BN74" s="168"/>
      <c r="BO74" s="168"/>
      <c r="BP74" s="21"/>
      <c r="BQ74" s="21"/>
      <c r="BR74" s="21"/>
      <c r="BS74" s="21"/>
      <c r="BT74" s="21"/>
      <c r="BU74" s="21"/>
      <c r="BV74" s="21"/>
      <c r="BW74" s="21"/>
      <c r="BX74" s="21"/>
      <c r="BY74" s="21"/>
      <c r="BZ74" s="21"/>
      <c r="CA74" s="21"/>
      <c r="CB74" s="21"/>
      <c r="CC74" s="21"/>
      <c r="CD74" s="21"/>
      <c r="CE74" s="21"/>
      <c r="CF74" s="21"/>
      <c r="CG74" s="21"/>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sheetData>
  <sheetProtection sheet="1" objects="1" scenarios="1" selectLockedCells="1"/>
  <mergeCells count="160">
    <mergeCell ref="CJ53:CL53"/>
    <mergeCell ref="CM53:CO53"/>
    <mergeCell ref="CP53:CR53"/>
    <mergeCell ref="CS53:CU53"/>
    <mergeCell ref="CJ54:CL57"/>
    <mergeCell ref="CM54:CO57"/>
    <mergeCell ref="CP54:CR57"/>
    <mergeCell ref="CS54:CU57"/>
    <mergeCell ref="CM46:CO49"/>
    <mergeCell ref="CP46:CR49"/>
    <mergeCell ref="CS46:CU49"/>
    <mergeCell ref="CJ51:CO51"/>
    <mergeCell ref="CP51:CR51"/>
    <mergeCell ref="CS51:CU51"/>
    <mergeCell ref="CJ52:CL52"/>
    <mergeCell ref="CM52:CO52"/>
    <mergeCell ref="CP52:CR52"/>
    <mergeCell ref="CS52:CU52"/>
    <mergeCell ref="CM43:CO43"/>
    <mergeCell ref="CP43:CR43"/>
    <mergeCell ref="CS43:CU43"/>
    <mergeCell ref="CM44:CO44"/>
    <mergeCell ref="CP44:CR44"/>
    <mergeCell ref="CS44:CU44"/>
    <mergeCell ref="CM45:CO45"/>
    <mergeCell ref="CP45:CR45"/>
    <mergeCell ref="CS45:CU45"/>
    <mergeCell ref="CV37:CV39"/>
    <mergeCell ref="CW37:CW39"/>
    <mergeCell ref="CX37:CX39"/>
    <mergeCell ref="CY37:DB39"/>
    <mergeCell ref="DD37:DD42"/>
    <mergeCell ref="DE37:DE39"/>
    <mergeCell ref="DF37:DF39"/>
    <mergeCell ref="DG37:DJ39"/>
    <mergeCell ref="BU40:BX42"/>
    <mergeCell ref="BY40:BY42"/>
    <mergeCell ref="BZ40:BZ42"/>
    <mergeCell ref="CA40:CA42"/>
    <mergeCell ref="CC40:CF42"/>
    <mergeCell ref="CG40:CG42"/>
    <mergeCell ref="CH40:CH42"/>
    <mergeCell ref="CI40:CI42"/>
    <mergeCell ref="DE40:DE42"/>
    <mergeCell ref="DF40:DF42"/>
    <mergeCell ref="DG40:DJ42"/>
    <mergeCell ref="BU37:BX39"/>
    <mergeCell ref="BY37:BY39"/>
    <mergeCell ref="BZ37:BZ39"/>
    <mergeCell ref="CA37:CA39"/>
    <mergeCell ref="CC37:CF39"/>
    <mergeCell ref="CG37:CG39"/>
    <mergeCell ref="CH37:CH39"/>
    <mergeCell ref="CI37:CI39"/>
    <mergeCell ref="CL37:CS39"/>
    <mergeCell ref="DE31:DE33"/>
    <mergeCell ref="DF31:DF33"/>
    <mergeCell ref="DG31:DJ33"/>
    <mergeCell ref="BU34:BX36"/>
    <mergeCell ref="BY34:BY36"/>
    <mergeCell ref="BZ34:BZ36"/>
    <mergeCell ref="CC34:CF36"/>
    <mergeCell ref="CG34:CG36"/>
    <mergeCell ref="CH34:CH36"/>
    <mergeCell ref="CI34:CI36"/>
    <mergeCell ref="CL34:CS36"/>
    <mergeCell ref="CV34:CV36"/>
    <mergeCell ref="CW34:CW36"/>
    <mergeCell ref="CX34:CX36"/>
    <mergeCell ref="CY34:DB36"/>
    <mergeCell ref="DD34:DD36"/>
    <mergeCell ref="DE34:DE36"/>
    <mergeCell ref="DF34:DF36"/>
    <mergeCell ref="DG34:DJ36"/>
    <mergeCell ref="BU31:BX33"/>
    <mergeCell ref="BY31:BY33"/>
    <mergeCell ref="BZ31:BZ33"/>
    <mergeCell ref="CA31:CA36"/>
    <mergeCell ref="CV31:CV33"/>
    <mergeCell ref="CW31:CW33"/>
    <mergeCell ref="CX31:CX33"/>
    <mergeCell ref="CY31:DB33"/>
    <mergeCell ref="DD31:DD33"/>
    <mergeCell ref="CJ28:CL28"/>
    <mergeCell ref="CM28:CO28"/>
    <mergeCell ref="CP28:CR28"/>
    <mergeCell ref="CJ29:CL29"/>
    <mergeCell ref="CM29:CO29"/>
    <mergeCell ref="CP29:CR29"/>
    <mergeCell ref="CJ30:CL30"/>
    <mergeCell ref="CM30:CO30"/>
    <mergeCell ref="CP30:CR30"/>
    <mergeCell ref="CZ21:DC21"/>
    <mergeCell ref="BO22:BS23"/>
    <mergeCell ref="BT22:BT23"/>
    <mergeCell ref="BU22:BW23"/>
    <mergeCell ref="CJ22:CL22"/>
    <mergeCell ref="CM22:CO22"/>
    <mergeCell ref="CP22:CU22"/>
    <mergeCell ref="CZ22:DC22"/>
    <mergeCell ref="CJ24:CL27"/>
    <mergeCell ref="CM24:CO27"/>
    <mergeCell ref="CP24:CR27"/>
    <mergeCell ref="CJ16:CL19"/>
    <mergeCell ref="CM16:CO19"/>
    <mergeCell ref="CP16:CR19"/>
    <mergeCell ref="CS16:CU19"/>
    <mergeCell ref="BO18:BS19"/>
    <mergeCell ref="BT18:BT19"/>
    <mergeCell ref="BU18:BW19"/>
    <mergeCell ref="BM20:BN23"/>
    <mergeCell ref="BO20:BS21"/>
    <mergeCell ref="BT20:BW21"/>
    <mergeCell ref="CJ20:CL20"/>
    <mergeCell ref="CM20:CO20"/>
    <mergeCell ref="CP20:CR20"/>
    <mergeCell ref="CS20:CU20"/>
    <mergeCell ref="CJ21:CL21"/>
    <mergeCell ref="CM21:CO21"/>
    <mergeCell ref="CP21:CR21"/>
    <mergeCell ref="CS21:CU21"/>
    <mergeCell ref="BM12:BN15"/>
    <mergeCell ref="BO12:BS13"/>
    <mergeCell ref="BT12:BW13"/>
    <mergeCell ref="BO14:BS15"/>
    <mergeCell ref="BT14:BT15"/>
    <mergeCell ref="BU14:BW15"/>
    <mergeCell ref="BM16:BN19"/>
    <mergeCell ref="BO16:BS17"/>
    <mergeCell ref="BT16:BW17"/>
    <mergeCell ref="BL1:DS2"/>
    <mergeCell ref="BL3:DS4"/>
    <mergeCell ref="BM6:BW7"/>
    <mergeCell ref="BM8:BN11"/>
    <mergeCell ref="BO8:BS9"/>
    <mergeCell ref="BT8:BW9"/>
    <mergeCell ref="BO10:BS11"/>
    <mergeCell ref="BT10:BT11"/>
    <mergeCell ref="BU10:BW11"/>
    <mergeCell ref="AW10:BH13"/>
    <mergeCell ref="H28:Q30"/>
    <mergeCell ref="B1:BI2"/>
    <mergeCell ref="B3:BI4"/>
    <mergeCell ref="C6:J7"/>
    <mergeCell ref="K6:AJ7"/>
    <mergeCell ref="AK6:BH7"/>
    <mergeCell ref="AK8:AP9"/>
    <mergeCell ref="AQ8:AV9"/>
    <mergeCell ref="AW8:BB9"/>
    <mergeCell ref="BC8:BH9"/>
    <mergeCell ref="N74:AU74"/>
    <mergeCell ref="H31:L33"/>
    <mergeCell ref="M31:Q33"/>
    <mergeCell ref="C8:J9"/>
    <mergeCell ref="K8:AJ9"/>
    <mergeCell ref="C10:J11"/>
    <mergeCell ref="K10:AJ11"/>
    <mergeCell ref="C12:J13"/>
    <mergeCell ref="K12:AJ13"/>
    <mergeCell ref="AK10:AV13"/>
  </mergeCells>
  <conditionalFormatting sqref="H28">
    <cfRule type="cellIs" dxfId="202" priority="31" operator="between">
      <formula>0.75*CLV_Limit</formula>
      <formula>0.875*CLV_Limit-1</formula>
    </cfRule>
    <cfRule type="cellIs" dxfId="201" priority="32" operator="between">
      <formula>0.875*CLV_Limit</formula>
      <formula>CLV_Limit-1</formula>
    </cfRule>
    <cfRule type="cellIs" dxfId="200" priority="34" operator="greaterThan">
      <formula>CLV_Limit</formula>
    </cfRule>
  </conditionalFormatting>
  <conditionalFormatting sqref="H31:Q33">
    <cfRule type="cellIs" dxfId="199" priority="33" operator="equal">
      <formula>"FURTHER ANALYSIS"</formula>
    </cfRule>
  </conditionalFormatting>
  <conditionalFormatting sqref="AW10 H31">
    <cfRule type="cellIs" dxfId="198" priority="16" operator="between">
      <formula>0.75</formula>
      <formula>0.875</formula>
    </cfRule>
    <cfRule type="cellIs" dxfId="197" priority="17" operator="between">
      <formula>0.875</formula>
      <formula>1</formula>
    </cfRule>
    <cfRule type="cellIs" dxfId="196" priority="18" operator="greaterThan">
      <formula>1</formula>
    </cfRule>
  </conditionalFormatting>
  <conditionalFormatting sqref="CL37">
    <cfRule type="cellIs" dxfId="195" priority="1" operator="between">
      <formula>0.75*CLV_Limit</formula>
      <formula>0.875*CLV_Limit-1</formula>
    </cfRule>
    <cfRule type="cellIs" dxfId="194" priority="2" operator="between">
      <formula>0.875*CLV_Limit</formula>
      <formula>CLV_Limit-1</formula>
    </cfRule>
    <cfRule type="cellIs" dxfId="193" priority="3" operator="greaterThan">
      <formula>CLV_Limit</formula>
    </cfRule>
  </conditionalFormatting>
  <pageMargins left="0.26041666666666669" right="0.25" top="0.5" bottom="0.5" header="0.3" footer="0.3"/>
  <pageSetup orientation="portrait" r:id="rId1"/>
  <headerFooter>
    <oddFooter>&amp;CCapacity Analysis for Planning of Junctions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8" tint="-0.249977111117893"/>
  </sheetPr>
  <dimension ref="A1:HK157"/>
  <sheetViews>
    <sheetView showGridLines="0" showRowColHeaders="0" zoomScale="85" zoomScaleNormal="85" zoomScalePageLayoutView="85" workbookViewId="0">
      <selection activeCell="CX16" sqref="CX16:CZ16"/>
    </sheetView>
  </sheetViews>
  <sheetFormatPr defaultColWidth="0" defaultRowHeight="0" customHeight="1" zeroHeight="1"/>
  <cols>
    <col min="1" max="1" width="0.5703125" customWidth="1"/>
    <col min="2" max="61" width="1.7109375" customWidth="1"/>
    <col min="62" max="63" width="0.5703125" customWidth="1"/>
    <col min="64" max="123" width="1.7109375" customWidth="1"/>
    <col min="124" max="124" width="0.5703125" customWidth="1"/>
    <col min="125" max="219" width="1.7109375" hidden="1" customWidth="1"/>
    <col min="220" max="16384" width="9.140625" hidden="1"/>
  </cols>
  <sheetData>
    <row r="1" spans="2:123" ht="9.9499999999999993" customHeight="1">
      <c r="B1" s="571" t="s">
        <v>111</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737" t="s">
        <v>111</v>
      </c>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9"/>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740"/>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c r="CT2" s="741"/>
      <c r="CU2" s="741"/>
      <c r="CV2" s="741"/>
      <c r="CW2" s="741"/>
      <c r="CX2" s="741"/>
      <c r="CY2" s="741"/>
      <c r="CZ2" s="741"/>
      <c r="DA2" s="741"/>
      <c r="DB2" s="741"/>
      <c r="DC2" s="741"/>
      <c r="DD2" s="741"/>
      <c r="DE2" s="741"/>
      <c r="DF2" s="741"/>
      <c r="DG2" s="741"/>
      <c r="DH2" s="741"/>
      <c r="DI2" s="741"/>
      <c r="DJ2" s="741"/>
      <c r="DK2" s="741"/>
      <c r="DL2" s="741"/>
      <c r="DM2" s="741"/>
      <c r="DN2" s="741"/>
      <c r="DO2" s="741"/>
      <c r="DP2" s="741"/>
      <c r="DQ2" s="741"/>
      <c r="DR2" s="741"/>
      <c r="DS2" s="742"/>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4"/>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4"/>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4"/>
      <c r="BQ5" s="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4"/>
      <c r="BQ6" s="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706">
        <f xml:space="preserve"> MAX(ROUND(CZ23/CLV_Limit,2),ROUND(BX23/CLV_Limit,2),ROUND(CZ51/CLV_Limit,2))</f>
        <v>1.32</v>
      </c>
      <c r="AX10" s="706"/>
      <c r="AY10" s="706"/>
      <c r="AZ10" s="706"/>
      <c r="BA10" s="706"/>
      <c r="BB10" s="706"/>
      <c r="BC10" s="706"/>
      <c r="BD10" s="706"/>
      <c r="BE10" s="706"/>
      <c r="BF10" s="706"/>
      <c r="BG10" s="706"/>
      <c r="BH10" s="707"/>
      <c r="BI10" s="177"/>
      <c r="BJ10" s="174"/>
      <c r="BK10" s="174"/>
      <c r="BL10" s="1"/>
      <c r="BM10" s="174"/>
      <c r="BN10" s="174"/>
      <c r="BO10" s="174"/>
      <c r="BP10" s="4"/>
      <c r="BQ10" s="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763"/>
      <c r="CY10" s="764"/>
      <c r="CZ10" s="765"/>
      <c r="DA10" s="769"/>
      <c r="DB10" s="764"/>
      <c r="DC10" s="765"/>
      <c r="DD10" s="769"/>
      <c r="DE10" s="764"/>
      <c r="DF10" s="765"/>
      <c r="DG10" s="769"/>
      <c r="DH10" s="764"/>
      <c r="DI10" s="771"/>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708"/>
      <c r="AX11" s="708"/>
      <c r="AY11" s="708"/>
      <c r="AZ11" s="708"/>
      <c r="BA11" s="708"/>
      <c r="BB11" s="708"/>
      <c r="BC11" s="708"/>
      <c r="BD11" s="708"/>
      <c r="BE11" s="708"/>
      <c r="BF11" s="708"/>
      <c r="BG11" s="708"/>
      <c r="BH11" s="709"/>
      <c r="BI11" s="177"/>
      <c r="BJ11" s="174"/>
      <c r="BK11" s="174"/>
      <c r="BL11" s="1"/>
      <c r="BM11" s="174"/>
      <c r="BN11" s="174"/>
      <c r="BO11" s="174"/>
      <c r="BP11" s="4"/>
      <c r="BQ11" s="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766"/>
      <c r="CY11" s="767"/>
      <c r="CZ11" s="768"/>
      <c r="DA11" s="770"/>
      <c r="DB11" s="767"/>
      <c r="DC11" s="768"/>
      <c r="DD11" s="770"/>
      <c r="DE11" s="767"/>
      <c r="DF11" s="768"/>
      <c r="DG11" s="770"/>
      <c r="DH11" s="767"/>
      <c r="DI11" s="772"/>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708"/>
      <c r="AX12" s="708"/>
      <c r="AY12" s="708"/>
      <c r="AZ12" s="708"/>
      <c r="BA12" s="708"/>
      <c r="BB12" s="708"/>
      <c r="BC12" s="708"/>
      <c r="BD12" s="708"/>
      <c r="BE12" s="708"/>
      <c r="BF12" s="708"/>
      <c r="BG12" s="708"/>
      <c r="BH12" s="709"/>
      <c r="BI12" s="177"/>
      <c r="BJ12" s="174"/>
      <c r="BK12" s="174"/>
      <c r="BL12" s="1"/>
      <c r="BM12" s="174"/>
      <c r="BN12" s="174"/>
      <c r="BO12" s="174"/>
      <c r="BP12" s="16"/>
      <c r="BQ12" s="16"/>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766"/>
      <c r="CY12" s="767"/>
      <c r="CZ12" s="768"/>
      <c r="DA12" s="770"/>
      <c r="DB12" s="767"/>
      <c r="DC12" s="768"/>
      <c r="DD12" s="770"/>
      <c r="DE12" s="767"/>
      <c r="DF12" s="768"/>
      <c r="DG12" s="770"/>
      <c r="DH12" s="767"/>
      <c r="DI12" s="772"/>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710"/>
      <c r="AX13" s="710"/>
      <c r="AY13" s="710"/>
      <c r="AZ13" s="710"/>
      <c r="BA13" s="710"/>
      <c r="BB13" s="710"/>
      <c r="BC13" s="710"/>
      <c r="BD13" s="710"/>
      <c r="BE13" s="710"/>
      <c r="BF13" s="710"/>
      <c r="BG13" s="710"/>
      <c r="BH13" s="711"/>
      <c r="BI13" s="177"/>
      <c r="BJ13" s="174"/>
      <c r="BK13" s="174"/>
      <c r="BL13" s="1"/>
      <c r="BM13" s="174"/>
      <c r="BN13" s="174"/>
      <c r="BO13" s="174"/>
      <c r="BP13" s="22"/>
      <c r="BQ13" s="22"/>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766"/>
      <c r="CY13" s="767"/>
      <c r="CZ13" s="768"/>
      <c r="DA13" s="770"/>
      <c r="DB13" s="767"/>
      <c r="DC13" s="768"/>
      <c r="DD13" s="770"/>
      <c r="DE13" s="767"/>
      <c r="DF13" s="768"/>
      <c r="DG13" s="770"/>
      <c r="DH13" s="767"/>
      <c r="DI13" s="772"/>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
      <c r="BM14" s="174"/>
      <c r="BN14" s="174"/>
      <c r="BO14" s="174"/>
      <c r="BP14" s="4"/>
      <c r="BQ14" s="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886" t="s">
        <v>99</v>
      </c>
      <c r="CY14" s="887"/>
      <c r="CZ14" s="888"/>
      <c r="DA14" s="889" t="s">
        <v>99</v>
      </c>
      <c r="DB14" s="887"/>
      <c r="DC14" s="888"/>
      <c r="DD14" s="889" t="s">
        <v>99</v>
      </c>
      <c r="DE14" s="887"/>
      <c r="DF14" s="888"/>
      <c r="DG14" s="889" t="s">
        <v>99</v>
      </c>
      <c r="DH14" s="887"/>
      <c r="DI14" s="890"/>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
      <c r="BM15" s="174"/>
      <c r="BN15" s="174"/>
      <c r="BO15" s="174"/>
      <c r="BP15" s="16"/>
      <c r="BQ15" s="16"/>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891">
        <f>SBR_Master</f>
        <v>0</v>
      </c>
      <c r="CY15" s="892"/>
      <c r="CZ15" s="893"/>
      <c r="DA15" s="894">
        <f>SBT_Master</f>
        <v>1447</v>
      </c>
      <c r="DB15" s="892"/>
      <c r="DC15" s="893"/>
      <c r="DD15" s="894">
        <f>SBL_Master</f>
        <v>607</v>
      </c>
      <c r="DE15" s="892"/>
      <c r="DF15" s="893"/>
      <c r="DG15" s="894">
        <f>SBU_Master</f>
        <v>0</v>
      </c>
      <c r="DH15" s="892"/>
      <c r="DI15" s="895"/>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4"/>
      <c r="AK16" s="14"/>
      <c r="AL16" s="14"/>
      <c r="AM16" s="174"/>
      <c r="AN16" s="174"/>
      <c r="AO16" s="174"/>
      <c r="AP16" s="174"/>
      <c r="AQ16" s="174"/>
      <c r="AR16" s="174"/>
      <c r="AS16" s="174"/>
      <c r="AT16" s="174"/>
      <c r="AU16" s="174"/>
      <c r="AV16" s="174"/>
      <c r="AW16" s="14"/>
      <c r="AX16" s="14"/>
      <c r="AY16" s="14"/>
      <c r="AZ16" s="14"/>
      <c r="BA16" s="14"/>
      <c r="BB16" s="14"/>
      <c r="BC16" s="14"/>
      <c r="BD16" s="14"/>
      <c r="BE16" s="14"/>
      <c r="BF16" s="14"/>
      <c r="BG16" s="14"/>
      <c r="BH16" s="174"/>
      <c r="BI16" s="177"/>
      <c r="BJ16" s="174"/>
      <c r="BK16" s="174"/>
      <c r="BL16" s="1"/>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928">
        <v>1</v>
      </c>
      <c r="CY16" s="929"/>
      <c r="CZ16" s="929"/>
      <c r="DA16" s="929">
        <v>2</v>
      </c>
      <c r="DB16" s="929"/>
      <c r="DC16" s="929"/>
      <c r="DD16" s="1010"/>
      <c r="DE16" s="1010"/>
      <c r="DF16" s="1010"/>
      <c r="DG16" s="1010"/>
      <c r="DH16" s="1010"/>
      <c r="DI16" s="1011"/>
      <c r="DJ16" s="174"/>
      <c r="DK16" s="174"/>
      <c r="DL16" s="174"/>
      <c r="DM16" s="174"/>
      <c r="DN16" s="174"/>
      <c r="DO16" s="174"/>
      <c r="DP16" s="174"/>
      <c r="DQ16" s="174"/>
      <c r="DR16" s="174"/>
      <c r="DS16" s="177"/>
    </row>
    <row r="17" spans="2:123" ht="9.9499999999999993" customHeight="1" thickBo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4"/>
      <c r="AK17" s="14"/>
      <c r="AL17" s="14"/>
      <c r="AM17" s="174"/>
      <c r="AN17" s="174"/>
      <c r="AO17" s="174"/>
      <c r="AP17" s="174"/>
      <c r="AQ17" s="174"/>
      <c r="AR17" s="174"/>
      <c r="AS17" s="174"/>
      <c r="AT17" s="174"/>
      <c r="AU17" s="174"/>
      <c r="AV17" s="174"/>
      <c r="AW17" s="14"/>
      <c r="AX17" s="14"/>
      <c r="AY17" s="14"/>
      <c r="AZ17" s="14"/>
      <c r="BA17" s="14"/>
      <c r="BB17" s="14"/>
      <c r="BC17" s="14"/>
      <c r="BD17" s="14"/>
      <c r="BE17" s="14"/>
      <c r="BF17" s="14"/>
      <c r="BG17" s="14"/>
      <c r="BH17" s="174"/>
      <c r="BI17" s="177"/>
      <c r="BJ17" s="174"/>
      <c r="BK17" s="174"/>
      <c r="BL17" s="1"/>
      <c r="BM17" s="174"/>
      <c r="BN17" s="174"/>
      <c r="BO17" s="788"/>
      <c r="BP17" s="789"/>
      <c r="BQ17" s="789"/>
      <c r="BR17" s="789"/>
      <c r="BS17" s="901" t="s">
        <v>99</v>
      </c>
      <c r="BT17" s="904">
        <f>EBU_Master</f>
        <v>0</v>
      </c>
      <c r="BU17" s="1016"/>
      <c r="BV17" s="56"/>
      <c r="BW17" s="175"/>
      <c r="BX17" s="175"/>
      <c r="BY17" s="175"/>
      <c r="BZ17" s="175"/>
      <c r="CA17" s="175"/>
      <c r="CB17" s="175"/>
      <c r="CC17" s="175"/>
      <c r="CD17" s="57"/>
      <c r="CE17" s="175"/>
      <c r="CF17" s="175"/>
      <c r="CG17" s="176"/>
      <c r="CH17" s="803">
        <v>2</v>
      </c>
      <c r="CI17" s="913">
        <f>CX15+DK20</f>
        <v>0</v>
      </c>
      <c r="CJ17" s="914" t="s">
        <v>99</v>
      </c>
      <c r="CK17" s="789"/>
      <c r="CL17" s="789"/>
      <c r="CM17" s="789"/>
      <c r="CN17" s="812"/>
      <c r="CO17" s="174"/>
      <c r="CP17" s="174"/>
      <c r="CQ17" s="174"/>
      <c r="CR17" s="174"/>
      <c r="CS17" s="174"/>
      <c r="CT17" s="174"/>
      <c r="CU17" s="174"/>
      <c r="CV17" s="174"/>
      <c r="CW17" s="174"/>
      <c r="CX17" s="56"/>
      <c r="CY17" s="175"/>
      <c r="CZ17" s="175"/>
      <c r="DA17" s="175"/>
      <c r="DB17" s="175"/>
      <c r="DC17" s="175"/>
      <c r="DD17" s="175"/>
      <c r="DE17" s="175"/>
      <c r="DF17" s="175"/>
      <c r="DG17" s="175"/>
      <c r="DH17" s="175"/>
      <c r="DI17" s="176"/>
      <c r="DJ17" s="910">
        <v>1</v>
      </c>
      <c r="DK17" s="940">
        <f>WBR_Master</f>
        <v>625</v>
      </c>
      <c r="DL17" s="943" t="s">
        <v>99</v>
      </c>
      <c r="DM17" s="789"/>
      <c r="DN17" s="789"/>
      <c r="DO17" s="789"/>
      <c r="DP17" s="812"/>
      <c r="DQ17" s="174"/>
      <c r="DR17" s="174"/>
      <c r="DS17" s="177"/>
    </row>
    <row r="18" spans="2:123" ht="9.9499999999999993" customHeight="1">
      <c r="B18" s="1"/>
      <c r="C18" s="174"/>
      <c r="D18" s="174"/>
      <c r="E18" s="728">
        <f>BX23</f>
        <v>2015.9473684210527</v>
      </c>
      <c r="F18" s="861"/>
      <c r="G18" s="861"/>
      <c r="H18" s="861"/>
      <c r="I18" s="861"/>
      <c r="J18" s="861"/>
      <c r="K18" s="861"/>
      <c r="L18" s="861"/>
      <c r="M18" s="861"/>
      <c r="N18" s="862"/>
      <c r="O18" s="174"/>
      <c r="P18" s="174"/>
      <c r="Q18" s="174"/>
      <c r="R18" s="174"/>
      <c r="S18" s="174"/>
      <c r="T18" s="174"/>
      <c r="U18" s="174"/>
      <c r="V18" s="174"/>
      <c r="W18" s="174"/>
      <c r="X18" s="174"/>
      <c r="Y18" s="174"/>
      <c r="Z18" s="174"/>
      <c r="AA18" s="174"/>
      <c r="AB18" s="174"/>
      <c r="AC18" s="174"/>
      <c r="AD18" s="174"/>
      <c r="AE18" s="174"/>
      <c r="AF18" s="174"/>
      <c r="AG18" s="174"/>
      <c r="AH18" s="174"/>
      <c r="AI18" s="174"/>
      <c r="AJ18" s="14"/>
      <c r="AK18" s="14"/>
      <c r="AL18" s="14"/>
      <c r="AM18" s="728">
        <f>CZ23</f>
        <v>1982.3529411764707</v>
      </c>
      <c r="AN18" s="861"/>
      <c r="AO18" s="861"/>
      <c r="AP18" s="861"/>
      <c r="AQ18" s="861"/>
      <c r="AR18" s="861"/>
      <c r="AS18" s="861"/>
      <c r="AT18" s="861"/>
      <c r="AU18" s="861"/>
      <c r="AV18" s="862"/>
      <c r="AW18" s="14"/>
      <c r="AX18" s="14"/>
      <c r="AY18" s="14"/>
      <c r="AZ18" s="14"/>
      <c r="BA18" s="14"/>
      <c r="BB18" s="14"/>
      <c r="BC18" s="14"/>
      <c r="BD18" s="14"/>
      <c r="BE18" s="14"/>
      <c r="BF18" s="14"/>
      <c r="BG18" s="14"/>
      <c r="BH18" s="174"/>
      <c r="BI18" s="177"/>
      <c r="BJ18" s="174"/>
      <c r="BK18" s="174"/>
      <c r="BL18" s="1"/>
      <c r="BM18" s="174"/>
      <c r="BN18" s="174"/>
      <c r="BO18" s="790"/>
      <c r="BP18" s="791"/>
      <c r="BQ18" s="791"/>
      <c r="BR18" s="791"/>
      <c r="BS18" s="902"/>
      <c r="BT18" s="905"/>
      <c r="BU18" s="1013"/>
      <c r="BV18" s="58"/>
      <c r="BW18" s="109"/>
      <c r="BX18" s="109"/>
      <c r="BY18" s="109"/>
      <c r="BZ18" s="109"/>
      <c r="CA18" s="109"/>
      <c r="CB18" s="109"/>
      <c r="CC18" s="109"/>
      <c r="CD18" s="59"/>
      <c r="CE18" s="109"/>
      <c r="CF18" s="109"/>
      <c r="CG18" s="60"/>
      <c r="CH18" s="804"/>
      <c r="CI18" s="1005"/>
      <c r="CJ18" s="1007"/>
      <c r="CK18" s="791"/>
      <c r="CL18" s="791"/>
      <c r="CM18" s="791"/>
      <c r="CN18" s="813"/>
      <c r="CO18" s="174"/>
      <c r="CP18" s="174"/>
      <c r="CQ18" s="174"/>
      <c r="CR18" s="174"/>
      <c r="CS18" s="174"/>
      <c r="CT18" s="174"/>
      <c r="CU18" s="174"/>
      <c r="CV18" s="174"/>
      <c r="CW18" s="174"/>
      <c r="CX18" s="58"/>
      <c r="CY18" s="109"/>
      <c r="CZ18" s="109"/>
      <c r="DA18" s="109"/>
      <c r="DB18" s="109"/>
      <c r="DC18" s="109"/>
      <c r="DD18" s="109"/>
      <c r="DE18" s="109"/>
      <c r="DF18" s="109"/>
      <c r="DG18" s="109"/>
      <c r="DH18" s="109"/>
      <c r="DI18" s="60"/>
      <c r="DJ18" s="911"/>
      <c r="DK18" s="941"/>
      <c r="DL18" s="944"/>
      <c r="DM18" s="791"/>
      <c r="DN18" s="791"/>
      <c r="DO18" s="791"/>
      <c r="DP18" s="813"/>
      <c r="DQ18" s="174"/>
      <c r="DR18" s="174"/>
      <c r="DS18" s="177"/>
    </row>
    <row r="19" spans="2:123" ht="9.9499999999999993" customHeight="1" thickBot="1">
      <c r="B19" s="1"/>
      <c r="C19" s="174"/>
      <c r="D19" s="174"/>
      <c r="E19" s="863"/>
      <c r="F19" s="864"/>
      <c r="G19" s="864"/>
      <c r="H19" s="864"/>
      <c r="I19" s="864"/>
      <c r="J19" s="864"/>
      <c r="K19" s="864"/>
      <c r="L19" s="864"/>
      <c r="M19" s="864"/>
      <c r="N19" s="865"/>
      <c r="O19" s="174"/>
      <c r="P19" s="174"/>
      <c r="Q19" s="174"/>
      <c r="R19" s="174"/>
      <c r="S19" s="174"/>
      <c r="T19" s="174"/>
      <c r="U19" s="174"/>
      <c r="V19" s="174"/>
      <c r="W19" s="174"/>
      <c r="X19" s="174"/>
      <c r="Y19" s="174"/>
      <c r="Z19" s="174"/>
      <c r="AA19" s="174"/>
      <c r="AB19" s="174"/>
      <c r="AC19" s="174"/>
      <c r="AD19" s="174"/>
      <c r="AE19" s="174"/>
      <c r="AF19" s="174"/>
      <c r="AG19" s="174"/>
      <c r="AH19" s="174"/>
      <c r="AI19" s="174"/>
      <c r="AJ19" s="14"/>
      <c r="AK19" s="14"/>
      <c r="AL19" s="14"/>
      <c r="AM19" s="863"/>
      <c r="AN19" s="864"/>
      <c r="AO19" s="864"/>
      <c r="AP19" s="864"/>
      <c r="AQ19" s="864"/>
      <c r="AR19" s="864"/>
      <c r="AS19" s="864"/>
      <c r="AT19" s="864"/>
      <c r="AU19" s="864"/>
      <c r="AV19" s="865"/>
      <c r="AW19" s="174"/>
      <c r="AX19" s="174"/>
      <c r="AY19" s="174"/>
      <c r="AZ19" s="174"/>
      <c r="BA19" s="174"/>
      <c r="BB19" s="174"/>
      <c r="BC19" s="174"/>
      <c r="BD19" s="174"/>
      <c r="BE19" s="174"/>
      <c r="BF19" s="174"/>
      <c r="BG19" s="14"/>
      <c r="BH19" s="174"/>
      <c r="BI19" s="177"/>
      <c r="BJ19" s="174"/>
      <c r="BK19" s="174"/>
      <c r="BL19" s="1"/>
      <c r="BM19" s="174"/>
      <c r="BN19" s="174"/>
      <c r="BO19" s="792"/>
      <c r="BP19" s="793"/>
      <c r="BQ19" s="793"/>
      <c r="BR19" s="793"/>
      <c r="BS19" s="903"/>
      <c r="BT19" s="906"/>
      <c r="BU19" s="1014"/>
      <c r="BV19" s="58"/>
      <c r="BW19" s="109"/>
      <c r="BX19" s="109"/>
      <c r="BY19" s="109"/>
      <c r="BZ19" s="109"/>
      <c r="CA19" s="109"/>
      <c r="CB19" s="109"/>
      <c r="CC19" s="109"/>
      <c r="CD19" s="59"/>
      <c r="CE19" s="109"/>
      <c r="CF19" s="109"/>
      <c r="CG19" s="60"/>
      <c r="CH19" s="805"/>
      <c r="CI19" s="1017"/>
      <c r="CJ19" s="1015"/>
      <c r="CK19" s="793"/>
      <c r="CL19" s="793"/>
      <c r="CM19" s="793"/>
      <c r="CN19" s="814"/>
      <c r="CO19" s="174"/>
      <c r="CP19" s="174"/>
      <c r="CQ19" s="174"/>
      <c r="CR19" s="174"/>
      <c r="CS19" s="174"/>
      <c r="CT19" s="174"/>
      <c r="CU19" s="174"/>
      <c r="CV19" s="174"/>
      <c r="CW19" s="174"/>
      <c r="CX19" s="58"/>
      <c r="CY19" s="109"/>
      <c r="CZ19" s="109"/>
      <c r="DA19" s="109"/>
      <c r="DB19" s="109"/>
      <c r="DC19" s="109"/>
      <c r="DD19" s="109"/>
      <c r="DE19" s="109"/>
      <c r="DF19" s="109"/>
      <c r="DG19" s="109"/>
      <c r="DH19" s="109"/>
      <c r="DI19" s="60"/>
      <c r="DJ19" s="912"/>
      <c r="DK19" s="942"/>
      <c r="DL19" s="945"/>
      <c r="DM19" s="793"/>
      <c r="DN19" s="793"/>
      <c r="DO19" s="793"/>
      <c r="DP19" s="814"/>
      <c r="DQ19" s="174"/>
      <c r="DR19" s="174"/>
      <c r="DS19" s="177"/>
    </row>
    <row r="20" spans="2:123" ht="9.9499999999999993" customHeight="1" thickBot="1">
      <c r="B20" s="1"/>
      <c r="C20" s="174"/>
      <c r="D20" s="174"/>
      <c r="E20" s="866"/>
      <c r="F20" s="867"/>
      <c r="G20" s="867"/>
      <c r="H20" s="867"/>
      <c r="I20" s="867"/>
      <c r="J20" s="867"/>
      <c r="K20" s="867"/>
      <c r="L20" s="867"/>
      <c r="M20" s="867"/>
      <c r="N20" s="868"/>
      <c r="O20" s="174"/>
      <c r="P20" s="174"/>
      <c r="Q20" s="174"/>
      <c r="R20" s="174"/>
      <c r="S20" s="174"/>
      <c r="T20" s="174"/>
      <c r="U20" s="174"/>
      <c r="V20" s="174"/>
      <c r="W20" s="174"/>
      <c r="X20" s="174"/>
      <c r="Y20" s="174"/>
      <c r="Z20" s="174"/>
      <c r="AA20" s="174"/>
      <c r="AB20" s="174"/>
      <c r="AC20" s="174"/>
      <c r="AD20" s="174"/>
      <c r="AE20" s="174"/>
      <c r="AF20" s="174"/>
      <c r="AG20" s="174"/>
      <c r="AH20" s="174"/>
      <c r="AI20" s="174"/>
      <c r="AJ20" s="14"/>
      <c r="AK20" s="14"/>
      <c r="AL20" s="14"/>
      <c r="AM20" s="866"/>
      <c r="AN20" s="867"/>
      <c r="AO20" s="867"/>
      <c r="AP20" s="867"/>
      <c r="AQ20" s="867"/>
      <c r="AR20" s="867"/>
      <c r="AS20" s="867"/>
      <c r="AT20" s="867"/>
      <c r="AU20" s="867"/>
      <c r="AV20" s="868"/>
      <c r="AW20" s="174"/>
      <c r="AX20" s="174"/>
      <c r="AY20" s="174"/>
      <c r="AZ20" s="174"/>
      <c r="BA20" s="174"/>
      <c r="BB20" s="174"/>
      <c r="BC20" s="174"/>
      <c r="BD20" s="174"/>
      <c r="BE20" s="174"/>
      <c r="BF20" s="174"/>
      <c r="BG20" s="14"/>
      <c r="BH20" s="174"/>
      <c r="BI20" s="177"/>
      <c r="BJ20" s="174"/>
      <c r="BK20" s="174"/>
      <c r="BL20" s="1"/>
      <c r="BM20" s="174"/>
      <c r="BN20" s="174"/>
      <c r="BO20" s="815"/>
      <c r="BP20" s="816"/>
      <c r="BQ20" s="816"/>
      <c r="BR20" s="816"/>
      <c r="BS20" s="946" t="s">
        <v>99</v>
      </c>
      <c r="BT20" s="947">
        <f>EBL_Master</f>
        <v>899</v>
      </c>
      <c r="BU20" s="1012"/>
      <c r="BV20" s="58"/>
      <c r="BW20" s="109"/>
      <c r="BX20" s="763"/>
      <c r="BY20" s="764"/>
      <c r="BZ20" s="764"/>
      <c r="CA20" s="764"/>
      <c r="CB20" s="764"/>
      <c r="CC20" s="764"/>
      <c r="CD20" s="764"/>
      <c r="CE20" s="771"/>
      <c r="CF20" s="109"/>
      <c r="CG20" s="60"/>
      <c r="CH20" s="819">
        <v>1</v>
      </c>
      <c r="CI20" s="952">
        <f>DG15+DK23+DK26</f>
        <v>588</v>
      </c>
      <c r="CJ20" s="953" t="s">
        <v>99</v>
      </c>
      <c r="CK20" s="816"/>
      <c r="CL20" s="816"/>
      <c r="CM20" s="816"/>
      <c r="CN20" s="822"/>
      <c r="CO20" s="174"/>
      <c r="CP20" s="174"/>
      <c r="CQ20" s="174"/>
      <c r="CR20" s="174"/>
      <c r="CS20" s="174"/>
      <c r="CT20" s="174"/>
      <c r="CU20" s="174"/>
      <c r="CV20" s="174"/>
      <c r="CW20" s="174"/>
      <c r="CX20" s="58"/>
      <c r="CY20" s="109"/>
      <c r="CZ20" s="763"/>
      <c r="DA20" s="764"/>
      <c r="DB20" s="764"/>
      <c r="DC20" s="764"/>
      <c r="DD20" s="764"/>
      <c r="DE20" s="764"/>
      <c r="DF20" s="764"/>
      <c r="DG20" s="771"/>
      <c r="DH20" s="109"/>
      <c r="DI20" s="60"/>
      <c r="DJ20" s="951">
        <v>2</v>
      </c>
      <c r="DK20" s="955">
        <f>WBT_Master</f>
        <v>0</v>
      </c>
      <c r="DL20" s="956" t="s">
        <v>99</v>
      </c>
      <c r="DM20" s="816"/>
      <c r="DN20" s="816"/>
      <c r="DO20" s="816"/>
      <c r="DP20" s="822"/>
      <c r="DQ20" s="174"/>
      <c r="DR20" s="174"/>
      <c r="DS20" s="177"/>
    </row>
    <row r="21" spans="2:123" ht="9.9499999999999993" customHeight="1">
      <c r="B21" s="1"/>
      <c r="C21" s="174"/>
      <c r="D21" s="174"/>
      <c r="E21" s="713">
        <f>ROUND(E18/CLV_Limit,2)</f>
        <v>1.26</v>
      </c>
      <c r="F21" s="714"/>
      <c r="G21" s="714"/>
      <c r="H21" s="714"/>
      <c r="I21" s="715"/>
      <c r="J21" s="722" t="s">
        <v>100</v>
      </c>
      <c r="K21" s="722"/>
      <c r="L21" s="722"/>
      <c r="M21" s="722"/>
      <c r="N21" s="723"/>
      <c r="O21" s="174"/>
      <c r="P21" s="174"/>
      <c r="Q21" s="174"/>
      <c r="R21" s="174"/>
      <c r="S21" s="174"/>
      <c r="T21" s="174"/>
      <c r="U21" s="174"/>
      <c r="V21" s="174"/>
      <c r="W21" s="174"/>
      <c r="X21" s="174"/>
      <c r="Y21" s="174"/>
      <c r="Z21" s="174"/>
      <c r="AA21" s="14"/>
      <c r="AB21" s="14"/>
      <c r="AC21" s="14"/>
      <c r="AD21" s="14"/>
      <c r="AE21" s="14"/>
      <c r="AF21" s="14"/>
      <c r="AG21" s="14"/>
      <c r="AH21" s="14"/>
      <c r="AI21" s="14"/>
      <c r="AJ21" s="14"/>
      <c r="AK21" s="14"/>
      <c r="AL21" s="14"/>
      <c r="AM21" s="713">
        <f>ROUND(AM18/CLV_Limit,2)</f>
        <v>1.24</v>
      </c>
      <c r="AN21" s="714"/>
      <c r="AO21" s="714"/>
      <c r="AP21" s="714"/>
      <c r="AQ21" s="715"/>
      <c r="AR21" s="722" t="s">
        <v>100</v>
      </c>
      <c r="AS21" s="722"/>
      <c r="AT21" s="722"/>
      <c r="AU21" s="722"/>
      <c r="AV21" s="723"/>
      <c r="AW21" s="174"/>
      <c r="AX21" s="174"/>
      <c r="AY21" s="174"/>
      <c r="AZ21" s="174"/>
      <c r="BA21" s="174"/>
      <c r="BB21" s="174"/>
      <c r="BC21" s="174"/>
      <c r="BD21" s="174"/>
      <c r="BE21" s="174"/>
      <c r="BF21" s="174"/>
      <c r="BG21" s="14"/>
      <c r="BH21" s="174"/>
      <c r="BI21" s="177"/>
      <c r="BJ21" s="174"/>
      <c r="BK21" s="174"/>
      <c r="BL21" s="1"/>
      <c r="BM21" s="174"/>
      <c r="BN21" s="174"/>
      <c r="BO21" s="790"/>
      <c r="BP21" s="791"/>
      <c r="BQ21" s="791"/>
      <c r="BR21" s="791"/>
      <c r="BS21" s="902"/>
      <c r="BT21" s="905"/>
      <c r="BU21" s="1013"/>
      <c r="BV21" s="58"/>
      <c r="BW21" s="109"/>
      <c r="BX21" s="766"/>
      <c r="BY21" s="767"/>
      <c r="BZ21" s="767"/>
      <c r="CA21" s="767"/>
      <c r="CB21" s="767"/>
      <c r="CC21" s="767"/>
      <c r="CD21" s="767"/>
      <c r="CE21" s="772"/>
      <c r="CF21" s="109"/>
      <c r="CG21" s="60"/>
      <c r="CH21" s="804"/>
      <c r="CI21" s="1005"/>
      <c r="CJ21" s="1007"/>
      <c r="CK21" s="791"/>
      <c r="CL21" s="791"/>
      <c r="CM21" s="791"/>
      <c r="CN21" s="813"/>
      <c r="CO21" s="174"/>
      <c r="CP21" s="174"/>
      <c r="CQ21" s="174"/>
      <c r="CR21" s="174"/>
      <c r="CS21" s="174"/>
      <c r="CT21" s="174"/>
      <c r="CU21" s="174"/>
      <c r="CV21" s="174"/>
      <c r="CW21" s="174"/>
      <c r="CX21" s="58"/>
      <c r="CY21" s="109"/>
      <c r="CZ21" s="766"/>
      <c r="DA21" s="767"/>
      <c r="DB21" s="767"/>
      <c r="DC21" s="767"/>
      <c r="DD21" s="767"/>
      <c r="DE21" s="767"/>
      <c r="DF21" s="767"/>
      <c r="DG21" s="772"/>
      <c r="DH21" s="109"/>
      <c r="DI21" s="60"/>
      <c r="DJ21" s="911"/>
      <c r="DK21" s="941"/>
      <c r="DL21" s="944"/>
      <c r="DM21" s="791"/>
      <c r="DN21" s="791"/>
      <c r="DO21" s="791"/>
      <c r="DP21" s="813"/>
      <c r="DQ21" s="174"/>
      <c r="DR21" s="174"/>
      <c r="DS21" s="177"/>
    </row>
    <row r="22" spans="2:123" ht="9.9499999999999993" customHeight="1" thickBot="1">
      <c r="B22" s="1"/>
      <c r="C22" s="174"/>
      <c r="D22" s="174"/>
      <c r="E22" s="716"/>
      <c r="F22" s="717"/>
      <c r="G22" s="717"/>
      <c r="H22" s="717"/>
      <c r="I22" s="718"/>
      <c r="J22" s="724"/>
      <c r="K22" s="724"/>
      <c r="L22" s="724"/>
      <c r="M22" s="724"/>
      <c r="N22" s="725"/>
      <c r="O22" s="174"/>
      <c r="P22" s="174"/>
      <c r="Q22" s="174"/>
      <c r="R22" s="174"/>
      <c r="S22" s="174"/>
      <c r="T22" s="174"/>
      <c r="U22" s="174"/>
      <c r="V22" s="174"/>
      <c r="W22" s="174"/>
      <c r="X22" s="174"/>
      <c r="Y22" s="174"/>
      <c r="Z22" s="174"/>
      <c r="AA22" s="14"/>
      <c r="AB22" s="14"/>
      <c r="AC22" s="14"/>
      <c r="AD22" s="14"/>
      <c r="AE22" s="14"/>
      <c r="AF22" s="14"/>
      <c r="AG22" s="14"/>
      <c r="AH22" s="14"/>
      <c r="AI22" s="14"/>
      <c r="AJ22" s="14"/>
      <c r="AK22" s="14"/>
      <c r="AL22" s="14"/>
      <c r="AM22" s="716"/>
      <c r="AN22" s="717"/>
      <c r="AO22" s="717"/>
      <c r="AP22" s="717"/>
      <c r="AQ22" s="718"/>
      <c r="AR22" s="724"/>
      <c r="AS22" s="724"/>
      <c r="AT22" s="724"/>
      <c r="AU22" s="724"/>
      <c r="AV22" s="725"/>
      <c r="AW22" s="174"/>
      <c r="AX22" s="174"/>
      <c r="AY22" s="174"/>
      <c r="AZ22" s="174"/>
      <c r="BA22" s="174"/>
      <c r="BB22" s="174"/>
      <c r="BC22" s="174"/>
      <c r="BD22" s="174"/>
      <c r="BE22" s="174"/>
      <c r="BF22" s="174"/>
      <c r="BG22" s="14"/>
      <c r="BH22" s="174"/>
      <c r="BI22" s="177"/>
      <c r="BJ22" s="174"/>
      <c r="BK22" s="174"/>
      <c r="BL22" s="1"/>
      <c r="BM22" s="174"/>
      <c r="BN22" s="174"/>
      <c r="BO22" s="792"/>
      <c r="BP22" s="793"/>
      <c r="BQ22" s="793"/>
      <c r="BR22" s="793"/>
      <c r="BS22" s="903"/>
      <c r="BT22" s="906"/>
      <c r="BU22" s="1014"/>
      <c r="BV22" s="58"/>
      <c r="BW22" s="109"/>
      <c r="BX22" s="766"/>
      <c r="BY22" s="767"/>
      <c r="BZ22" s="767"/>
      <c r="CA22" s="767"/>
      <c r="CB22" s="767"/>
      <c r="CC22" s="767"/>
      <c r="CD22" s="767"/>
      <c r="CE22" s="772"/>
      <c r="CF22" s="109"/>
      <c r="CG22" s="60"/>
      <c r="CH22" s="823"/>
      <c r="CI22" s="1006"/>
      <c r="CJ22" s="1008"/>
      <c r="CK22" s="825"/>
      <c r="CL22" s="825"/>
      <c r="CM22" s="825"/>
      <c r="CN22" s="832"/>
      <c r="CO22" s="174"/>
      <c r="CP22" s="174"/>
      <c r="CQ22" s="174"/>
      <c r="CR22" s="174"/>
      <c r="CS22" s="174"/>
      <c r="CT22" s="174"/>
      <c r="CU22" s="174"/>
      <c r="CV22" s="174"/>
      <c r="CW22" s="174"/>
      <c r="CX22" s="58"/>
      <c r="CY22" s="109"/>
      <c r="CZ22" s="766"/>
      <c r="DA22" s="767"/>
      <c r="DB22" s="767"/>
      <c r="DC22" s="767"/>
      <c r="DD22" s="767"/>
      <c r="DE22" s="767"/>
      <c r="DF22" s="767"/>
      <c r="DG22" s="772"/>
      <c r="DH22" s="109"/>
      <c r="DI22" s="60"/>
      <c r="DJ22" s="912"/>
      <c r="DK22" s="942"/>
      <c r="DL22" s="945"/>
      <c r="DM22" s="793"/>
      <c r="DN22" s="793"/>
      <c r="DO22" s="793"/>
      <c r="DP22" s="814"/>
      <c r="DQ22" s="174"/>
      <c r="DR22" s="174"/>
      <c r="DS22" s="177"/>
    </row>
    <row r="23" spans="2:123" ht="9.9499999999999993" customHeight="1" thickBot="1">
      <c r="B23" s="1"/>
      <c r="C23" s="174"/>
      <c r="D23" s="174"/>
      <c r="E23" s="719"/>
      <c r="F23" s="720"/>
      <c r="G23" s="720"/>
      <c r="H23" s="720"/>
      <c r="I23" s="721"/>
      <c r="J23" s="726"/>
      <c r="K23" s="726"/>
      <c r="L23" s="726"/>
      <c r="M23" s="726"/>
      <c r="N23" s="727"/>
      <c r="O23" s="174"/>
      <c r="P23" s="174"/>
      <c r="Q23" s="174"/>
      <c r="R23" s="174"/>
      <c r="S23" s="174"/>
      <c r="T23" s="174"/>
      <c r="U23" s="174"/>
      <c r="V23" s="174"/>
      <c r="W23" s="174"/>
      <c r="X23" s="174"/>
      <c r="Y23" s="174"/>
      <c r="Z23" s="174"/>
      <c r="AA23" s="14"/>
      <c r="AB23" s="14"/>
      <c r="AC23" s="14"/>
      <c r="AD23" s="14"/>
      <c r="AE23" s="14"/>
      <c r="AF23" s="14"/>
      <c r="AG23" s="14"/>
      <c r="AH23" s="14"/>
      <c r="AI23" s="14"/>
      <c r="AJ23" s="14"/>
      <c r="AK23" s="14"/>
      <c r="AL23" s="14"/>
      <c r="AM23" s="719"/>
      <c r="AN23" s="720"/>
      <c r="AO23" s="720"/>
      <c r="AP23" s="720"/>
      <c r="AQ23" s="721"/>
      <c r="AR23" s="726"/>
      <c r="AS23" s="726"/>
      <c r="AT23" s="726"/>
      <c r="AU23" s="726"/>
      <c r="AV23" s="727"/>
      <c r="AW23" s="174"/>
      <c r="AX23" s="174"/>
      <c r="AY23" s="174"/>
      <c r="AZ23" s="174"/>
      <c r="BA23" s="174"/>
      <c r="BB23" s="174"/>
      <c r="BC23" s="174"/>
      <c r="BD23" s="174"/>
      <c r="BE23" s="174"/>
      <c r="BF23" s="174"/>
      <c r="BG23" s="14"/>
      <c r="BH23" s="174"/>
      <c r="BI23" s="177"/>
      <c r="BJ23" s="174"/>
      <c r="BK23" s="174"/>
      <c r="BL23" s="1"/>
      <c r="BM23" s="174"/>
      <c r="BN23" s="174"/>
      <c r="BO23" s="815"/>
      <c r="BP23" s="816"/>
      <c r="BQ23" s="816"/>
      <c r="BR23" s="816"/>
      <c r="BS23" s="946" t="s">
        <v>99</v>
      </c>
      <c r="BT23" s="947">
        <f>EBT_Master</f>
        <v>0</v>
      </c>
      <c r="BU23" s="937">
        <v>2</v>
      </c>
      <c r="BV23" s="58"/>
      <c r="BW23" s="109"/>
      <c r="BX23" s="833">
        <f>MAX(CB30/LTAF/CB29, ROUND(MAX(0,CE30/RTAF/CE29-CI20/LTAF/CH20),0))+ MAX(CI20/LTAF/CH20 +MAX((BT17+BT23)/BU23, ROUND(MAX(0,(BT20+BT26)/RTAF/BU26-CB30/LTAF/CB29),0)), CI17 /CH17 )</f>
        <v>2015.9473684210527</v>
      </c>
      <c r="BY23" s="834"/>
      <c r="BZ23" s="834"/>
      <c r="CA23" s="834"/>
      <c r="CB23" s="834"/>
      <c r="CC23" s="834"/>
      <c r="CD23" s="834"/>
      <c r="CE23" s="835"/>
      <c r="CF23" s="109"/>
      <c r="CG23" s="60"/>
      <c r="CH23" s="174"/>
      <c r="CI23" s="174"/>
      <c r="CJ23" s="174"/>
      <c r="CK23" s="174"/>
      <c r="CL23" s="174"/>
      <c r="CM23" s="174"/>
      <c r="CN23" s="174"/>
      <c r="CO23" s="174"/>
      <c r="CP23" s="174"/>
      <c r="CQ23" s="788"/>
      <c r="CR23" s="789"/>
      <c r="CS23" s="789"/>
      <c r="CT23" s="789"/>
      <c r="CU23" s="948" t="s">
        <v>99</v>
      </c>
      <c r="CV23" s="949">
        <f>BT23+CE30+BT17</f>
        <v>607</v>
      </c>
      <c r="CW23" s="800">
        <v>2</v>
      </c>
      <c r="CX23" s="58"/>
      <c r="CY23" s="109"/>
      <c r="CZ23" s="833">
        <f>MAX(DD30/DD29, DG30/RTAF/DG29, (DA15+DD15)/DA16, (CX15+DG15)/RTAF/CX16) +MAX(CV23/CW23, CV26/RTAF/CW26, (DK20+DK23+DK26)/DJ20, DK17/RTAF/DJ17)</f>
        <v>1982.3529411764707</v>
      </c>
      <c r="DA23" s="834"/>
      <c r="DB23" s="834"/>
      <c r="DC23" s="834"/>
      <c r="DD23" s="834"/>
      <c r="DE23" s="834"/>
      <c r="DF23" s="834"/>
      <c r="DG23" s="835"/>
      <c r="DH23" s="109"/>
      <c r="DI23" s="60"/>
      <c r="DJ23" s="1002"/>
      <c r="DK23" s="955">
        <f>WBL_Master</f>
        <v>588</v>
      </c>
      <c r="DL23" s="956" t="s">
        <v>99</v>
      </c>
      <c r="DM23" s="816"/>
      <c r="DN23" s="816"/>
      <c r="DO23" s="816"/>
      <c r="DP23" s="822"/>
      <c r="DQ23" s="174"/>
      <c r="DR23" s="174"/>
      <c r="DS23" s="177"/>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4"/>
      <c r="AB24" s="14"/>
      <c r="AC24" s="14"/>
      <c r="AD24" s="14"/>
      <c r="AE24" s="14"/>
      <c r="AF24" s="14"/>
      <c r="AG24" s="14"/>
      <c r="AH24" s="14"/>
      <c r="AI24" s="14"/>
      <c r="AJ24" s="14"/>
      <c r="AK24" s="14"/>
      <c r="AL24" s="14"/>
      <c r="AM24" s="14"/>
      <c r="AN24" s="14"/>
      <c r="AO24" s="14"/>
      <c r="AP24" s="14"/>
      <c r="AQ24" s="14"/>
      <c r="AR24" s="14"/>
      <c r="AS24" s="14"/>
      <c r="AT24" s="14"/>
      <c r="AU24" s="14"/>
      <c r="AV24" s="14"/>
      <c r="AW24" s="174"/>
      <c r="AX24" s="174"/>
      <c r="AY24" s="174"/>
      <c r="AZ24" s="174"/>
      <c r="BA24" s="174"/>
      <c r="BB24" s="174"/>
      <c r="BC24" s="174"/>
      <c r="BD24" s="174"/>
      <c r="BE24" s="174"/>
      <c r="BF24" s="174"/>
      <c r="BG24" s="14"/>
      <c r="BH24" s="174"/>
      <c r="BI24" s="177"/>
      <c r="BJ24" s="174"/>
      <c r="BK24" s="174"/>
      <c r="BL24" s="1"/>
      <c r="BM24" s="174"/>
      <c r="BN24" s="174"/>
      <c r="BO24" s="790"/>
      <c r="BP24" s="791"/>
      <c r="BQ24" s="791"/>
      <c r="BR24" s="791"/>
      <c r="BS24" s="902"/>
      <c r="BT24" s="905"/>
      <c r="BU24" s="938"/>
      <c r="BV24" s="58"/>
      <c r="BW24" s="109"/>
      <c r="BX24" s="833"/>
      <c r="BY24" s="834"/>
      <c r="BZ24" s="834"/>
      <c r="CA24" s="834"/>
      <c r="CB24" s="834"/>
      <c r="CC24" s="834"/>
      <c r="CD24" s="834"/>
      <c r="CE24" s="835"/>
      <c r="CF24" s="109"/>
      <c r="CG24" s="60"/>
      <c r="CH24" s="174"/>
      <c r="CI24" s="174"/>
      <c r="CJ24" s="174"/>
      <c r="CK24" s="174"/>
      <c r="CL24" s="174"/>
      <c r="CM24" s="174"/>
      <c r="CN24" s="174"/>
      <c r="CO24" s="174"/>
      <c r="CP24" s="174"/>
      <c r="CQ24" s="790"/>
      <c r="CR24" s="791"/>
      <c r="CS24" s="791"/>
      <c r="CT24" s="791"/>
      <c r="CU24" s="932"/>
      <c r="CV24" s="935"/>
      <c r="CW24" s="801"/>
      <c r="CX24" s="58"/>
      <c r="CY24" s="109"/>
      <c r="CZ24" s="833"/>
      <c r="DA24" s="834"/>
      <c r="DB24" s="834"/>
      <c r="DC24" s="834"/>
      <c r="DD24" s="834"/>
      <c r="DE24" s="834"/>
      <c r="DF24" s="834"/>
      <c r="DG24" s="835"/>
      <c r="DH24" s="109"/>
      <c r="DI24" s="60"/>
      <c r="DJ24" s="1003"/>
      <c r="DK24" s="941"/>
      <c r="DL24" s="944"/>
      <c r="DM24" s="791"/>
      <c r="DN24" s="791"/>
      <c r="DO24" s="791"/>
      <c r="DP24" s="813"/>
      <c r="DQ24" s="174"/>
      <c r="DR24" s="174"/>
      <c r="DS24" s="177"/>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74"/>
      <c r="AX25" s="174"/>
      <c r="AY25" s="174"/>
      <c r="AZ25" s="174"/>
      <c r="BA25" s="174"/>
      <c r="BB25" s="174"/>
      <c r="BC25" s="174"/>
      <c r="BD25" s="174"/>
      <c r="BE25" s="174"/>
      <c r="BF25" s="174"/>
      <c r="BG25" s="14"/>
      <c r="BH25" s="174"/>
      <c r="BI25" s="177"/>
      <c r="BJ25" s="174"/>
      <c r="BK25" s="174"/>
      <c r="BL25" s="1"/>
      <c r="BM25" s="174"/>
      <c r="BN25" s="174"/>
      <c r="BO25" s="792"/>
      <c r="BP25" s="793"/>
      <c r="BQ25" s="793"/>
      <c r="BR25" s="793"/>
      <c r="BS25" s="903"/>
      <c r="BT25" s="906"/>
      <c r="BU25" s="939"/>
      <c r="BV25" s="58"/>
      <c r="BW25" s="109"/>
      <c r="BX25" s="836"/>
      <c r="BY25" s="837"/>
      <c r="BZ25" s="837"/>
      <c r="CA25" s="837"/>
      <c r="CB25" s="837"/>
      <c r="CC25" s="837"/>
      <c r="CD25" s="837"/>
      <c r="CE25" s="838"/>
      <c r="CF25" s="109"/>
      <c r="CG25" s="60"/>
      <c r="CH25" s="174"/>
      <c r="CI25" s="174"/>
      <c r="CJ25" s="174"/>
      <c r="CK25" s="174"/>
      <c r="CL25" s="174"/>
      <c r="CM25" s="174"/>
      <c r="CN25" s="174"/>
      <c r="CO25" s="174"/>
      <c r="CP25" s="174"/>
      <c r="CQ25" s="792"/>
      <c r="CR25" s="793"/>
      <c r="CS25" s="793"/>
      <c r="CT25" s="793"/>
      <c r="CU25" s="933"/>
      <c r="CV25" s="936"/>
      <c r="CW25" s="802"/>
      <c r="CX25" s="58"/>
      <c r="CY25" s="109"/>
      <c r="CZ25" s="836"/>
      <c r="DA25" s="837"/>
      <c r="DB25" s="837"/>
      <c r="DC25" s="837"/>
      <c r="DD25" s="837"/>
      <c r="DE25" s="837"/>
      <c r="DF25" s="837"/>
      <c r="DG25" s="838"/>
      <c r="DH25" s="109"/>
      <c r="DI25" s="60"/>
      <c r="DJ25" s="1009"/>
      <c r="DK25" s="942"/>
      <c r="DL25" s="945"/>
      <c r="DM25" s="793"/>
      <c r="DN25" s="793"/>
      <c r="DO25" s="793"/>
      <c r="DP25" s="814"/>
      <c r="DQ25" s="174"/>
      <c r="DR25" s="174"/>
      <c r="DS25" s="177"/>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74"/>
      <c r="AX26" s="174"/>
      <c r="AY26" s="174"/>
      <c r="AZ26" s="174"/>
      <c r="BA26" s="174"/>
      <c r="BB26" s="174"/>
      <c r="BC26" s="174"/>
      <c r="BD26" s="174"/>
      <c r="BE26" s="174"/>
      <c r="BF26" s="174"/>
      <c r="BG26" s="14"/>
      <c r="BH26" s="174"/>
      <c r="BI26" s="177"/>
      <c r="BJ26" s="174"/>
      <c r="BK26" s="174"/>
      <c r="BL26" s="1"/>
      <c r="BM26" s="174"/>
      <c r="BN26" s="174"/>
      <c r="BO26" s="815"/>
      <c r="BP26" s="816"/>
      <c r="BQ26" s="816"/>
      <c r="BR26" s="816"/>
      <c r="BS26" s="946" t="s">
        <v>99</v>
      </c>
      <c r="BT26" s="947">
        <f>EBR_Master</f>
        <v>208</v>
      </c>
      <c r="BU26" s="937">
        <v>1</v>
      </c>
      <c r="BV26" s="58"/>
      <c r="BW26" s="109"/>
      <c r="BX26" s="109"/>
      <c r="BY26" s="109"/>
      <c r="BZ26" s="109"/>
      <c r="CA26" s="109"/>
      <c r="CB26" s="109"/>
      <c r="CC26" s="109"/>
      <c r="CD26" s="59"/>
      <c r="CE26" s="109"/>
      <c r="CF26" s="109"/>
      <c r="CG26" s="60"/>
      <c r="CH26" s="174"/>
      <c r="CI26" s="174"/>
      <c r="CJ26" s="174"/>
      <c r="CK26" s="174"/>
      <c r="CL26" s="174"/>
      <c r="CM26" s="174"/>
      <c r="CN26" s="174"/>
      <c r="CO26" s="174"/>
      <c r="CP26" s="174"/>
      <c r="CQ26" s="815"/>
      <c r="CR26" s="816"/>
      <c r="CS26" s="816"/>
      <c r="CT26" s="816"/>
      <c r="CU26" s="931" t="s">
        <v>99</v>
      </c>
      <c r="CV26" s="988">
        <f>CX58+BT17</f>
        <v>0</v>
      </c>
      <c r="CW26" s="828">
        <v>1</v>
      </c>
      <c r="CX26" s="58"/>
      <c r="CY26" s="109"/>
      <c r="CZ26" s="109"/>
      <c r="DA26" s="109"/>
      <c r="DB26" s="109"/>
      <c r="DC26" s="109"/>
      <c r="DD26" s="109"/>
      <c r="DE26" s="109"/>
      <c r="DF26" s="109"/>
      <c r="DG26" s="109"/>
      <c r="DH26" s="109"/>
      <c r="DI26" s="60"/>
      <c r="DJ26" s="1002"/>
      <c r="DK26" s="955">
        <f>WBU_Master</f>
        <v>0</v>
      </c>
      <c r="DL26" s="956" t="s">
        <v>99</v>
      </c>
      <c r="DM26" s="816"/>
      <c r="DN26" s="816"/>
      <c r="DO26" s="816"/>
      <c r="DP26" s="822"/>
      <c r="DQ26" s="174"/>
      <c r="DR26" s="174"/>
      <c r="DS26" s="177"/>
    </row>
    <row r="27" spans="2:123" ht="9.9499999999999993" customHeigh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74"/>
      <c r="AX27" s="174"/>
      <c r="AY27" s="174"/>
      <c r="AZ27" s="174"/>
      <c r="BA27" s="174"/>
      <c r="BB27" s="174"/>
      <c r="BC27" s="55"/>
      <c r="BD27" s="174"/>
      <c r="BE27" s="174"/>
      <c r="BF27" s="174"/>
      <c r="BG27" s="14"/>
      <c r="BH27" s="174"/>
      <c r="BI27" s="177"/>
      <c r="BJ27" s="174"/>
      <c r="BK27" s="174"/>
      <c r="BL27" s="1"/>
      <c r="BM27" s="174"/>
      <c r="BN27" s="174"/>
      <c r="BO27" s="790"/>
      <c r="BP27" s="791"/>
      <c r="BQ27" s="791"/>
      <c r="BR27" s="791"/>
      <c r="BS27" s="902"/>
      <c r="BT27" s="905"/>
      <c r="BU27" s="938"/>
      <c r="BV27" s="58"/>
      <c r="BW27" s="109"/>
      <c r="BX27" s="109"/>
      <c r="BY27" s="109"/>
      <c r="BZ27" s="109"/>
      <c r="CA27" s="109"/>
      <c r="CB27" s="109"/>
      <c r="CC27" s="109"/>
      <c r="CD27" s="59"/>
      <c r="CE27" s="109"/>
      <c r="CF27" s="109"/>
      <c r="CG27" s="60"/>
      <c r="CH27" s="174"/>
      <c r="CI27" s="174"/>
      <c r="CJ27" s="174"/>
      <c r="CK27" s="174"/>
      <c r="CL27" s="174"/>
      <c r="CM27" s="174"/>
      <c r="CN27" s="174"/>
      <c r="CO27" s="174"/>
      <c r="CP27" s="174"/>
      <c r="CQ27" s="790"/>
      <c r="CR27" s="791"/>
      <c r="CS27" s="791"/>
      <c r="CT27" s="791"/>
      <c r="CU27" s="932"/>
      <c r="CV27" s="989"/>
      <c r="CW27" s="801"/>
      <c r="CX27" s="58"/>
      <c r="CY27" s="109"/>
      <c r="CZ27" s="109"/>
      <c r="DA27" s="109"/>
      <c r="DB27" s="109"/>
      <c r="DC27" s="109"/>
      <c r="DD27" s="109"/>
      <c r="DE27" s="109"/>
      <c r="DF27" s="109"/>
      <c r="DG27" s="109"/>
      <c r="DH27" s="109"/>
      <c r="DI27" s="60"/>
      <c r="DJ27" s="1003"/>
      <c r="DK27" s="941"/>
      <c r="DL27" s="944"/>
      <c r="DM27" s="791"/>
      <c r="DN27" s="791"/>
      <c r="DO27" s="791"/>
      <c r="DP27" s="813"/>
      <c r="DQ27" s="174"/>
      <c r="DR27" s="174"/>
      <c r="DS27" s="177"/>
    </row>
    <row r="28" spans="2:123" ht="9.9499999999999993" customHeight="1" thickBot="1">
      <c r="B28" s="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4"/>
      <c r="BH28" s="174"/>
      <c r="BI28" s="177"/>
      <c r="BJ28" s="174"/>
      <c r="BK28" s="174"/>
      <c r="BL28" s="1"/>
      <c r="BM28" s="174"/>
      <c r="BN28" s="174"/>
      <c r="BO28" s="824"/>
      <c r="BP28" s="825"/>
      <c r="BQ28" s="825"/>
      <c r="BR28" s="825"/>
      <c r="BS28" s="959"/>
      <c r="BT28" s="960"/>
      <c r="BU28" s="965"/>
      <c r="BV28" s="61"/>
      <c r="BW28" s="110"/>
      <c r="BX28" s="110"/>
      <c r="BY28" s="110"/>
      <c r="BZ28" s="110"/>
      <c r="CA28" s="110"/>
      <c r="CB28" s="110"/>
      <c r="CC28" s="110"/>
      <c r="CD28" s="62"/>
      <c r="CE28" s="110"/>
      <c r="CF28" s="110"/>
      <c r="CG28" s="63"/>
      <c r="CH28" s="174"/>
      <c r="CI28" s="174"/>
      <c r="CJ28" s="174"/>
      <c r="CK28" s="174"/>
      <c r="CL28" s="174"/>
      <c r="CM28" s="174"/>
      <c r="CN28" s="174"/>
      <c r="CO28" s="174"/>
      <c r="CP28" s="174"/>
      <c r="CQ28" s="824"/>
      <c r="CR28" s="825"/>
      <c r="CS28" s="825"/>
      <c r="CT28" s="825"/>
      <c r="CU28" s="963"/>
      <c r="CV28" s="990"/>
      <c r="CW28" s="829"/>
      <c r="CX28" s="61"/>
      <c r="CY28" s="110"/>
      <c r="CZ28" s="110"/>
      <c r="DA28" s="110"/>
      <c r="DB28" s="110"/>
      <c r="DC28" s="110"/>
      <c r="DD28" s="110"/>
      <c r="DE28" s="110"/>
      <c r="DF28" s="110"/>
      <c r="DG28" s="110"/>
      <c r="DH28" s="110"/>
      <c r="DI28" s="63"/>
      <c r="DJ28" s="1004"/>
      <c r="DK28" s="966"/>
      <c r="DL28" s="967"/>
      <c r="DM28" s="825"/>
      <c r="DN28" s="825"/>
      <c r="DO28" s="825"/>
      <c r="DP28" s="832"/>
      <c r="DQ28" s="174"/>
      <c r="DR28" s="174"/>
      <c r="DS28" s="177"/>
    </row>
    <row r="29" spans="2:123" ht="9.9499999999999993" customHeight="1">
      <c r="B29" s="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4"/>
      <c r="BH29" s="174"/>
      <c r="BI29" s="177"/>
      <c r="BJ29" s="174"/>
      <c r="BK29" s="174"/>
      <c r="BL29" s="1"/>
      <c r="BM29" s="174"/>
      <c r="BN29" s="174"/>
      <c r="BO29" s="174"/>
      <c r="BP29" s="174"/>
      <c r="BQ29" s="174"/>
      <c r="BR29" s="174"/>
      <c r="BS29" s="18"/>
      <c r="BT29" s="174"/>
      <c r="BU29" s="174"/>
      <c r="BV29" s="174"/>
      <c r="BW29" s="174"/>
      <c r="BX29" s="174"/>
      <c r="BY29" s="174"/>
      <c r="BZ29" s="174"/>
      <c r="CA29" s="174"/>
      <c r="CB29" s="839">
        <v>1</v>
      </c>
      <c r="CC29" s="840"/>
      <c r="CD29" s="841"/>
      <c r="CE29" s="842">
        <v>1</v>
      </c>
      <c r="CF29" s="840"/>
      <c r="CG29" s="843"/>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999">
        <v>2</v>
      </c>
      <c r="DE29" s="1000"/>
      <c r="DF29" s="1000"/>
      <c r="DG29" s="1000">
        <v>1</v>
      </c>
      <c r="DH29" s="1000"/>
      <c r="DI29" s="1001"/>
      <c r="DJ29" s="174"/>
      <c r="DK29" s="174"/>
      <c r="DL29" s="174"/>
      <c r="DM29" s="174"/>
      <c r="DN29" s="174"/>
      <c r="DO29" s="174"/>
      <c r="DP29" s="174"/>
      <c r="DQ29" s="174"/>
      <c r="DR29" s="174"/>
      <c r="DS29" s="177"/>
    </row>
    <row r="30" spans="2:123" ht="9.9499999999999993" customHeigh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
      <c r="BM30" s="174"/>
      <c r="BN30" s="174"/>
      <c r="BO30" s="174"/>
      <c r="BP30" s="174"/>
      <c r="BQ30" s="174"/>
      <c r="BR30" s="174"/>
      <c r="BS30" s="18"/>
      <c r="BT30" s="174"/>
      <c r="BU30" s="174"/>
      <c r="BV30" s="174"/>
      <c r="BW30" s="174"/>
      <c r="BX30" s="174"/>
      <c r="BY30" s="174"/>
      <c r="BZ30" s="174"/>
      <c r="CA30" s="174"/>
      <c r="CB30" s="973">
        <f>DA58+BT17</f>
        <v>0</v>
      </c>
      <c r="CC30" s="974"/>
      <c r="CD30" s="975"/>
      <c r="CE30" s="976">
        <f>DD15+CX58</f>
        <v>607</v>
      </c>
      <c r="CF30" s="974"/>
      <c r="CG30" s="977"/>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973">
        <f>DD58+DG15</f>
        <v>1260</v>
      </c>
      <c r="DE30" s="974"/>
      <c r="DF30" s="975"/>
      <c r="DG30" s="976">
        <f>DG58+DK26</f>
        <v>1060</v>
      </c>
      <c r="DH30" s="974"/>
      <c r="DI30" s="977"/>
      <c r="DJ30" s="174"/>
      <c r="DK30" s="174"/>
      <c r="DL30" s="174"/>
      <c r="DM30" s="174"/>
      <c r="DN30" s="174"/>
      <c r="DO30" s="174"/>
      <c r="DP30" s="174"/>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8"/>
      <c r="BT31" s="174"/>
      <c r="BU31" s="174"/>
      <c r="BV31" s="174"/>
      <c r="BW31" s="174"/>
      <c r="BX31" s="174"/>
      <c r="BY31" s="174"/>
      <c r="BZ31" s="174"/>
      <c r="CA31" s="174"/>
      <c r="CB31" s="918" t="s">
        <v>99</v>
      </c>
      <c r="CC31" s="919"/>
      <c r="CD31" s="920"/>
      <c r="CE31" s="921" t="s">
        <v>99</v>
      </c>
      <c r="CF31" s="919"/>
      <c r="CG31" s="922"/>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918" t="s">
        <v>99</v>
      </c>
      <c r="DE31" s="919"/>
      <c r="DF31" s="920"/>
      <c r="DG31" s="921" t="s">
        <v>99</v>
      </c>
      <c r="DH31" s="919"/>
      <c r="DI31" s="922"/>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8"/>
      <c r="BT32" s="174"/>
      <c r="BU32" s="174"/>
      <c r="BV32" s="174"/>
      <c r="BW32" s="174"/>
      <c r="BX32" s="174"/>
      <c r="BY32" s="174"/>
      <c r="BZ32" s="174"/>
      <c r="CA32" s="174"/>
      <c r="CB32" s="766"/>
      <c r="CC32" s="767"/>
      <c r="CD32" s="768"/>
      <c r="CE32" s="770"/>
      <c r="CF32" s="767"/>
      <c r="CG32" s="772"/>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766"/>
      <c r="DE32" s="767"/>
      <c r="DF32" s="768"/>
      <c r="DG32" s="770"/>
      <c r="DH32" s="767"/>
      <c r="DI32" s="772"/>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8"/>
      <c r="BT33" s="174"/>
      <c r="BU33" s="174"/>
      <c r="BV33" s="174"/>
      <c r="BW33" s="174"/>
      <c r="BX33" s="174"/>
      <c r="BY33" s="174"/>
      <c r="BZ33" s="174"/>
      <c r="CA33" s="174"/>
      <c r="CB33" s="766"/>
      <c r="CC33" s="767"/>
      <c r="CD33" s="768"/>
      <c r="CE33" s="770"/>
      <c r="CF33" s="767"/>
      <c r="CG33" s="772"/>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766"/>
      <c r="DE33" s="767"/>
      <c r="DF33" s="768"/>
      <c r="DG33" s="770"/>
      <c r="DH33" s="767"/>
      <c r="DI33" s="772"/>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6"/>
      <c r="BQ34" s="16"/>
      <c r="BR34" s="16"/>
      <c r="BS34" s="16"/>
      <c r="BT34" s="16"/>
      <c r="BU34" s="16"/>
      <c r="BV34" s="16"/>
      <c r="BW34" s="174"/>
      <c r="BX34" s="174"/>
      <c r="BY34" s="174"/>
      <c r="BZ34" s="174"/>
      <c r="CA34" s="174"/>
      <c r="CB34" s="766"/>
      <c r="CC34" s="767"/>
      <c r="CD34" s="768"/>
      <c r="CE34" s="770"/>
      <c r="CF34" s="767"/>
      <c r="CG34" s="772"/>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766"/>
      <c r="DE34" s="767"/>
      <c r="DF34" s="768"/>
      <c r="DG34" s="770"/>
      <c r="DH34" s="767"/>
      <c r="DI34" s="772"/>
      <c r="DJ34" s="174"/>
      <c r="DK34" s="174"/>
      <c r="DL34" s="174"/>
      <c r="DM34" s="174"/>
      <c r="DN34" s="174"/>
      <c r="DO34" s="174"/>
      <c r="DP34" s="174"/>
      <c r="DQ34" s="174"/>
      <c r="DR34" s="174"/>
      <c r="DS34" s="177"/>
    </row>
    <row r="35" spans="2:123" ht="9.9499999999999993" customHeight="1" thickBo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849"/>
      <c r="CC35" s="705"/>
      <c r="CD35" s="850"/>
      <c r="CE35" s="851"/>
      <c r="CF35" s="705"/>
      <c r="CG35" s="852"/>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849"/>
      <c r="DE35" s="705"/>
      <c r="DF35" s="850"/>
      <c r="DG35" s="851"/>
      <c r="DH35" s="705"/>
      <c r="DI35" s="852"/>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763"/>
      <c r="CY38" s="764"/>
      <c r="CZ38" s="765"/>
      <c r="DA38" s="769"/>
      <c r="DB38" s="764"/>
      <c r="DC38" s="771"/>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766"/>
      <c r="CY39" s="767"/>
      <c r="CZ39" s="768"/>
      <c r="DA39" s="770"/>
      <c r="DB39" s="767"/>
      <c r="DC39" s="772"/>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766"/>
      <c r="CY40" s="767"/>
      <c r="CZ40" s="768"/>
      <c r="DA40" s="770"/>
      <c r="DB40" s="767"/>
      <c r="DC40" s="772"/>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766"/>
      <c r="CY41" s="767"/>
      <c r="CZ41" s="768"/>
      <c r="DA41" s="770"/>
      <c r="DB41" s="767"/>
      <c r="DC41" s="772"/>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918" t="s">
        <v>99</v>
      </c>
      <c r="CY42" s="919"/>
      <c r="CZ42" s="920"/>
      <c r="DA42" s="921" t="s">
        <v>99</v>
      </c>
      <c r="DB42" s="919"/>
      <c r="DC42" s="922"/>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923">
        <f>DD15+BT17</f>
        <v>607</v>
      </c>
      <c r="CY43" s="924"/>
      <c r="CZ43" s="925"/>
      <c r="DA43" s="926">
        <f>CX58+DA15</f>
        <v>1447</v>
      </c>
      <c r="DB43" s="924"/>
      <c r="DC43" s="927"/>
      <c r="DD43" s="174"/>
      <c r="DE43" s="174"/>
      <c r="DF43" s="174"/>
      <c r="DG43" s="174"/>
      <c r="DH43" s="174"/>
      <c r="DI43" s="174"/>
      <c r="DJ43" s="174"/>
      <c r="DK43" s="174"/>
      <c r="DL43" s="174"/>
      <c r="DM43" s="174"/>
      <c r="DN43" s="174"/>
      <c r="DO43" s="174"/>
      <c r="DP43" s="174"/>
      <c r="DQ43" s="174"/>
      <c r="DR43" s="174"/>
      <c r="DS43" s="177"/>
    </row>
    <row r="44" spans="2:123" ht="9.9499999999999993" customHeight="1" thickBo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4"/>
      <c r="BQ44" s="4"/>
      <c r="BR44" s="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992">
        <v>1</v>
      </c>
      <c r="CY44" s="786"/>
      <c r="CZ44" s="993"/>
      <c r="DA44" s="785">
        <v>2</v>
      </c>
      <c r="DB44" s="786"/>
      <c r="DC44" s="787"/>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4"/>
      <c r="BQ45" s="4"/>
      <c r="BR45" s="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56"/>
      <c r="CY45" s="175"/>
      <c r="CZ45" s="175"/>
      <c r="DA45" s="175"/>
      <c r="DB45" s="175"/>
      <c r="DC45" s="175"/>
      <c r="DD45" s="175"/>
      <c r="DE45" s="175"/>
      <c r="DF45" s="175"/>
      <c r="DG45" s="175"/>
      <c r="DH45" s="175"/>
      <c r="DI45" s="176"/>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4"/>
      <c r="BQ46" s="4"/>
      <c r="BR46" s="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58"/>
      <c r="CY46" s="109"/>
      <c r="CZ46" s="109"/>
      <c r="DA46" s="109"/>
      <c r="DB46" s="109"/>
      <c r="DC46" s="109"/>
      <c r="DD46" s="109"/>
      <c r="DE46" s="109"/>
      <c r="DF46" s="109"/>
      <c r="DG46" s="109"/>
      <c r="DH46" s="109"/>
      <c r="DI46" s="60"/>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4"/>
      <c r="BQ47" s="4"/>
      <c r="BR47" s="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58"/>
      <c r="CY47" s="109"/>
      <c r="CZ47" s="109"/>
      <c r="DA47" s="109"/>
      <c r="DB47" s="109"/>
      <c r="DC47" s="109"/>
      <c r="DD47" s="109"/>
      <c r="DE47" s="109"/>
      <c r="DF47" s="109"/>
      <c r="DG47" s="109"/>
      <c r="DH47" s="109"/>
      <c r="DI47" s="60"/>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6"/>
      <c r="BQ48" s="16"/>
      <c r="BR48" s="16"/>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58"/>
      <c r="CY48" s="109"/>
      <c r="CZ48" s="763"/>
      <c r="DA48" s="764"/>
      <c r="DB48" s="764"/>
      <c r="DC48" s="764"/>
      <c r="DD48" s="764"/>
      <c r="DE48" s="764"/>
      <c r="DF48" s="764"/>
      <c r="DG48" s="771"/>
      <c r="DH48" s="109"/>
      <c r="DI48" s="60"/>
      <c r="DJ48" s="174"/>
      <c r="DK48" s="174"/>
      <c r="DL48" s="174"/>
      <c r="DM48" s="174"/>
      <c r="DN48" s="174"/>
      <c r="DO48" s="174"/>
      <c r="DP48" s="174"/>
      <c r="DQ48" s="174"/>
      <c r="DR48" s="174"/>
      <c r="DS48" s="177"/>
    </row>
    <row r="49" spans="2:123" ht="9.9499999999999993" customHeigh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22"/>
      <c r="BQ49" s="22"/>
      <c r="BR49" s="22"/>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58"/>
      <c r="CY49" s="109"/>
      <c r="CZ49" s="766"/>
      <c r="DA49" s="767"/>
      <c r="DB49" s="767"/>
      <c r="DC49" s="767"/>
      <c r="DD49" s="767"/>
      <c r="DE49" s="767"/>
      <c r="DF49" s="767"/>
      <c r="DG49" s="772"/>
      <c r="DH49" s="109"/>
      <c r="DI49" s="60"/>
      <c r="DJ49" s="174"/>
      <c r="DK49" s="174"/>
      <c r="DL49" s="174"/>
      <c r="DM49" s="174"/>
      <c r="DN49" s="174"/>
      <c r="DO49" s="174"/>
      <c r="DP49" s="174"/>
      <c r="DQ49" s="174"/>
      <c r="DR49" s="174"/>
      <c r="DS49" s="177"/>
    </row>
    <row r="50" spans="2:123" ht="9.9499999999999993" customHeight="1" thickBo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25"/>
      <c r="BQ50" s="25"/>
      <c r="BR50" s="25"/>
      <c r="BS50" s="174"/>
      <c r="BT50" s="174"/>
      <c r="BU50" s="174"/>
      <c r="BV50" s="174"/>
      <c r="BW50" s="174"/>
      <c r="BX50" s="174"/>
      <c r="BY50" s="174"/>
      <c r="BZ50" s="111"/>
      <c r="CA50" s="111"/>
      <c r="CB50" s="111"/>
      <c r="CC50" s="111"/>
      <c r="CD50" s="111"/>
      <c r="CE50" s="111"/>
      <c r="CF50" s="111"/>
      <c r="CG50" s="111"/>
      <c r="CH50" s="111"/>
      <c r="CI50" s="174"/>
      <c r="CJ50" s="174"/>
      <c r="CK50" s="174"/>
      <c r="CL50" s="174"/>
      <c r="CM50" s="174"/>
      <c r="CN50" s="174"/>
      <c r="CO50" s="174"/>
      <c r="CP50" s="174"/>
      <c r="CQ50" s="174"/>
      <c r="CR50" s="174"/>
      <c r="CS50" s="174"/>
      <c r="CT50" s="174"/>
      <c r="CU50" s="174"/>
      <c r="CV50" s="174"/>
      <c r="CW50" s="174"/>
      <c r="CX50" s="58"/>
      <c r="CY50" s="109"/>
      <c r="CZ50" s="766"/>
      <c r="DA50" s="767"/>
      <c r="DB50" s="767"/>
      <c r="DC50" s="767"/>
      <c r="DD50" s="767"/>
      <c r="DE50" s="767"/>
      <c r="DF50" s="767"/>
      <c r="DG50" s="772"/>
      <c r="DH50" s="109"/>
      <c r="DI50" s="60"/>
      <c r="DJ50" s="174"/>
      <c r="DK50" s="174"/>
      <c r="DL50" s="174"/>
      <c r="DM50" s="174"/>
      <c r="DN50" s="174"/>
      <c r="DO50" s="174"/>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6"/>
      <c r="BQ51" s="16"/>
      <c r="BR51" s="16"/>
      <c r="BS51" s="174"/>
      <c r="BT51" s="174"/>
      <c r="BU51" s="174"/>
      <c r="BV51" s="174"/>
      <c r="BW51" s="174"/>
      <c r="BX51" s="174"/>
      <c r="BY51" s="174"/>
      <c r="BZ51" s="111"/>
      <c r="CA51" s="111"/>
      <c r="CB51" s="111"/>
      <c r="CC51" s="111"/>
      <c r="CD51" s="111"/>
      <c r="CE51" s="111"/>
      <c r="CF51" s="111"/>
      <c r="CG51" s="111"/>
      <c r="CH51" s="111"/>
      <c r="CI51" s="174"/>
      <c r="CJ51" s="174"/>
      <c r="CK51" s="174"/>
      <c r="CL51" s="174"/>
      <c r="CM51" s="174"/>
      <c r="CN51" s="174"/>
      <c r="CO51" s="174"/>
      <c r="CP51" s="174"/>
      <c r="CQ51" s="788"/>
      <c r="CR51" s="789"/>
      <c r="CS51" s="789"/>
      <c r="CT51" s="789"/>
      <c r="CU51" s="948" t="s">
        <v>99</v>
      </c>
      <c r="CV51" s="994">
        <f>BT20+DG15+DK26</f>
        <v>899</v>
      </c>
      <c r="CW51" s="800">
        <v>1</v>
      </c>
      <c r="CX51" s="58"/>
      <c r="CY51" s="109"/>
      <c r="CZ51" s="833">
        <f>MAX(CV51/LTAF/CW51, ROUND(MAX(0,CV54/RTAF/CW54-(DA58+CX58)/LTAF/DA57),0))+ MAX((DA58+CX58)/LTAF/DA57 +MAX( DA43/DA44, ROUND(MAX(0,CX43/RTAF/CX44-CV51/LTAF/CW51),0)),(DD58+DG58) /DD57)</f>
        <v>2106.3157894736842</v>
      </c>
      <c r="DA51" s="834"/>
      <c r="DB51" s="834"/>
      <c r="DC51" s="834"/>
      <c r="DD51" s="834"/>
      <c r="DE51" s="834"/>
      <c r="DF51" s="834"/>
      <c r="DG51" s="835"/>
      <c r="DH51" s="109"/>
      <c r="DI51" s="60"/>
      <c r="DJ51" s="174"/>
      <c r="DK51" s="174"/>
      <c r="DL51" s="174"/>
      <c r="DM51" s="174"/>
      <c r="DN51" s="174"/>
      <c r="DO51" s="174"/>
      <c r="DP51" s="174"/>
      <c r="DQ51" s="174"/>
      <c r="DR51" s="174"/>
      <c r="DS51" s="177"/>
    </row>
    <row r="52" spans="2:123" ht="9.9499999999999993" customHeigh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174"/>
      <c r="BW52" s="174"/>
      <c r="BX52" s="174"/>
      <c r="BY52" s="174"/>
      <c r="BZ52" s="111"/>
      <c r="CA52" s="111"/>
      <c r="CB52" s="111"/>
      <c r="CC52" s="111"/>
      <c r="CD52" s="111"/>
      <c r="CE52" s="111"/>
      <c r="CF52" s="111"/>
      <c r="CG52" s="111"/>
      <c r="CH52" s="111"/>
      <c r="CI52" s="174"/>
      <c r="CJ52" s="174"/>
      <c r="CK52" s="174"/>
      <c r="CL52" s="174"/>
      <c r="CM52" s="174"/>
      <c r="CN52" s="174"/>
      <c r="CO52" s="174"/>
      <c r="CP52" s="174"/>
      <c r="CQ52" s="790"/>
      <c r="CR52" s="791"/>
      <c r="CS52" s="791"/>
      <c r="CT52" s="791"/>
      <c r="CU52" s="932"/>
      <c r="CV52" s="989"/>
      <c r="CW52" s="801"/>
      <c r="CX52" s="58"/>
      <c r="CY52" s="109"/>
      <c r="CZ52" s="833"/>
      <c r="DA52" s="834"/>
      <c r="DB52" s="834"/>
      <c r="DC52" s="834"/>
      <c r="DD52" s="834"/>
      <c r="DE52" s="834"/>
      <c r="DF52" s="834"/>
      <c r="DG52" s="835"/>
      <c r="DH52" s="109"/>
      <c r="DI52" s="60"/>
      <c r="DJ52" s="174"/>
      <c r="DK52" s="174"/>
      <c r="DL52" s="174"/>
      <c r="DM52" s="174"/>
      <c r="DN52" s="174"/>
      <c r="DO52" s="174"/>
      <c r="DP52" s="174"/>
      <c r="DQ52" s="174"/>
      <c r="DR52" s="174"/>
      <c r="DS52" s="177"/>
    </row>
    <row r="53" spans="2:123" ht="9.9499999999999993" customHeight="1" thickBo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792"/>
      <c r="CR53" s="793"/>
      <c r="CS53" s="793"/>
      <c r="CT53" s="793"/>
      <c r="CU53" s="933"/>
      <c r="CV53" s="995"/>
      <c r="CW53" s="802"/>
      <c r="CX53" s="58"/>
      <c r="CY53" s="109"/>
      <c r="CZ53" s="836"/>
      <c r="DA53" s="837"/>
      <c r="DB53" s="837"/>
      <c r="DC53" s="837"/>
      <c r="DD53" s="837"/>
      <c r="DE53" s="837"/>
      <c r="DF53" s="837"/>
      <c r="DG53" s="838"/>
      <c r="DH53" s="109"/>
      <c r="DI53" s="60"/>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815"/>
      <c r="CR54" s="816"/>
      <c r="CS54" s="816"/>
      <c r="CT54" s="816"/>
      <c r="CU54" s="931" t="s">
        <v>99</v>
      </c>
      <c r="CV54" s="988">
        <f>DK23+BT26</f>
        <v>796</v>
      </c>
      <c r="CW54" s="828">
        <v>1</v>
      </c>
      <c r="CX54" s="58"/>
      <c r="CY54" s="109"/>
      <c r="CZ54" s="109"/>
      <c r="DA54" s="109"/>
      <c r="DB54" s="109"/>
      <c r="DC54" s="109"/>
      <c r="DD54" s="109"/>
      <c r="DE54" s="109"/>
      <c r="DF54" s="109"/>
      <c r="DG54" s="109"/>
      <c r="DH54" s="109"/>
      <c r="DI54" s="60"/>
      <c r="DJ54" s="174"/>
      <c r="DK54" s="174"/>
      <c r="DL54" s="174"/>
      <c r="DM54" s="174"/>
      <c r="DN54" s="174"/>
      <c r="DO54" s="174"/>
      <c r="DP54" s="174"/>
      <c r="DQ54" s="174"/>
      <c r="DR54" s="174"/>
      <c r="DS54" s="177"/>
    </row>
    <row r="55" spans="2:123" ht="9.9499999999999993" customHeigh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4"/>
      <c r="CP55" s="174"/>
      <c r="CQ55" s="790"/>
      <c r="CR55" s="791"/>
      <c r="CS55" s="791"/>
      <c r="CT55" s="791"/>
      <c r="CU55" s="932"/>
      <c r="CV55" s="989"/>
      <c r="CW55" s="801"/>
      <c r="CX55" s="58"/>
      <c r="CY55" s="109"/>
      <c r="CZ55" s="109"/>
      <c r="DA55" s="109"/>
      <c r="DB55" s="109"/>
      <c r="DC55" s="109"/>
      <c r="DD55" s="109"/>
      <c r="DE55" s="109"/>
      <c r="DF55" s="109"/>
      <c r="DG55" s="109"/>
      <c r="DH55" s="109"/>
      <c r="DI55" s="60"/>
      <c r="DJ55" s="174"/>
      <c r="DK55" s="174"/>
      <c r="DL55" s="174"/>
      <c r="DM55" s="174"/>
      <c r="DN55" s="174"/>
      <c r="DO55" s="174"/>
      <c r="DP55" s="174"/>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824"/>
      <c r="CR56" s="825"/>
      <c r="CS56" s="825"/>
      <c r="CT56" s="825"/>
      <c r="CU56" s="963"/>
      <c r="CV56" s="990"/>
      <c r="CW56" s="829"/>
      <c r="CX56" s="61"/>
      <c r="CY56" s="110"/>
      <c r="CZ56" s="110"/>
      <c r="DA56" s="110"/>
      <c r="DB56" s="110"/>
      <c r="DC56" s="110"/>
      <c r="DD56" s="110"/>
      <c r="DE56" s="110"/>
      <c r="DF56" s="110"/>
      <c r="DG56" s="110"/>
      <c r="DH56" s="110"/>
      <c r="DI56" s="63"/>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991"/>
      <c r="CY57" s="1926"/>
      <c r="CZ57" s="1927"/>
      <c r="DA57" s="971">
        <v>1</v>
      </c>
      <c r="DB57" s="1928"/>
      <c r="DC57" s="1929"/>
      <c r="DD57" s="971">
        <v>2</v>
      </c>
      <c r="DE57" s="969"/>
      <c r="DF57" s="970"/>
      <c r="DG57" s="996"/>
      <c r="DH57" s="997"/>
      <c r="DI57" s="998"/>
      <c r="DJ57" s="174"/>
      <c r="DK57" s="174"/>
      <c r="DL57" s="174"/>
      <c r="DM57" s="174"/>
      <c r="DN57" s="174"/>
      <c r="DO57" s="174"/>
      <c r="DP57" s="174"/>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983">
        <f>NBU_Master</f>
        <v>0</v>
      </c>
      <c r="CY58" s="984"/>
      <c r="CZ58" s="985"/>
      <c r="DA58" s="986">
        <f>NBL_Master</f>
        <v>0</v>
      </c>
      <c r="DB58" s="984"/>
      <c r="DC58" s="985"/>
      <c r="DD58" s="986">
        <f>NBT_Master</f>
        <v>1260</v>
      </c>
      <c r="DE58" s="984"/>
      <c r="DF58" s="985"/>
      <c r="DG58" s="986">
        <f>NBR_Master</f>
        <v>1060</v>
      </c>
      <c r="DH58" s="984"/>
      <c r="DI58" s="987"/>
      <c r="DJ58" s="174"/>
      <c r="DK58" s="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886" t="s">
        <v>99</v>
      </c>
      <c r="CY59" s="887"/>
      <c r="CZ59" s="888"/>
      <c r="DA59" s="889" t="s">
        <v>99</v>
      </c>
      <c r="DB59" s="887"/>
      <c r="DC59" s="888"/>
      <c r="DD59" s="889" t="s">
        <v>99</v>
      </c>
      <c r="DE59" s="887"/>
      <c r="DF59" s="888"/>
      <c r="DG59" s="889" t="s">
        <v>99</v>
      </c>
      <c r="DH59" s="887"/>
      <c r="DI59" s="890"/>
      <c r="DJ59" s="174"/>
      <c r="DK59" s="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766"/>
      <c r="CY60" s="767"/>
      <c r="CZ60" s="768"/>
      <c r="DA60" s="770"/>
      <c r="DB60" s="767"/>
      <c r="DC60" s="768"/>
      <c r="DD60" s="770"/>
      <c r="DE60" s="767"/>
      <c r="DF60" s="768"/>
      <c r="DG60" s="770"/>
      <c r="DH60" s="767"/>
      <c r="DI60" s="772"/>
      <c r="DJ60" s="174"/>
      <c r="DK60" s="15"/>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766"/>
      <c r="CY61" s="767"/>
      <c r="CZ61" s="768"/>
      <c r="DA61" s="770"/>
      <c r="DB61" s="767"/>
      <c r="DC61" s="768"/>
      <c r="DD61" s="770"/>
      <c r="DE61" s="767"/>
      <c r="DF61" s="768"/>
      <c r="DG61" s="770"/>
      <c r="DH61" s="767"/>
      <c r="DI61" s="772"/>
      <c r="DJ61" s="174"/>
      <c r="DK61" s="15"/>
      <c r="DL61" s="174"/>
      <c r="DM61" s="174"/>
      <c r="DN61" s="174"/>
      <c r="DO61" s="174"/>
      <c r="DP61" s="174"/>
      <c r="DQ61" s="174"/>
      <c r="DR61" s="174"/>
      <c r="DS61" s="177"/>
    </row>
    <row r="62" spans="2:123" ht="9.9499999999999993" customHeight="1" thickBo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766"/>
      <c r="CY62" s="767"/>
      <c r="CZ62" s="768"/>
      <c r="DA62" s="770"/>
      <c r="DB62" s="767"/>
      <c r="DC62" s="768"/>
      <c r="DD62" s="770"/>
      <c r="DE62" s="767"/>
      <c r="DF62" s="768"/>
      <c r="DG62" s="770"/>
      <c r="DH62" s="767"/>
      <c r="DI62" s="772"/>
      <c r="DJ62" s="174"/>
      <c r="DK62" s="15"/>
      <c r="DL62" s="174"/>
      <c r="DM62" s="174"/>
      <c r="DN62" s="174"/>
      <c r="DO62" s="174"/>
      <c r="DP62" s="174"/>
      <c r="DQ62" s="174"/>
      <c r="DR62" s="174"/>
      <c r="DS62" s="177"/>
    </row>
    <row r="63" spans="2:123" ht="9.9499999999999993" customHeight="1" thickBo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728">
        <f>CZ51</f>
        <v>2106.3157894736842</v>
      </c>
      <c r="AZ63" s="861"/>
      <c r="BA63" s="861"/>
      <c r="BB63" s="861"/>
      <c r="BC63" s="861"/>
      <c r="BD63" s="861"/>
      <c r="BE63" s="861"/>
      <c r="BF63" s="861"/>
      <c r="BG63" s="861"/>
      <c r="BH63" s="862"/>
      <c r="BI63" s="177"/>
      <c r="BJ63" s="174"/>
      <c r="BK63" s="174"/>
      <c r="BL63" s="1"/>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849"/>
      <c r="CY63" s="705"/>
      <c r="CZ63" s="850"/>
      <c r="DA63" s="851"/>
      <c r="DB63" s="705"/>
      <c r="DC63" s="850"/>
      <c r="DD63" s="851"/>
      <c r="DE63" s="705"/>
      <c r="DF63" s="850"/>
      <c r="DG63" s="851"/>
      <c r="DH63" s="705"/>
      <c r="DI63" s="852"/>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863"/>
      <c r="AZ64" s="864"/>
      <c r="BA64" s="864"/>
      <c r="BB64" s="864"/>
      <c r="BC64" s="864"/>
      <c r="BD64" s="864"/>
      <c r="BE64" s="864"/>
      <c r="BF64" s="864"/>
      <c r="BG64" s="864"/>
      <c r="BH64" s="865"/>
      <c r="BI64" s="177"/>
      <c r="BJ64" s="174"/>
      <c r="BK64" s="174"/>
      <c r="BL64" s="1"/>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866"/>
      <c r="AZ65" s="867"/>
      <c r="BA65" s="867"/>
      <c r="BB65" s="867"/>
      <c r="BC65" s="867"/>
      <c r="BD65" s="867"/>
      <c r="BE65" s="867"/>
      <c r="BF65" s="867"/>
      <c r="BG65" s="867"/>
      <c r="BH65" s="868"/>
      <c r="BI65" s="177"/>
      <c r="BJ65" s="174"/>
      <c r="BK65" s="174"/>
      <c r="BL65" s="1"/>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713">
        <f>ROUND(AY63/CLV_Limit,2)</f>
        <v>1.32</v>
      </c>
      <c r="AZ66" s="714"/>
      <c r="BA66" s="714"/>
      <c r="BB66" s="714"/>
      <c r="BC66" s="715"/>
      <c r="BD66" s="722" t="s">
        <v>100</v>
      </c>
      <c r="BE66" s="722"/>
      <c r="BF66" s="722"/>
      <c r="BG66" s="722"/>
      <c r="BH66" s="723"/>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716"/>
      <c r="AZ67" s="717"/>
      <c r="BA67" s="717"/>
      <c r="BB67" s="717"/>
      <c r="BC67" s="718"/>
      <c r="BD67" s="724"/>
      <c r="BE67" s="724"/>
      <c r="BF67" s="724"/>
      <c r="BG67" s="724"/>
      <c r="BH67" s="725"/>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thickBo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719"/>
      <c r="AZ68" s="720"/>
      <c r="BA68" s="720"/>
      <c r="BB68" s="720"/>
      <c r="BC68" s="721"/>
      <c r="BD68" s="726"/>
      <c r="BE68" s="726"/>
      <c r="BF68" s="726"/>
      <c r="BG68" s="726"/>
      <c r="BH68" s="727"/>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4"/>
      <c r="BO72" s="4"/>
      <c r="BP72" s="4"/>
      <c r="BQ72" s="4"/>
      <c r="BR72" s="4"/>
      <c r="BS72" s="4"/>
      <c r="BT72" s="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47">
    <mergeCell ref="B1:BI2"/>
    <mergeCell ref="B3:BI4"/>
    <mergeCell ref="C6:J7"/>
    <mergeCell ref="K6:AJ7"/>
    <mergeCell ref="E18:N20"/>
    <mergeCell ref="AM18:AV20"/>
    <mergeCell ref="AK6:BH7"/>
    <mergeCell ref="AY63:BH65"/>
    <mergeCell ref="C8:J9"/>
    <mergeCell ref="K8:AJ9"/>
    <mergeCell ref="C10:J11"/>
    <mergeCell ref="K10:AJ11"/>
    <mergeCell ref="C12:J13"/>
    <mergeCell ref="K12:AJ13"/>
    <mergeCell ref="AK8:AP9"/>
    <mergeCell ref="AQ8:AV9"/>
    <mergeCell ref="AW8:BB9"/>
    <mergeCell ref="BC8:BH9"/>
    <mergeCell ref="AK10:AV13"/>
    <mergeCell ref="AW10:BH13"/>
    <mergeCell ref="E21:I23"/>
    <mergeCell ref="J21:N23"/>
    <mergeCell ref="AM21:AQ23"/>
    <mergeCell ref="AR21:AV23"/>
    <mergeCell ref="BL1:DS2"/>
    <mergeCell ref="BL3:DS4"/>
    <mergeCell ref="CX10:CZ13"/>
    <mergeCell ref="DA10:DC13"/>
    <mergeCell ref="DD10:DF13"/>
    <mergeCell ref="DG10:DI13"/>
    <mergeCell ref="BO17:BR19"/>
    <mergeCell ref="BS17:BS19"/>
    <mergeCell ref="BT17:BT19"/>
    <mergeCell ref="BU17:BU19"/>
    <mergeCell ref="CH17:CH19"/>
    <mergeCell ref="CI17:CI19"/>
    <mergeCell ref="CX14:CZ14"/>
    <mergeCell ref="DA14:DC14"/>
    <mergeCell ref="O74:AV74"/>
    <mergeCell ref="AY66:BC68"/>
    <mergeCell ref="BD66:BH68"/>
    <mergeCell ref="DM17:DP19"/>
    <mergeCell ref="CX16:CZ16"/>
    <mergeCell ref="DA16:DC16"/>
    <mergeCell ref="DD16:DF16"/>
    <mergeCell ref="DG16:DI16"/>
    <mergeCell ref="DG14:DI14"/>
    <mergeCell ref="DG15:DI15"/>
    <mergeCell ref="DD14:DF14"/>
    <mergeCell ref="CX15:CZ15"/>
    <mergeCell ref="DA15:DC15"/>
    <mergeCell ref="DD15:DF15"/>
    <mergeCell ref="BT20:BT22"/>
    <mergeCell ref="BU20:BU22"/>
    <mergeCell ref="BX20:CE22"/>
    <mergeCell ref="CH20:CH22"/>
    <mergeCell ref="CJ17:CJ19"/>
    <mergeCell ref="CK17:CN19"/>
    <mergeCell ref="DJ17:DJ19"/>
    <mergeCell ref="DK17:DK19"/>
    <mergeCell ref="DL17:DL19"/>
    <mergeCell ref="CW23:CW25"/>
    <mergeCell ref="CZ23:DG25"/>
    <mergeCell ref="DJ23:DJ25"/>
    <mergeCell ref="DK23:DK25"/>
    <mergeCell ref="DL23:DL25"/>
    <mergeCell ref="DM23:DP25"/>
    <mergeCell ref="DL20:DL22"/>
    <mergeCell ref="DM20:DP22"/>
    <mergeCell ref="CZ20:DG22"/>
    <mergeCell ref="DJ20:DJ22"/>
    <mergeCell ref="DK20:DK22"/>
    <mergeCell ref="BO23:BR25"/>
    <mergeCell ref="BS23:BS25"/>
    <mergeCell ref="BT23:BT25"/>
    <mergeCell ref="BU23:BU25"/>
    <mergeCell ref="BX23:CE25"/>
    <mergeCell ref="CQ23:CT25"/>
    <mergeCell ref="CU23:CU25"/>
    <mergeCell ref="CV23:CV25"/>
    <mergeCell ref="CI20:CI22"/>
    <mergeCell ref="CJ20:CJ22"/>
    <mergeCell ref="CK20:CN22"/>
    <mergeCell ref="BO20:BR22"/>
    <mergeCell ref="BS20:BS22"/>
    <mergeCell ref="CV26:CV28"/>
    <mergeCell ref="CW26:CW28"/>
    <mergeCell ref="DJ26:DJ28"/>
    <mergeCell ref="DK26:DK28"/>
    <mergeCell ref="DL26:DL28"/>
    <mergeCell ref="DM26:DP28"/>
    <mergeCell ref="BO26:BR28"/>
    <mergeCell ref="BS26:BS28"/>
    <mergeCell ref="BT26:BT28"/>
    <mergeCell ref="BU26:BU28"/>
    <mergeCell ref="CQ26:CT28"/>
    <mergeCell ref="CU26:CU28"/>
    <mergeCell ref="DG31:DI31"/>
    <mergeCell ref="CB32:CD35"/>
    <mergeCell ref="CE32:CG35"/>
    <mergeCell ref="DD32:DF35"/>
    <mergeCell ref="DG32:DI35"/>
    <mergeCell ref="CB29:CD29"/>
    <mergeCell ref="CE29:CG29"/>
    <mergeCell ref="DD29:DF29"/>
    <mergeCell ref="DG29:DI29"/>
    <mergeCell ref="CB30:CD30"/>
    <mergeCell ref="CE30:CG30"/>
    <mergeCell ref="DD30:DF30"/>
    <mergeCell ref="DG30:DI30"/>
    <mergeCell ref="CX38:CZ41"/>
    <mergeCell ref="DA38:DC41"/>
    <mergeCell ref="CX42:CZ42"/>
    <mergeCell ref="DA42:DC42"/>
    <mergeCell ref="CX43:CZ43"/>
    <mergeCell ref="DA43:DC43"/>
    <mergeCell ref="CB31:CD31"/>
    <mergeCell ref="CE31:CG31"/>
    <mergeCell ref="DD31:DF31"/>
    <mergeCell ref="CX59:CZ59"/>
    <mergeCell ref="DA59:DC59"/>
    <mergeCell ref="DD59:DF59"/>
    <mergeCell ref="DG59:DI59"/>
    <mergeCell ref="CX60:CZ63"/>
    <mergeCell ref="DA60:DC63"/>
    <mergeCell ref="DD60:DF63"/>
    <mergeCell ref="DG60:DI63"/>
    <mergeCell ref="DD57:DF57"/>
    <mergeCell ref="DG57:DI57"/>
    <mergeCell ref="CX58:CZ58"/>
    <mergeCell ref="DA58:DC58"/>
    <mergeCell ref="DD58:DF58"/>
    <mergeCell ref="DG58:DI58"/>
    <mergeCell ref="CQ54:CT56"/>
    <mergeCell ref="CU54:CU56"/>
    <mergeCell ref="CV54:CV56"/>
    <mergeCell ref="CW54:CW56"/>
    <mergeCell ref="CX57:CZ57"/>
    <mergeCell ref="DA57:DC57"/>
    <mergeCell ref="CX44:CZ44"/>
    <mergeCell ref="DA44:DC44"/>
    <mergeCell ref="CZ48:DG50"/>
    <mergeCell ref="CQ51:CT53"/>
    <mergeCell ref="CU51:CU53"/>
    <mergeCell ref="CV51:CV53"/>
    <mergeCell ref="CW51:CW53"/>
    <mergeCell ref="CZ51:DG53"/>
  </mergeCells>
  <conditionalFormatting sqref="E18 AM18 BX23 CZ23 CZ51 AY63">
    <cfRule type="cellIs" dxfId="192" priority="14" operator="between">
      <formula>0.75*CLV_Limit</formula>
      <formula>0.875*CLV_Limit-1</formula>
    </cfRule>
    <cfRule type="cellIs" dxfId="191" priority="15" operator="between">
      <formula>0.875*CLV_Limit</formula>
      <formula>CLV_Limit-1</formula>
    </cfRule>
    <cfRule type="cellIs" dxfId="190" priority="16" operator="greaterThanOrEqual">
      <formula>CLV_Limit</formula>
    </cfRule>
  </conditionalFormatting>
  <conditionalFormatting sqref="AW10 E21 AM21 AY66">
    <cfRule type="cellIs" dxfId="189" priority="27" operator="between">
      <formula>0.75</formula>
      <formula>0.875</formula>
    </cfRule>
    <cfRule type="cellIs" dxfId="188" priority="28" operator="between">
      <formula>0.875</formula>
      <formula>1</formula>
    </cfRule>
    <cfRule type="cellIs" dxfId="187" priority="29"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8" tint="-0.249977111117893"/>
  </sheetPr>
  <dimension ref="A1:HK157"/>
  <sheetViews>
    <sheetView showGridLines="0" showRowColHeaders="0" zoomScale="80" zoomScaleNormal="80" zoomScalePageLayoutView="85" workbookViewId="0">
      <selection activeCell="BY19" sqref="BY19:CA19"/>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5703125" customWidth="1"/>
    <col min="125" max="219" width="1.7109375" hidden="1" customWidth="1"/>
    <col min="220" max="16384" width="9.140625" hidden="1"/>
  </cols>
  <sheetData>
    <row r="1" spans="2:123" ht="9.9499999999999993" customHeight="1">
      <c r="B1" s="571" t="s">
        <v>112</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737" t="s">
        <v>112</v>
      </c>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9"/>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740"/>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c r="CT2" s="741"/>
      <c r="CU2" s="741"/>
      <c r="CV2" s="741"/>
      <c r="CW2" s="741"/>
      <c r="CX2" s="741"/>
      <c r="CY2" s="741"/>
      <c r="CZ2" s="741"/>
      <c r="DA2" s="741"/>
      <c r="DB2" s="741"/>
      <c r="DC2" s="741"/>
      <c r="DD2" s="741"/>
      <c r="DE2" s="741"/>
      <c r="DF2" s="741"/>
      <c r="DG2" s="741"/>
      <c r="DH2" s="741"/>
      <c r="DI2" s="741"/>
      <c r="DJ2" s="741"/>
      <c r="DK2" s="741"/>
      <c r="DL2" s="741"/>
      <c r="DM2" s="741"/>
      <c r="DN2" s="741"/>
      <c r="DO2" s="741"/>
      <c r="DP2" s="741"/>
      <c r="DQ2" s="741"/>
      <c r="DR2" s="741"/>
      <c r="DS2" s="742"/>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4"/>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4"/>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1032">
        <f xml:space="preserve"> MAX(ROUND(C28/CLV_Limit,2),ROUND(C50/CLV_Limit,2),ROUND(AV67/CLV_Limit,2))</f>
        <v>1.51</v>
      </c>
      <c r="AX10" s="1930"/>
      <c r="AY10" s="1930"/>
      <c r="AZ10" s="1930"/>
      <c r="BA10" s="1930"/>
      <c r="BB10" s="1930"/>
      <c r="BC10" s="1930"/>
      <c r="BD10" s="1930"/>
      <c r="BE10" s="1930"/>
      <c r="BF10" s="1930"/>
      <c r="BG10" s="1930"/>
      <c r="BH10" s="1931"/>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1932"/>
      <c r="AX11" s="1933"/>
      <c r="AY11" s="1933"/>
      <c r="AZ11" s="1933"/>
      <c r="BA11" s="1933"/>
      <c r="BB11" s="1933"/>
      <c r="BC11" s="1933"/>
      <c r="BD11" s="1933"/>
      <c r="BE11" s="1933"/>
      <c r="BF11" s="1933"/>
      <c r="BG11" s="1933"/>
      <c r="BH11" s="1934"/>
      <c r="BI11" s="177"/>
      <c r="BJ11" s="174"/>
      <c r="BK11" s="174"/>
      <c r="BL11" s="1"/>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thickBo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1932"/>
      <c r="AX12" s="1933"/>
      <c r="AY12" s="1933"/>
      <c r="AZ12" s="1933"/>
      <c r="BA12" s="1933"/>
      <c r="BB12" s="1933"/>
      <c r="BC12" s="1933"/>
      <c r="BD12" s="1933"/>
      <c r="BE12" s="1933"/>
      <c r="BF12" s="1933"/>
      <c r="BG12" s="1933"/>
      <c r="BH12" s="1934"/>
      <c r="BI12" s="177"/>
      <c r="BJ12" s="174"/>
      <c r="BK12" s="174"/>
      <c r="BL12" s="1"/>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1935"/>
      <c r="AX13" s="1936"/>
      <c r="AY13" s="1936"/>
      <c r="AZ13" s="1936"/>
      <c r="BA13" s="1936"/>
      <c r="BB13" s="1936"/>
      <c r="BC13" s="1936"/>
      <c r="BD13" s="1936"/>
      <c r="BE13" s="1936"/>
      <c r="BF13" s="1936"/>
      <c r="BG13" s="1936"/>
      <c r="BH13" s="1937"/>
      <c r="BI13" s="177"/>
      <c r="BJ13" s="174"/>
      <c r="BK13" s="174"/>
      <c r="BL13" s="17"/>
      <c r="BM13" s="6"/>
      <c r="BN13" s="6"/>
      <c r="BO13" s="6"/>
      <c r="BP13" s="18"/>
      <c r="BQ13" s="18"/>
      <c r="BR13" s="174"/>
      <c r="BS13" s="174"/>
      <c r="BT13" s="174"/>
      <c r="BU13" s="174"/>
      <c r="BV13" s="763"/>
      <c r="BW13" s="764"/>
      <c r="BX13" s="765"/>
      <c r="BY13" s="769"/>
      <c r="BZ13" s="764"/>
      <c r="CA13" s="765"/>
      <c r="CB13" s="769"/>
      <c r="CC13" s="764"/>
      <c r="CD13" s="765"/>
      <c r="CE13" s="769"/>
      <c r="CF13" s="764"/>
      <c r="CG13" s="771"/>
      <c r="CH13" s="174"/>
      <c r="CI13" s="174"/>
      <c r="CJ13" s="174"/>
      <c r="CK13" s="174"/>
      <c r="CL13" s="174"/>
      <c r="CM13" s="174"/>
      <c r="CN13" s="174"/>
      <c r="CO13" s="174"/>
      <c r="CP13" s="174"/>
      <c r="CQ13" s="174"/>
      <c r="CR13" s="174"/>
      <c r="CS13" s="174"/>
      <c r="CT13" s="6"/>
      <c r="CU13" s="6"/>
      <c r="CV13" s="6"/>
      <c r="CW13" s="6"/>
      <c r="CX13" s="18"/>
      <c r="CY13" s="18"/>
      <c r="CZ13" s="24"/>
      <c r="DA13" s="18"/>
      <c r="DB13" s="4"/>
      <c r="DC13" s="174"/>
      <c r="DD13" s="174"/>
      <c r="DE13" s="174"/>
      <c r="DF13" s="174"/>
      <c r="DG13" s="174"/>
      <c r="DH13" s="174"/>
      <c r="DI13" s="174"/>
      <c r="DJ13" s="174"/>
      <c r="DK13" s="174"/>
      <c r="DL13" s="19"/>
      <c r="DM13" s="19"/>
      <c r="DN13" s="19"/>
      <c r="DO13" s="19"/>
      <c r="DP13" s="6"/>
      <c r="DQ13" s="6"/>
      <c r="DR13" s="6"/>
      <c r="DS13" s="20"/>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7"/>
      <c r="BM14" s="6"/>
      <c r="BN14" s="6"/>
      <c r="BO14" s="6"/>
      <c r="BP14" s="18"/>
      <c r="BQ14" s="18"/>
      <c r="BR14" s="174"/>
      <c r="BS14" s="174"/>
      <c r="BT14" s="174"/>
      <c r="BU14" s="174"/>
      <c r="BV14" s="766"/>
      <c r="BW14" s="767"/>
      <c r="BX14" s="768"/>
      <c r="BY14" s="770"/>
      <c r="BZ14" s="767"/>
      <c r="CA14" s="768"/>
      <c r="CB14" s="770"/>
      <c r="CC14" s="767"/>
      <c r="CD14" s="768"/>
      <c r="CE14" s="770"/>
      <c r="CF14" s="767"/>
      <c r="CG14" s="772"/>
      <c r="CH14" s="174"/>
      <c r="CI14" s="174"/>
      <c r="CJ14" s="174"/>
      <c r="CK14" s="174"/>
      <c r="CL14" s="174"/>
      <c r="CM14" s="174"/>
      <c r="CN14" s="174"/>
      <c r="CO14" s="174"/>
      <c r="CP14" s="174"/>
      <c r="CQ14" s="174"/>
      <c r="CR14" s="174"/>
      <c r="CS14" s="174"/>
      <c r="CT14" s="174"/>
      <c r="CU14" s="174"/>
      <c r="CV14" s="174"/>
      <c r="CW14" s="174"/>
      <c r="CX14" s="174"/>
      <c r="CY14" s="174"/>
      <c r="CZ14" s="174"/>
      <c r="DA14" s="18"/>
      <c r="DB14" s="4"/>
      <c r="DC14" s="174"/>
      <c r="DD14" s="174"/>
      <c r="DE14" s="174"/>
      <c r="DF14" s="174"/>
      <c r="DG14" s="174"/>
      <c r="DH14" s="174"/>
      <c r="DI14" s="174"/>
      <c r="DJ14" s="174"/>
      <c r="DK14" s="174"/>
      <c r="DL14" s="19"/>
      <c r="DM14" s="19"/>
      <c r="DN14" s="19"/>
      <c r="DO14" s="19"/>
      <c r="DP14" s="6"/>
      <c r="DQ14" s="6"/>
      <c r="DR14" s="6"/>
      <c r="DS14" s="20"/>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7"/>
      <c r="BM15" s="6"/>
      <c r="BN15" s="6"/>
      <c r="BO15" s="6"/>
      <c r="BP15" s="18"/>
      <c r="BQ15" s="18"/>
      <c r="BR15" s="174"/>
      <c r="BS15" s="174"/>
      <c r="BT15" s="174"/>
      <c r="BU15" s="174"/>
      <c r="BV15" s="766"/>
      <c r="BW15" s="767"/>
      <c r="BX15" s="768"/>
      <c r="BY15" s="770"/>
      <c r="BZ15" s="767"/>
      <c r="CA15" s="768"/>
      <c r="CB15" s="770"/>
      <c r="CC15" s="767"/>
      <c r="CD15" s="768"/>
      <c r="CE15" s="770"/>
      <c r="CF15" s="767"/>
      <c r="CG15" s="772"/>
      <c r="CH15" s="174"/>
      <c r="CI15" s="174"/>
      <c r="CJ15" s="174"/>
      <c r="CK15" s="174"/>
      <c r="CL15" s="174"/>
      <c r="CM15" s="174"/>
      <c r="CN15" s="174"/>
      <c r="CO15" s="174"/>
      <c r="CP15" s="174"/>
      <c r="CQ15" s="174"/>
      <c r="CR15" s="174"/>
      <c r="CS15" s="174"/>
      <c r="CT15" s="174"/>
      <c r="CU15" s="174"/>
      <c r="CV15" s="174"/>
      <c r="CW15" s="174"/>
      <c r="CX15" s="174"/>
      <c r="CY15" s="174"/>
      <c r="CZ15" s="174"/>
      <c r="DA15" s="18"/>
      <c r="DB15" s="4"/>
      <c r="DC15" s="174"/>
      <c r="DD15" s="174"/>
      <c r="DE15" s="174"/>
      <c r="DF15" s="174"/>
      <c r="DG15" s="174"/>
      <c r="DH15" s="174"/>
      <c r="DI15" s="174"/>
      <c r="DJ15" s="174"/>
      <c r="DK15" s="174"/>
      <c r="DL15" s="19"/>
      <c r="DM15" s="19"/>
      <c r="DN15" s="19"/>
      <c r="DO15" s="19"/>
      <c r="DP15" s="6"/>
      <c r="DQ15" s="6"/>
      <c r="DR15" s="6"/>
      <c r="DS15" s="20"/>
    </row>
    <row r="16" spans="2:123" ht="9.9499999999999993" customHeigh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4"/>
      <c r="AE16" s="14"/>
      <c r="AF16" s="14"/>
      <c r="AG16" s="14"/>
      <c r="AH16" s="14"/>
      <c r="AI16" s="14"/>
      <c r="AJ16" s="14"/>
      <c r="AK16" s="14"/>
      <c r="AL16" s="14"/>
      <c r="AM16" s="14"/>
      <c r="AN16" s="14"/>
      <c r="AO16" s="14"/>
      <c r="AP16" s="14"/>
      <c r="AQ16" s="14"/>
      <c r="AR16" s="14"/>
      <c r="AS16" s="14"/>
      <c r="AT16" s="14"/>
      <c r="AU16" s="14"/>
      <c r="AV16" s="14"/>
      <c r="AW16" s="174"/>
      <c r="AX16" s="174"/>
      <c r="AY16" s="174"/>
      <c r="AZ16" s="174"/>
      <c r="BA16" s="174"/>
      <c r="BB16" s="174"/>
      <c r="BC16" s="174"/>
      <c r="BD16" s="174"/>
      <c r="BE16" s="174"/>
      <c r="BF16" s="174"/>
      <c r="BG16" s="14"/>
      <c r="BH16" s="174"/>
      <c r="BI16" s="177"/>
      <c r="BJ16" s="174"/>
      <c r="BK16" s="174"/>
      <c r="BL16" s="17"/>
      <c r="BM16" s="6"/>
      <c r="BN16" s="6"/>
      <c r="BO16" s="6"/>
      <c r="BP16" s="18"/>
      <c r="BQ16" s="18"/>
      <c r="BR16" s="174"/>
      <c r="BS16" s="174"/>
      <c r="BT16" s="174"/>
      <c r="BU16" s="174"/>
      <c r="BV16" s="766"/>
      <c r="BW16" s="767"/>
      <c r="BX16" s="768"/>
      <c r="BY16" s="770"/>
      <c r="BZ16" s="767"/>
      <c r="CA16" s="768"/>
      <c r="CB16" s="770"/>
      <c r="CC16" s="767"/>
      <c r="CD16" s="768"/>
      <c r="CE16" s="770"/>
      <c r="CF16" s="767"/>
      <c r="CG16" s="772"/>
      <c r="CH16" s="174"/>
      <c r="CI16" s="174"/>
      <c r="CJ16" s="174"/>
      <c r="CK16" s="174"/>
      <c r="CL16" s="174"/>
      <c r="CM16" s="174"/>
      <c r="CN16" s="174"/>
      <c r="CO16" s="174"/>
      <c r="CP16" s="174"/>
      <c r="CQ16" s="174"/>
      <c r="CR16" s="174"/>
      <c r="CS16" s="174"/>
      <c r="CT16" s="174"/>
      <c r="CU16" s="174"/>
      <c r="CV16" s="174"/>
      <c r="CW16" s="174"/>
      <c r="CX16" s="174"/>
      <c r="CY16" s="174"/>
      <c r="CZ16" s="174"/>
      <c r="DA16" s="18"/>
      <c r="DB16" s="4"/>
      <c r="DC16" s="174"/>
      <c r="DD16" s="174"/>
      <c r="DE16" s="174"/>
      <c r="DF16" s="174"/>
      <c r="DG16" s="174"/>
      <c r="DH16" s="174"/>
      <c r="DI16" s="174"/>
      <c r="DJ16" s="174"/>
      <c r="DK16" s="174"/>
      <c r="DL16" s="19"/>
      <c r="DM16" s="19"/>
      <c r="DN16" s="19"/>
      <c r="DO16" s="19"/>
      <c r="DP16" s="6"/>
      <c r="DQ16" s="6"/>
      <c r="DR16" s="6"/>
      <c r="DS16" s="20"/>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74"/>
      <c r="AX17" s="174"/>
      <c r="AY17" s="174"/>
      <c r="AZ17" s="174"/>
      <c r="BA17" s="174"/>
      <c r="BB17" s="174"/>
      <c r="BC17" s="174"/>
      <c r="BD17" s="174"/>
      <c r="BE17" s="174"/>
      <c r="BF17" s="174"/>
      <c r="BG17" s="14"/>
      <c r="BH17" s="174"/>
      <c r="BI17" s="177"/>
      <c r="BJ17" s="174"/>
      <c r="BK17" s="174"/>
      <c r="BL17" s="17"/>
      <c r="BM17" s="6"/>
      <c r="BN17" s="6"/>
      <c r="BO17" s="6"/>
      <c r="BP17" s="18"/>
      <c r="BQ17" s="18"/>
      <c r="BR17" s="174"/>
      <c r="BS17" s="174"/>
      <c r="BT17" s="174"/>
      <c r="BU17" s="174"/>
      <c r="BV17" s="773" t="s">
        <v>99</v>
      </c>
      <c r="BW17" s="774"/>
      <c r="BX17" s="775"/>
      <c r="BY17" s="776" t="s">
        <v>99</v>
      </c>
      <c r="BZ17" s="774"/>
      <c r="CA17" s="775"/>
      <c r="CB17" s="776" t="s">
        <v>99</v>
      </c>
      <c r="CC17" s="774"/>
      <c r="CD17" s="775"/>
      <c r="CE17" s="776" t="s">
        <v>99</v>
      </c>
      <c r="CF17" s="774"/>
      <c r="CG17" s="777"/>
      <c r="CH17" s="174"/>
      <c r="CI17" s="174"/>
      <c r="CJ17" s="174"/>
      <c r="CK17" s="174"/>
      <c r="CL17" s="174"/>
      <c r="CM17" s="174"/>
      <c r="CN17" s="174"/>
      <c r="CO17" s="174"/>
      <c r="CP17" s="174"/>
      <c r="CQ17" s="174"/>
      <c r="CR17" s="174"/>
      <c r="CS17" s="174"/>
      <c r="CT17" s="174"/>
      <c r="CU17" s="174"/>
      <c r="CV17" s="174"/>
      <c r="CW17" s="174"/>
      <c r="CX17" s="174"/>
      <c r="CY17" s="174"/>
      <c r="CZ17" s="174"/>
      <c r="DA17" s="18"/>
      <c r="DB17" s="4"/>
      <c r="DC17" s="174"/>
      <c r="DD17" s="174"/>
      <c r="DE17" s="174"/>
      <c r="DF17" s="174"/>
      <c r="DG17" s="174"/>
      <c r="DH17" s="174"/>
      <c r="DI17" s="174"/>
      <c r="DJ17" s="174"/>
      <c r="DK17" s="174"/>
      <c r="DL17" s="19"/>
      <c r="DM17" s="19"/>
      <c r="DN17" s="19"/>
      <c r="DO17" s="19"/>
      <c r="DP17" s="6"/>
      <c r="DQ17" s="6"/>
      <c r="DR17" s="6"/>
      <c r="DS17" s="20"/>
    </row>
    <row r="18" spans="2:123" ht="9.9499999999999993" customHeigh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74"/>
      <c r="AX18" s="174"/>
      <c r="AY18" s="174"/>
      <c r="AZ18" s="174"/>
      <c r="BA18" s="174"/>
      <c r="BB18" s="174"/>
      <c r="BC18" s="174"/>
      <c r="BD18" s="174"/>
      <c r="BE18" s="174"/>
      <c r="BF18" s="174"/>
      <c r="BG18" s="14"/>
      <c r="BH18" s="174"/>
      <c r="BI18" s="177"/>
      <c r="BJ18" s="174"/>
      <c r="BK18" s="174"/>
      <c r="BL18" s="17"/>
      <c r="BM18" s="6"/>
      <c r="BN18" s="6"/>
      <c r="BO18" s="6"/>
      <c r="BP18" s="18"/>
      <c r="BQ18" s="18"/>
      <c r="BR18" s="174"/>
      <c r="BS18" s="174"/>
      <c r="BT18" s="174"/>
      <c r="BU18" s="174"/>
      <c r="BV18" s="778">
        <f>SBR_Master</f>
        <v>0</v>
      </c>
      <c r="BW18" s="779"/>
      <c r="BX18" s="780"/>
      <c r="BY18" s="781">
        <f>SBT_Master</f>
        <v>1447</v>
      </c>
      <c r="BZ18" s="779"/>
      <c r="CA18" s="780"/>
      <c r="CB18" s="781">
        <f>SBL_Master</f>
        <v>607</v>
      </c>
      <c r="CC18" s="779"/>
      <c r="CD18" s="780"/>
      <c r="CE18" s="781">
        <f>SBU_Master</f>
        <v>0</v>
      </c>
      <c r="CF18" s="779"/>
      <c r="CG18" s="782"/>
      <c r="CH18" s="174"/>
      <c r="CI18" s="174"/>
      <c r="CJ18" s="174"/>
      <c r="CK18" s="174"/>
      <c r="CL18" s="174"/>
      <c r="CM18" s="174"/>
      <c r="CN18" s="174"/>
      <c r="CO18" s="174"/>
      <c r="CP18" s="174"/>
      <c r="CQ18" s="174"/>
      <c r="CR18" s="174"/>
      <c r="CS18" s="174"/>
      <c r="CT18" s="174"/>
      <c r="CU18" s="174"/>
      <c r="CV18" s="174"/>
      <c r="CW18" s="174"/>
      <c r="CX18" s="174"/>
      <c r="CY18" s="174"/>
      <c r="CZ18" s="174"/>
      <c r="DA18" s="18"/>
      <c r="DB18" s="4"/>
      <c r="DC18" s="174"/>
      <c r="DD18" s="174"/>
      <c r="DE18" s="174"/>
      <c r="DF18" s="174"/>
      <c r="DG18" s="174"/>
      <c r="DH18" s="174"/>
      <c r="DI18" s="174"/>
      <c r="DJ18" s="174"/>
      <c r="DK18" s="174"/>
      <c r="DL18" s="19"/>
      <c r="DM18" s="19"/>
      <c r="DN18" s="19"/>
      <c r="DO18" s="19"/>
      <c r="DP18" s="6"/>
      <c r="DQ18" s="6"/>
      <c r="DR18" s="6"/>
      <c r="DS18" s="20"/>
    </row>
    <row r="19" spans="2:123" ht="9.9499999999999993" customHeight="1" thickBo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4"/>
      <c r="AJ19" s="14"/>
      <c r="AK19" s="14"/>
      <c r="AL19" s="14"/>
      <c r="AM19" s="14"/>
      <c r="AN19" s="14"/>
      <c r="AO19" s="14"/>
      <c r="AP19" s="14"/>
      <c r="AQ19" s="14"/>
      <c r="AR19" s="14"/>
      <c r="AS19" s="14"/>
      <c r="AT19" s="14"/>
      <c r="AU19" s="14"/>
      <c r="AV19" s="14"/>
      <c r="AW19" s="174"/>
      <c r="AX19" s="174"/>
      <c r="AY19" s="174"/>
      <c r="AZ19" s="174"/>
      <c r="BA19" s="174"/>
      <c r="BB19" s="174"/>
      <c r="BC19" s="174"/>
      <c r="BD19" s="174"/>
      <c r="BE19" s="174"/>
      <c r="BF19" s="174"/>
      <c r="BG19" s="14"/>
      <c r="BH19" s="174"/>
      <c r="BI19" s="177"/>
      <c r="BJ19" s="174"/>
      <c r="BK19" s="174"/>
      <c r="BL19" s="17"/>
      <c r="BM19" s="6"/>
      <c r="BN19" s="6"/>
      <c r="BO19" s="6"/>
      <c r="BP19" s="18"/>
      <c r="BQ19" s="18"/>
      <c r="BR19" s="174"/>
      <c r="BS19" s="174"/>
      <c r="BT19" s="174"/>
      <c r="BU19" s="174"/>
      <c r="BV19" s="1042"/>
      <c r="BW19" s="1010"/>
      <c r="BX19" s="1010"/>
      <c r="BY19" s="929">
        <v>2</v>
      </c>
      <c r="BZ19" s="929"/>
      <c r="CA19" s="929"/>
      <c r="CB19" s="929">
        <v>1</v>
      </c>
      <c r="CC19" s="929"/>
      <c r="CD19" s="929"/>
      <c r="CE19" s="1010"/>
      <c r="CF19" s="1010"/>
      <c r="CG19" s="1011"/>
      <c r="CH19" s="174"/>
      <c r="CI19" s="174"/>
      <c r="CJ19" s="174"/>
      <c r="CK19" s="174"/>
      <c r="CL19" s="174"/>
      <c r="CM19" s="174"/>
      <c r="CN19" s="174"/>
      <c r="CO19" s="174"/>
      <c r="CP19" s="174"/>
      <c r="CQ19" s="174"/>
      <c r="CR19" s="174"/>
      <c r="CS19" s="174"/>
      <c r="CT19" s="174"/>
      <c r="CU19" s="174"/>
      <c r="CV19" s="174"/>
      <c r="CW19" s="174"/>
      <c r="CX19" s="174"/>
      <c r="CY19" s="174"/>
      <c r="CZ19" s="174"/>
      <c r="DA19" s="18"/>
      <c r="DB19" s="4"/>
      <c r="DC19" s="4"/>
      <c r="DD19" s="4"/>
      <c r="DE19" s="174"/>
      <c r="DF19" s="174"/>
      <c r="DG19" s="174"/>
      <c r="DH19" s="174"/>
      <c r="DI19" s="174"/>
      <c r="DJ19" s="174"/>
      <c r="DK19" s="174"/>
      <c r="DL19" s="174"/>
      <c r="DM19" s="19"/>
      <c r="DN19" s="19"/>
      <c r="DO19" s="19"/>
      <c r="DP19" s="6"/>
      <c r="DQ19" s="6"/>
      <c r="DR19" s="6"/>
      <c r="DS19" s="20"/>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4"/>
      <c r="AJ20" s="14"/>
      <c r="AK20" s="14"/>
      <c r="AL20" s="14"/>
      <c r="AM20" s="14"/>
      <c r="AN20" s="14"/>
      <c r="AO20" s="14"/>
      <c r="AP20" s="14"/>
      <c r="AQ20" s="14"/>
      <c r="AR20" s="14"/>
      <c r="AS20" s="14"/>
      <c r="AT20" s="14"/>
      <c r="AU20" s="14"/>
      <c r="AV20" s="14"/>
      <c r="AW20" s="174"/>
      <c r="AX20" s="174"/>
      <c r="AY20" s="174"/>
      <c r="AZ20" s="174"/>
      <c r="BA20" s="174"/>
      <c r="BB20" s="174"/>
      <c r="BC20" s="174"/>
      <c r="BD20" s="174"/>
      <c r="BE20" s="174"/>
      <c r="BF20" s="174"/>
      <c r="BG20" s="14"/>
      <c r="BH20" s="174"/>
      <c r="BI20" s="177"/>
      <c r="BJ20" s="174"/>
      <c r="BK20" s="174"/>
      <c r="BL20" s="17"/>
      <c r="BM20" s="6"/>
      <c r="BN20" s="6"/>
      <c r="BO20" s="6"/>
      <c r="BP20" s="18"/>
      <c r="BQ20" s="18"/>
      <c r="BR20" s="174"/>
      <c r="BS20" s="174"/>
      <c r="BT20" s="174"/>
      <c r="BU20" s="174"/>
      <c r="BV20" s="56"/>
      <c r="BW20" s="175"/>
      <c r="BX20" s="175"/>
      <c r="BY20" s="175"/>
      <c r="BZ20" s="175"/>
      <c r="CA20" s="175"/>
      <c r="CB20" s="175"/>
      <c r="CC20" s="175"/>
      <c r="CD20" s="175"/>
      <c r="CE20" s="175"/>
      <c r="CF20" s="175"/>
      <c r="CG20" s="176"/>
      <c r="CH20" s="174"/>
      <c r="CI20" s="174"/>
      <c r="CJ20" s="174"/>
      <c r="CK20" s="174"/>
      <c r="CL20" s="174"/>
      <c r="CM20" s="174"/>
      <c r="CN20" s="174"/>
      <c r="CO20" s="174"/>
      <c r="CP20" s="174"/>
      <c r="CQ20" s="174"/>
      <c r="CR20" s="174"/>
      <c r="CS20" s="174"/>
      <c r="CT20" s="174"/>
      <c r="CU20" s="174"/>
      <c r="CV20" s="174"/>
      <c r="CW20" s="174"/>
      <c r="CX20" s="174"/>
      <c r="CY20" s="174"/>
      <c r="CZ20" s="174"/>
      <c r="DA20" s="18"/>
      <c r="DB20" s="4"/>
      <c r="DC20" s="174"/>
      <c r="DD20" s="174"/>
      <c r="DE20" s="174"/>
      <c r="DF20" s="174"/>
      <c r="DG20" s="174"/>
      <c r="DH20" s="174"/>
      <c r="DI20" s="174"/>
      <c r="DJ20" s="174"/>
      <c r="DK20" s="174"/>
      <c r="DL20" s="174"/>
      <c r="DM20" s="19"/>
      <c r="DN20" s="19"/>
      <c r="DO20" s="19"/>
      <c r="DP20" s="6"/>
      <c r="DQ20" s="6"/>
      <c r="DR20" s="6"/>
      <c r="DS20" s="20"/>
    </row>
    <row r="21" spans="2:123" ht="9.9499999999999993" customHeigh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4"/>
      <c r="AJ21" s="14"/>
      <c r="AK21" s="14"/>
      <c r="AL21" s="14"/>
      <c r="AM21" s="14"/>
      <c r="AN21" s="14"/>
      <c r="AO21" s="14"/>
      <c r="AP21" s="14"/>
      <c r="AQ21" s="14"/>
      <c r="AR21" s="14"/>
      <c r="AS21" s="14"/>
      <c r="AT21" s="14"/>
      <c r="AU21" s="14"/>
      <c r="AV21" s="14"/>
      <c r="AW21" s="174"/>
      <c r="AX21" s="174"/>
      <c r="AY21" s="174"/>
      <c r="AZ21" s="174"/>
      <c r="BA21" s="174"/>
      <c r="BB21" s="174"/>
      <c r="BC21" s="174"/>
      <c r="BD21" s="174"/>
      <c r="BE21" s="174"/>
      <c r="BF21" s="174"/>
      <c r="BG21" s="14"/>
      <c r="BH21" s="174"/>
      <c r="BI21" s="177"/>
      <c r="BJ21" s="174"/>
      <c r="BK21" s="174"/>
      <c r="BL21" s="17"/>
      <c r="BM21" s="6"/>
      <c r="BN21" s="6"/>
      <c r="BO21" s="6"/>
      <c r="BP21" s="18"/>
      <c r="BQ21" s="18"/>
      <c r="BR21" s="174"/>
      <c r="BS21" s="174"/>
      <c r="BT21" s="174"/>
      <c r="BU21" s="174"/>
      <c r="BV21" s="58"/>
      <c r="BW21" s="109"/>
      <c r="BX21" s="109"/>
      <c r="BY21" s="109"/>
      <c r="BZ21" s="109"/>
      <c r="CA21" s="109"/>
      <c r="CB21" s="109"/>
      <c r="CC21" s="109"/>
      <c r="CD21" s="109"/>
      <c r="CE21" s="109"/>
      <c r="CF21" s="109"/>
      <c r="CG21" s="60"/>
      <c r="CH21" s="174"/>
      <c r="CI21" s="174"/>
      <c r="CJ21" s="174"/>
      <c r="CK21" s="174"/>
      <c r="CL21" s="174"/>
      <c r="CM21" s="174"/>
      <c r="CN21" s="174"/>
      <c r="CO21" s="174"/>
      <c r="CP21" s="174"/>
      <c r="CQ21" s="174"/>
      <c r="CR21" s="174"/>
      <c r="CS21" s="174"/>
      <c r="CT21" s="174"/>
      <c r="CU21" s="174"/>
      <c r="CV21" s="174"/>
      <c r="CW21" s="6"/>
      <c r="CX21" s="18"/>
      <c r="CY21" s="18"/>
      <c r="CZ21" s="24"/>
      <c r="DA21" s="18"/>
      <c r="DB21" s="4"/>
      <c r="DC21" s="174"/>
      <c r="DD21" s="174"/>
      <c r="DE21" s="174"/>
      <c r="DF21" s="174"/>
      <c r="DG21" s="174"/>
      <c r="DH21" s="174"/>
      <c r="DI21" s="174"/>
      <c r="DJ21" s="174"/>
      <c r="DK21" s="174"/>
      <c r="DL21" s="174"/>
      <c r="DM21" s="19"/>
      <c r="DN21" s="19"/>
      <c r="DO21" s="19"/>
      <c r="DP21" s="6"/>
      <c r="DQ21" s="6"/>
      <c r="DR21" s="6"/>
      <c r="DS21" s="20"/>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4"/>
      <c r="AJ22" s="14"/>
      <c r="AK22" s="14"/>
      <c r="AL22" s="14"/>
      <c r="AM22" s="14"/>
      <c r="AN22" s="14"/>
      <c r="AO22" s="14"/>
      <c r="AP22" s="14"/>
      <c r="AQ22" s="14"/>
      <c r="AR22" s="14"/>
      <c r="AS22" s="14"/>
      <c r="AT22" s="14"/>
      <c r="AU22" s="14"/>
      <c r="AV22" s="14"/>
      <c r="AW22" s="174"/>
      <c r="AX22" s="174"/>
      <c r="AY22" s="174"/>
      <c r="AZ22" s="174"/>
      <c r="BA22" s="174"/>
      <c r="BB22" s="174"/>
      <c r="BC22" s="174"/>
      <c r="BD22" s="174"/>
      <c r="BE22" s="174"/>
      <c r="BF22" s="174"/>
      <c r="BG22" s="14"/>
      <c r="BH22" s="174"/>
      <c r="BI22" s="177"/>
      <c r="BJ22" s="174"/>
      <c r="BK22" s="174"/>
      <c r="BL22" s="17"/>
      <c r="BM22" s="6"/>
      <c r="BN22" s="6"/>
      <c r="BO22" s="6"/>
      <c r="BP22" s="18"/>
      <c r="BQ22" s="18"/>
      <c r="BR22" s="174"/>
      <c r="BS22" s="174"/>
      <c r="BT22" s="174"/>
      <c r="BU22" s="174"/>
      <c r="BV22" s="58"/>
      <c r="BW22" s="109"/>
      <c r="BX22" s="109"/>
      <c r="BY22" s="109"/>
      <c r="BZ22" s="109"/>
      <c r="CA22" s="109"/>
      <c r="CB22" s="109"/>
      <c r="CC22" s="109"/>
      <c r="CD22" s="109"/>
      <c r="CE22" s="109"/>
      <c r="CF22" s="109"/>
      <c r="CG22" s="60"/>
      <c r="CH22" s="174"/>
      <c r="CI22" s="174"/>
      <c r="CJ22" s="174"/>
      <c r="CK22" s="174"/>
      <c r="CL22" s="174"/>
      <c r="CM22" s="174"/>
      <c r="CN22" s="174"/>
      <c r="CO22" s="174"/>
      <c r="CP22" s="174"/>
      <c r="CQ22" s="174"/>
      <c r="CR22" s="174"/>
      <c r="CS22" s="174"/>
      <c r="CT22" s="174"/>
      <c r="CU22" s="174"/>
      <c r="CV22" s="174"/>
      <c r="CW22" s="6"/>
      <c r="CX22" s="18"/>
      <c r="CY22" s="18"/>
      <c r="CZ22" s="24"/>
      <c r="DA22" s="18"/>
      <c r="DB22" s="4"/>
      <c r="DC22" s="174"/>
      <c r="DD22" s="174"/>
      <c r="DE22" s="174"/>
      <c r="DF22" s="174"/>
      <c r="DG22" s="174"/>
      <c r="DH22" s="174"/>
      <c r="DI22" s="174"/>
      <c r="DJ22" s="174"/>
      <c r="DK22" s="174"/>
      <c r="DL22" s="174"/>
      <c r="DM22" s="19"/>
      <c r="DN22" s="19"/>
      <c r="DO22" s="19"/>
      <c r="DP22" s="6"/>
      <c r="DQ22" s="6"/>
      <c r="DR22" s="6"/>
      <c r="DS22" s="20"/>
    </row>
    <row r="23" spans="2:123" ht="9.9499999999999993" customHeigh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7"/>
      <c r="BM23" s="6"/>
      <c r="BN23" s="6"/>
      <c r="BO23" s="6"/>
      <c r="BP23" s="18"/>
      <c r="BQ23" s="18"/>
      <c r="BR23" s="174"/>
      <c r="BS23" s="174"/>
      <c r="BT23" s="174"/>
      <c r="BU23" s="174"/>
      <c r="BV23" s="58"/>
      <c r="BW23" s="109"/>
      <c r="BX23" s="763"/>
      <c r="BY23" s="764"/>
      <c r="BZ23" s="764"/>
      <c r="CA23" s="764"/>
      <c r="CB23" s="764"/>
      <c r="CC23" s="764"/>
      <c r="CD23" s="764"/>
      <c r="CE23" s="771"/>
      <c r="CF23" s="109"/>
      <c r="CG23" s="60"/>
      <c r="CH23" s="174"/>
      <c r="CI23" s="174"/>
      <c r="CJ23" s="174"/>
      <c r="CK23" s="174"/>
      <c r="CL23" s="174"/>
      <c r="CM23" s="174"/>
      <c r="CN23" s="174"/>
      <c r="CO23" s="174"/>
      <c r="CP23" s="174"/>
      <c r="CQ23" s="174"/>
      <c r="CR23" s="174"/>
      <c r="CS23" s="174"/>
      <c r="CT23" s="174"/>
      <c r="CU23" s="174"/>
      <c r="CV23" s="174"/>
      <c r="CW23" s="6"/>
      <c r="CX23" s="18"/>
      <c r="CY23" s="18"/>
      <c r="CZ23" s="24"/>
      <c r="DA23" s="18"/>
      <c r="DB23" s="4"/>
      <c r="DC23" s="174"/>
      <c r="DD23" s="174"/>
      <c r="DE23" s="174"/>
      <c r="DF23" s="174"/>
      <c r="DG23" s="174"/>
      <c r="DH23" s="174"/>
      <c r="DI23" s="174"/>
      <c r="DJ23" s="174"/>
      <c r="DK23" s="174"/>
      <c r="DL23" s="174"/>
      <c r="DM23" s="19"/>
      <c r="DN23" s="19"/>
      <c r="DO23" s="19"/>
      <c r="DP23" s="6"/>
      <c r="DQ23" s="6"/>
      <c r="DR23" s="6"/>
      <c r="DS23" s="20"/>
    </row>
    <row r="24" spans="2:123" ht="9.9499999999999993" customHeight="1">
      <c r="B24" s="1"/>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4"/>
      <c r="AJ24" s="14"/>
      <c r="AK24" s="14"/>
      <c r="AL24" s="14"/>
      <c r="AM24" s="14"/>
      <c r="AN24" s="14"/>
      <c r="AO24" s="14"/>
      <c r="AP24" s="14"/>
      <c r="AQ24" s="14"/>
      <c r="AR24" s="14"/>
      <c r="AS24" s="14"/>
      <c r="AT24" s="14"/>
      <c r="AU24" s="14"/>
      <c r="AV24" s="14"/>
      <c r="AW24" s="174"/>
      <c r="AX24" s="174"/>
      <c r="AY24" s="174"/>
      <c r="AZ24" s="174"/>
      <c r="BA24" s="174"/>
      <c r="BB24" s="174"/>
      <c r="BC24" s="174"/>
      <c r="BD24" s="174"/>
      <c r="BE24" s="174"/>
      <c r="BF24" s="174"/>
      <c r="BG24" s="14"/>
      <c r="BH24" s="174"/>
      <c r="BI24" s="177"/>
      <c r="BJ24" s="174"/>
      <c r="BK24" s="174"/>
      <c r="BL24" s="17"/>
      <c r="BM24" s="6"/>
      <c r="BN24" s="6"/>
      <c r="BO24" s="6"/>
      <c r="BP24" s="18"/>
      <c r="BQ24" s="18"/>
      <c r="BR24" s="174"/>
      <c r="BS24" s="174"/>
      <c r="BT24" s="174"/>
      <c r="BU24" s="174"/>
      <c r="BV24" s="58"/>
      <c r="BW24" s="109"/>
      <c r="BX24" s="766"/>
      <c r="BY24" s="767"/>
      <c r="BZ24" s="767"/>
      <c r="CA24" s="767"/>
      <c r="CB24" s="767"/>
      <c r="CC24" s="767"/>
      <c r="CD24" s="767"/>
      <c r="CE24" s="772"/>
      <c r="CF24" s="109"/>
      <c r="CG24" s="60"/>
      <c r="CH24" s="174"/>
      <c r="CI24" s="174"/>
      <c r="CJ24" s="174"/>
      <c r="CK24" s="174"/>
      <c r="CL24" s="174"/>
      <c r="CM24" s="174"/>
      <c r="CN24" s="174"/>
      <c r="CO24" s="174"/>
      <c r="CP24" s="174"/>
      <c r="CQ24" s="174"/>
      <c r="CR24" s="174"/>
      <c r="CS24" s="174"/>
      <c r="CT24" s="6"/>
      <c r="CU24" s="6"/>
      <c r="CV24" s="6"/>
      <c r="CW24" s="6"/>
      <c r="CX24" s="18"/>
      <c r="CY24" s="18"/>
      <c r="CZ24" s="24"/>
      <c r="DA24" s="18"/>
      <c r="DB24" s="4"/>
      <c r="DC24" s="174"/>
      <c r="DD24" s="174"/>
      <c r="DE24" s="174"/>
      <c r="DF24" s="174"/>
      <c r="DG24" s="174"/>
      <c r="DH24" s="174"/>
      <c r="DI24" s="174"/>
      <c r="DJ24" s="174"/>
      <c r="DK24" s="174"/>
      <c r="DL24" s="174"/>
      <c r="DM24" s="19"/>
      <c r="DN24" s="19"/>
      <c r="DO24" s="19"/>
      <c r="DP24" s="6"/>
      <c r="DQ24" s="6"/>
      <c r="DR24" s="6"/>
      <c r="DS24" s="20"/>
    </row>
    <row r="25" spans="2:123" ht="9.9499999999999993" customHeight="1" thickBot="1">
      <c r="B25" s="1"/>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4"/>
      <c r="AE25" s="14"/>
      <c r="AF25" s="14"/>
      <c r="AG25" s="14"/>
      <c r="AH25" s="14"/>
      <c r="AI25" s="14"/>
      <c r="AJ25" s="14"/>
      <c r="AK25" s="14"/>
      <c r="AL25" s="14"/>
      <c r="AM25" s="14"/>
      <c r="AN25" s="14"/>
      <c r="AO25" s="14"/>
      <c r="AP25" s="14"/>
      <c r="AQ25" s="14"/>
      <c r="AR25" s="14"/>
      <c r="AS25" s="14"/>
      <c r="AT25" s="14"/>
      <c r="AU25" s="14"/>
      <c r="AV25" s="14"/>
      <c r="AW25" s="174"/>
      <c r="AX25" s="174"/>
      <c r="AY25" s="174"/>
      <c r="AZ25" s="174"/>
      <c r="BA25" s="174"/>
      <c r="BB25" s="174"/>
      <c r="BC25" s="174"/>
      <c r="BD25" s="174"/>
      <c r="BE25" s="174"/>
      <c r="BF25" s="174"/>
      <c r="BG25" s="14"/>
      <c r="BH25" s="174"/>
      <c r="BI25" s="177"/>
      <c r="BJ25" s="174"/>
      <c r="BK25" s="174"/>
      <c r="BL25" s="17"/>
      <c r="BM25" s="6"/>
      <c r="BN25" s="6"/>
      <c r="BO25" s="6"/>
      <c r="BP25" s="18"/>
      <c r="BQ25" s="18"/>
      <c r="BR25" s="174"/>
      <c r="BS25" s="174"/>
      <c r="BT25" s="174"/>
      <c r="BU25" s="174"/>
      <c r="BV25" s="58"/>
      <c r="BW25" s="109"/>
      <c r="BX25" s="766"/>
      <c r="BY25" s="767"/>
      <c r="BZ25" s="767"/>
      <c r="CA25" s="767"/>
      <c r="CB25" s="767"/>
      <c r="CC25" s="767"/>
      <c r="CD25" s="767"/>
      <c r="CE25" s="772"/>
      <c r="CF25" s="109"/>
      <c r="CG25" s="60"/>
      <c r="CH25" s="174"/>
      <c r="CI25" s="174"/>
      <c r="CJ25" s="174"/>
      <c r="CK25" s="174"/>
      <c r="CL25" s="174"/>
      <c r="CM25" s="174"/>
      <c r="CN25" s="174"/>
      <c r="CO25" s="174"/>
      <c r="CP25" s="174"/>
      <c r="CQ25" s="174"/>
      <c r="CR25" s="174"/>
      <c r="CS25" s="174"/>
      <c r="CT25" s="6"/>
      <c r="CU25" s="6"/>
      <c r="CV25" s="6"/>
      <c r="CW25" s="6"/>
      <c r="CX25" s="18"/>
      <c r="CY25" s="18"/>
      <c r="CZ25" s="24"/>
      <c r="DA25" s="18"/>
      <c r="DB25" s="4"/>
      <c r="DC25" s="174"/>
      <c r="DD25" s="174"/>
      <c r="DE25" s="174"/>
      <c r="DF25" s="174"/>
      <c r="DG25" s="174"/>
      <c r="DH25" s="174"/>
      <c r="DI25" s="174"/>
      <c r="DJ25" s="174"/>
      <c r="DK25" s="15"/>
      <c r="DL25" s="19"/>
      <c r="DM25" s="19"/>
      <c r="DN25" s="19"/>
      <c r="DO25" s="19"/>
      <c r="DP25" s="6"/>
      <c r="DQ25" s="6"/>
      <c r="DR25" s="6"/>
      <c r="DS25" s="20"/>
    </row>
    <row r="26" spans="2:123" ht="9.9499999999999993" customHeight="1">
      <c r="B26" s="1"/>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74"/>
      <c r="AX26" s="174"/>
      <c r="AY26" s="174"/>
      <c r="AZ26" s="174"/>
      <c r="BA26" s="174"/>
      <c r="BB26" s="174"/>
      <c r="BC26" s="174"/>
      <c r="BD26" s="174"/>
      <c r="BE26" s="174"/>
      <c r="BF26" s="174"/>
      <c r="BG26" s="14"/>
      <c r="BH26" s="174"/>
      <c r="BI26" s="177"/>
      <c r="BJ26" s="174"/>
      <c r="BK26" s="174"/>
      <c r="BL26" s="17"/>
      <c r="BM26" s="6"/>
      <c r="BN26" s="6"/>
      <c r="BO26" s="6"/>
      <c r="BP26" s="18"/>
      <c r="BQ26" s="18"/>
      <c r="BR26" s="174"/>
      <c r="BS26" s="174"/>
      <c r="BT26" s="174"/>
      <c r="BU26" s="174"/>
      <c r="BV26" s="58"/>
      <c r="BW26" s="109"/>
      <c r="BX26" s="833">
        <f>MAX(CI29/LTAF/CH29, ROUND(MAX(0,CI26/RTAF/CH26-(CB18+CE18)/LTAF/CB19),0))+ MAX((CB18+CE18)/LTAF/CB19 +MAX(CB33/CB32, ROUND(MAX(0,CE33/RTAF/CE32-CI29/LTAF/CH29),0)),(BY18+BV18 )/BY19 )</f>
        <v>2422.9473684210525</v>
      </c>
      <c r="BY26" s="834"/>
      <c r="BZ26" s="834"/>
      <c r="CA26" s="834"/>
      <c r="CB26" s="834"/>
      <c r="CC26" s="834"/>
      <c r="CD26" s="834"/>
      <c r="CE26" s="835"/>
      <c r="CF26" s="109"/>
      <c r="CG26" s="81"/>
      <c r="CH26" s="910">
        <v>1</v>
      </c>
      <c r="CI26" s="913">
        <f>DK48+BT51</f>
        <v>1524</v>
      </c>
      <c r="CJ26" s="914" t="s">
        <v>99</v>
      </c>
      <c r="CK26" s="789"/>
      <c r="CL26" s="789"/>
      <c r="CM26" s="789"/>
      <c r="CN26" s="812"/>
      <c r="CO26" s="174"/>
      <c r="CP26" s="174"/>
      <c r="CQ26" s="174"/>
      <c r="CR26" s="174"/>
      <c r="CS26" s="174"/>
      <c r="CT26" s="6"/>
      <c r="CU26" s="6"/>
      <c r="CV26" s="6"/>
      <c r="CW26" s="6"/>
      <c r="CX26" s="18"/>
      <c r="CY26" s="18"/>
      <c r="CZ26" s="24"/>
      <c r="DA26" s="18"/>
      <c r="DB26" s="4"/>
      <c r="DC26" s="174"/>
      <c r="DD26" s="174"/>
      <c r="DE26" s="174"/>
      <c r="DF26" s="174"/>
      <c r="DG26" s="174"/>
      <c r="DH26" s="174"/>
      <c r="DI26" s="174"/>
      <c r="DJ26" s="174"/>
      <c r="DK26" s="174"/>
      <c r="DL26" s="19"/>
      <c r="DM26" s="19"/>
      <c r="DN26" s="19"/>
      <c r="DO26" s="19"/>
      <c r="DP26" s="6"/>
      <c r="DQ26" s="6"/>
      <c r="DR26" s="6"/>
      <c r="DS26" s="20"/>
    </row>
    <row r="27" spans="2:123" ht="9.9499999999999993" customHeight="1" thickBot="1">
      <c r="B27" s="1"/>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74"/>
      <c r="AX27" s="174"/>
      <c r="AY27" s="174"/>
      <c r="AZ27" s="174"/>
      <c r="BA27" s="174"/>
      <c r="BB27" s="174"/>
      <c r="BC27" s="174"/>
      <c r="BD27" s="174"/>
      <c r="BE27" s="174"/>
      <c r="BF27" s="174"/>
      <c r="BG27" s="14"/>
      <c r="BH27" s="174"/>
      <c r="BI27" s="177"/>
      <c r="BJ27" s="174"/>
      <c r="BK27" s="174"/>
      <c r="BL27" s="17"/>
      <c r="BM27" s="6"/>
      <c r="BN27" s="6"/>
      <c r="BO27" s="6"/>
      <c r="BP27" s="18"/>
      <c r="BQ27" s="18"/>
      <c r="BR27" s="174"/>
      <c r="BS27" s="174"/>
      <c r="BT27" s="174"/>
      <c r="BU27" s="174"/>
      <c r="BV27" s="58"/>
      <c r="BW27" s="109"/>
      <c r="BX27" s="833"/>
      <c r="BY27" s="834"/>
      <c r="BZ27" s="834"/>
      <c r="CA27" s="834"/>
      <c r="CB27" s="834"/>
      <c r="CC27" s="834"/>
      <c r="CD27" s="834"/>
      <c r="CE27" s="835"/>
      <c r="CF27" s="109"/>
      <c r="CG27" s="81"/>
      <c r="CH27" s="911"/>
      <c r="CI27" s="1005"/>
      <c r="CJ27" s="1007"/>
      <c r="CK27" s="791"/>
      <c r="CL27" s="791"/>
      <c r="CM27" s="791"/>
      <c r="CN27" s="813"/>
      <c r="CO27" s="174"/>
      <c r="CP27" s="174"/>
      <c r="CQ27" s="174"/>
      <c r="CR27" s="174"/>
      <c r="CS27" s="174"/>
      <c r="CT27" s="6"/>
      <c r="CU27" s="6"/>
      <c r="CV27" s="6"/>
      <c r="CW27" s="6"/>
      <c r="CX27" s="18"/>
      <c r="CY27" s="18"/>
      <c r="CZ27" s="24"/>
      <c r="DA27" s="18"/>
      <c r="DB27" s="4"/>
      <c r="DC27" s="174"/>
      <c r="DD27" s="174"/>
      <c r="DE27" s="174"/>
      <c r="DF27" s="174"/>
      <c r="DG27" s="174"/>
      <c r="DH27" s="174"/>
      <c r="DI27" s="174"/>
      <c r="DJ27" s="174"/>
      <c r="DK27" s="174"/>
      <c r="DL27" s="19"/>
      <c r="DM27" s="19"/>
      <c r="DN27" s="19"/>
      <c r="DO27" s="19"/>
      <c r="DP27" s="6"/>
      <c r="DQ27" s="6"/>
      <c r="DR27" s="6"/>
      <c r="DS27" s="20"/>
    </row>
    <row r="28" spans="2:123" ht="9.9499999999999993" customHeight="1" thickBot="1">
      <c r="B28" s="1"/>
      <c r="C28" s="728">
        <f>BX26</f>
        <v>2422.9473684210525</v>
      </c>
      <c r="D28" s="861"/>
      <c r="E28" s="861"/>
      <c r="F28" s="861"/>
      <c r="G28" s="861"/>
      <c r="H28" s="861"/>
      <c r="I28" s="861"/>
      <c r="J28" s="861"/>
      <c r="K28" s="861"/>
      <c r="L28" s="862"/>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4"/>
      <c r="BH28" s="174"/>
      <c r="BI28" s="177"/>
      <c r="BJ28" s="174"/>
      <c r="BK28" s="174"/>
      <c r="BL28" s="17"/>
      <c r="BM28" s="6"/>
      <c r="BN28" s="6"/>
      <c r="BO28" s="6"/>
      <c r="BP28" s="18"/>
      <c r="BQ28" s="18"/>
      <c r="BR28" s="174"/>
      <c r="BS28" s="174"/>
      <c r="BT28" s="174"/>
      <c r="BU28" s="174"/>
      <c r="BV28" s="58"/>
      <c r="BW28" s="109"/>
      <c r="BX28" s="836"/>
      <c r="BY28" s="837"/>
      <c r="BZ28" s="837"/>
      <c r="CA28" s="837"/>
      <c r="CB28" s="837"/>
      <c r="CC28" s="837"/>
      <c r="CD28" s="837"/>
      <c r="CE28" s="838"/>
      <c r="CF28" s="109"/>
      <c r="CG28" s="81"/>
      <c r="CH28" s="912"/>
      <c r="CI28" s="1017"/>
      <c r="CJ28" s="1015"/>
      <c r="CK28" s="793"/>
      <c r="CL28" s="793"/>
      <c r="CM28" s="793"/>
      <c r="CN28" s="814"/>
      <c r="CO28" s="174"/>
      <c r="CP28" s="174"/>
      <c r="CQ28" s="174"/>
      <c r="CR28" s="174"/>
      <c r="CS28" s="174"/>
      <c r="CT28" s="6"/>
      <c r="CU28" s="6"/>
      <c r="CV28" s="6"/>
      <c r="CW28" s="6"/>
      <c r="CX28" s="18"/>
      <c r="CY28" s="18"/>
      <c r="CZ28" s="24"/>
      <c r="DA28" s="18"/>
      <c r="DB28" s="4"/>
      <c r="DC28" s="174"/>
      <c r="DD28" s="174"/>
      <c r="DE28" s="174"/>
      <c r="DF28" s="174"/>
      <c r="DG28" s="174"/>
      <c r="DH28" s="174"/>
      <c r="DI28" s="174"/>
      <c r="DJ28" s="174"/>
      <c r="DK28" s="174"/>
      <c r="DL28" s="19"/>
      <c r="DM28" s="19"/>
      <c r="DN28" s="19"/>
      <c r="DO28" s="19"/>
      <c r="DP28" s="6"/>
      <c r="DQ28" s="6"/>
      <c r="DR28" s="6"/>
      <c r="DS28" s="20"/>
    </row>
    <row r="29" spans="2:123" ht="9.9499999999999993" customHeight="1">
      <c r="B29" s="1"/>
      <c r="C29" s="863"/>
      <c r="D29" s="864"/>
      <c r="E29" s="864"/>
      <c r="F29" s="864"/>
      <c r="G29" s="864"/>
      <c r="H29" s="864"/>
      <c r="I29" s="864"/>
      <c r="J29" s="864"/>
      <c r="K29" s="864"/>
      <c r="L29" s="865"/>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4"/>
      <c r="BH29" s="174"/>
      <c r="BI29" s="177"/>
      <c r="BJ29" s="174"/>
      <c r="BK29" s="174"/>
      <c r="BL29" s="17"/>
      <c r="BM29" s="6"/>
      <c r="BN29" s="6"/>
      <c r="BO29" s="6"/>
      <c r="BP29" s="18"/>
      <c r="BQ29" s="18"/>
      <c r="BR29" s="174"/>
      <c r="BS29" s="174"/>
      <c r="BT29" s="174"/>
      <c r="BU29" s="174"/>
      <c r="BV29" s="58"/>
      <c r="BW29" s="109"/>
      <c r="BX29" s="109"/>
      <c r="BY29" s="109"/>
      <c r="BZ29" s="109"/>
      <c r="CA29" s="109"/>
      <c r="CB29" s="109"/>
      <c r="CC29" s="109"/>
      <c r="CD29" s="109"/>
      <c r="CE29" s="109"/>
      <c r="CF29" s="109"/>
      <c r="CG29" s="81"/>
      <c r="CH29" s="951">
        <v>1</v>
      </c>
      <c r="CI29" s="952">
        <f>DK54+BV61+BT48</f>
        <v>588</v>
      </c>
      <c r="CJ29" s="953" t="s">
        <v>99</v>
      </c>
      <c r="CK29" s="816"/>
      <c r="CL29" s="816"/>
      <c r="CM29" s="816"/>
      <c r="CN29" s="822"/>
      <c r="CO29" s="174"/>
      <c r="CP29" s="174"/>
      <c r="CQ29" s="174"/>
      <c r="CR29" s="174"/>
      <c r="CS29" s="174"/>
      <c r="CT29" s="6"/>
      <c r="CU29" s="6"/>
      <c r="CV29" s="6"/>
      <c r="CW29" s="6"/>
      <c r="CX29" s="18"/>
      <c r="CY29" s="18"/>
      <c r="CZ29" s="24"/>
      <c r="DA29" s="18"/>
      <c r="DB29" s="4"/>
      <c r="DC29" s="174"/>
      <c r="DD29" s="174"/>
      <c r="DE29" s="174"/>
      <c r="DF29" s="174"/>
      <c r="DG29" s="174"/>
      <c r="DH29" s="174"/>
      <c r="DI29" s="174"/>
      <c r="DJ29" s="174"/>
      <c r="DK29" s="174"/>
      <c r="DL29" s="19"/>
      <c r="DM29" s="19"/>
      <c r="DN29" s="19"/>
      <c r="DO29" s="19"/>
      <c r="DP29" s="6"/>
      <c r="DQ29" s="6"/>
      <c r="DR29" s="6"/>
      <c r="DS29" s="20"/>
    </row>
    <row r="30" spans="2:123" ht="9.9499999999999993" customHeight="1" thickBot="1">
      <c r="B30" s="1"/>
      <c r="C30" s="866"/>
      <c r="D30" s="867"/>
      <c r="E30" s="867"/>
      <c r="F30" s="867"/>
      <c r="G30" s="867"/>
      <c r="H30" s="867"/>
      <c r="I30" s="867"/>
      <c r="J30" s="867"/>
      <c r="K30" s="867"/>
      <c r="L30" s="868"/>
      <c r="M30" s="174"/>
      <c r="N30" s="174"/>
      <c r="O30" s="174"/>
      <c r="P30" s="174"/>
      <c r="Q30" s="174"/>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7"/>
      <c r="BM30" s="6"/>
      <c r="BN30" s="6"/>
      <c r="BO30" s="6"/>
      <c r="BP30" s="18"/>
      <c r="BQ30" s="18"/>
      <c r="BR30" s="174"/>
      <c r="BS30" s="174"/>
      <c r="BT30" s="174"/>
      <c r="BU30" s="174"/>
      <c r="BV30" s="58"/>
      <c r="BW30" s="109"/>
      <c r="BX30" s="109"/>
      <c r="BY30" s="109"/>
      <c r="BZ30" s="109"/>
      <c r="CA30" s="109"/>
      <c r="CB30" s="109"/>
      <c r="CC30" s="109"/>
      <c r="CD30" s="109"/>
      <c r="CE30" s="109"/>
      <c r="CF30" s="109"/>
      <c r="CG30" s="81"/>
      <c r="CH30" s="911"/>
      <c r="CI30" s="1005"/>
      <c r="CJ30" s="1007"/>
      <c r="CK30" s="791"/>
      <c r="CL30" s="791"/>
      <c r="CM30" s="791"/>
      <c r="CN30" s="813"/>
      <c r="CO30" s="174"/>
      <c r="CP30" s="174"/>
      <c r="CQ30" s="174"/>
      <c r="CR30" s="174"/>
      <c r="CS30" s="174"/>
      <c r="CT30" s="6"/>
      <c r="CU30" s="6"/>
      <c r="CV30" s="6"/>
      <c r="CW30" s="6"/>
      <c r="CX30" s="18"/>
      <c r="CY30" s="18"/>
      <c r="CZ30" s="24"/>
      <c r="DA30" s="18"/>
      <c r="DB30" s="4"/>
      <c r="DC30" s="174"/>
      <c r="DD30" s="174"/>
      <c r="DE30" s="174"/>
      <c r="DF30" s="174"/>
      <c r="DG30" s="174"/>
      <c r="DH30" s="174"/>
      <c r="DI30" s="174"/>
      <c r="DJ30" s="174"/>
      <c r="DK30" s="174"/>
      <c r="DL30" s="19"/>
      <c r="DM30" s="19"/>
      <c r="DN30" s="19"/>
      <c r="DO30" s="19"/>
      <c r="DP30" s="6"/>
      <c r="DQ30" s="6"/>
      <c r="DR30" s="6"/>
      <c r="DS30" s="20"/>
    </row>
    <row r="31" spans="2:123" ht="9.9499999999999993" customHeight="1" thickBot="1">
      <c r="B31" s="1"/>
      <c r="C31" s="713">
        <f>ROUND(C28/CLV_Limit,2)</f>
        <v>1.51</v>
      </c>
      <c r="D31" s="714"/>
      <c r="E31" s="714"/>
      <c r="F31" s="714"/>
      <c r="G31" s="715"/>
      <c r="H31" s="722" t="s">
        <v>100</v>
      </c>
      <c r="I31" s="722"/>
      <c r="J31" s="722"/>
      <c r="K31" s="722"/>
      <c r="L31" s="723"/>
      <c r="M31" s="174"/>
      <c r="N31" s="174"/>
      <c r="O31" s="174"/>
      <c r="P31" s="174"/>
      <c r="Q31" s="174"/>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174"/>
      <c r="BV31" s="61"/>
      <c r="BW31" s="110"/>
      <c r="BX31" s="110"/>
      <c r="BY31" s="110"/>
      <c r="BZ31" s="110"/>
      <c r="CA31" s="110"/>
      <c r="CB31" s="110"/>
      <c r="CC31" s="110"/>
      <c r="CD31" s="110"/>
      <c r="CE31" s="110"/>
      <c r="CF31" s="110"/>
      <c r="CG31" s="83"/>
      <c r="CH31" s="957"/>
      <c r="CI31" s="1006"/>
      <c r="CJ31" s="1008"/>
      <c r="CK31" s="825"/>
      <c r="CL31" s="825"/>
      <c r="CM31" s="825"/>
      <c r="CN31" s="832"/>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7"/>
    </row>
    <row r="32" spans="2:123" ht="9.9499999999999993" customHeight="1">
      <c r="B32" s="1"/>
      <c r="C32" s="716"/>
      <c r="D32" s="717"/>
      <c r="E32" s="717"/>
      <c r="F32" s="717"/>
      <c r="G32" s="718"/>
      <c r="H32" s="724"/>
      <c r="I32" s="724"/>
      <c r="J32" s="724"/>
      <c r="K32" s="724"/>
      <c r="L32" s="725"/>
      <c r="M32" s="174"/>
      <c r="N32" s="174"/>
      <c r="O32" s="174"/>
      <c r="P32" s="174"/>
      <c r="Q32" s="174"/>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1039">
        <v>2</v>
      </c>
      <c r="CC32" s="1040"/>
      <c r="CD32" s="1040"/>
      <c r="CE32" s="1040">
        <v>1</v>
      </c>
      <c r="CF32" s="1040"/>
      <c r="CG32" s="1041"/>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7"/>
    </row>
    <row r="33" spans="2:123" ht="9.9499999999999993" customHeight="1" thickBot="1">
      <c r="B33" s="1"/>
      <c r="C33" s="719"/>
      <c r="D33" s="720"/>
      <c r="E33" s="720"/>
      <c r="F33" s="720"/>
      <c r="G33" s="721"/>
      <c r="H33" s="726"/>
      <c r="I33" s="726"/>
      <c r="J33" s="726"/>
      <c r="K33" s="726"/>
      <c r="L33" s="727"/>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973">
        <f>CB61+CE18</f>
        <v>1260</v>
      </c>
      <c r="CC33" s="974"/>
      <c r="CD33" s="975"/>
      <c r="CE33" s="976">
        <f>BY61+DK57</f>
        <v>0</v>
      </c>
      <c r="CF33" s="974"/>
      <c r="CG33" s="977"/>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74"/>
      <c r="CB34" s="918" t="s">
        <v>99</v>
      </c>
      <c r="CC34" s="919"/>
      <c r="CD34" s="920"/>
      <c r="CE34" s="921" t="s">
        <v>99</v>
      </c>
      <c r="CF34" s="919"/>
      <c r="CG34" s="922"/>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766"/>
      <c r="CC35" s="767"/>
      <c r="CD35" s="768"/>
      <c r="CE35" s="770"/>
      <c r="CF35" s="767"/>
      <c r="CG35" s="772"/>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766"/>
      <c r="CC36" s="767"/>
      <c r="CD36" s="768"/>
      <c r="CE36" s="770"/>
      <c r="CF36" s="767"/>
      <c r="CG36" s="772"/>
      <c r="CH36" s="174"/>
      <c r="CI36" s="174"/>
      <c r="CJ36" s="174"/>
      <c r="CK36" s="174"/>
      <c r="CL36" s="31"/>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7"/>
    </row>
    <row r="37" spans="2:123" ht="9.9499999999999993" customHeigh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74"/>
      <c r="CB37" s="766"/>
      <c r="CC37" s="767"/>
      <c r="CD37" s="768"/>
      <c r="CE37" s="770"/>
      <c r="CF37" s="767"/>
      <c r="CG37" s="772"/>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7"/>
    </row>
    <row r="38" spans="2:123" ht="9.9499999999999993" customHeight="1" thickBo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849"/>
      <c r="CC38" s="705"/>
      <c r="CD38" s="850"/>
      <c r="CE38" s="851"/>
      <c r="CF38" s="705"/>
      <c r="CG38" s="852"/>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thickBo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763"/>
      <c r="BW41" s="764"/>
      <c r="BX41" s="765"/>
      <c r="BY41" s="769"/>
      <c r="BZ41" s="764"/>
      <c r="CA41" s="771"/>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763"/>
      <c r="CY41" s="764"/>
      <c r="CZ41" s="765"/>
      <c r="DA41" s="769"/>
      <c r="DB41" s="764"/>
      <c r="DC41" s="771"/>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766"/>
      <c r="BW42" s="767"/>
      <c r="BX42" s="768"/>
      <c r="BY42" s="770"/>
      <c r="BZ42" s="767"/>
      <c r="CA42" s="772"/>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766"/>
      <c r="CY42" s="767"/>
      <c r="CZ42" s="768"/>
      <c r="DA42" s="770"/>
      <c r="DB42" s="767"/>
      <c r="DC42" s="772"/>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766"/>
      <c r="BW43" s="767"/>
      <c r="BX43" s="768"/>
      <c r="BY43" s="770"/>
      <c r="BZ43" s="767"/>
      <c r="CA43" s="772"/>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766"/>
      <c r="CY43" s="767"/>
      <c r="CZ43" s="768"/>
      <c r="DA43" s="770"/>
      <c r="DB43" s="767"/>
      <c r="DC43" s="772"/>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766"/>
      <c r="BW44" s="767"/>
      <c r="BX44" s="768"/>
      <c r="BY44" s="770"/>
      <c r="BZ44" s="767"/>
      <c r="CA44" s="772"/>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766"/>
      <c r="CY44" s="767"/>
      <c r="CZ44" s="768"/>
      <c r="DA44" s="770"/>
      <c r="DB44" s="767"/>
      <c r="DC44" s="772"/>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4"/>
      <c r="BU45" s="174"/>
      <c r="BV45" s="918" t="s">
        <v>99</v>
      </c>
      <c r="BW45" s="919"/>
      <c r="BX45" s="920"/>
      <c r="BY45" s="921" t="s">
        <v>99</v>
      </c>
      <c r="BZ45" s="919"/>
      <c r="CA45" s="922"/>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918" t="s">
        <v>99</v>
      </c>
      <c r="CY45" s="919"/>
      <c r="CZ45" s="920"/>
      <c r="DA45" s="921" t="s">
        <v>99</v>
      </c>
      <c r="DB45" s="919"/>
      <c r="DC45" s="922"/>
      <c r="DD45" s="174"/>
      <c r="DE45" s="174"/>
      <c r="DF45" s="174"/>
      <c r="DG45" s="174"/>
      <c r="DH45" s="174"/>
      <c r="DI45" s="174"/>
      <c r="DJ45" s="174"/>
      <c r="DK45" s="174"/>
      <c r="DL45" s="174"/>
      <c r="DM45" s="174"/>
      <c r="DN45" s="174"/>
      <c r="DO45" s="174"/>
      <c r="DP45" s="174"/>
      <c r="DQ45" s="174"/>
      <c r="DR45" s="174"/>
      <c r="DS45" s="177"/>
    </row>
    <row r="46" spans="2:123" ht="9.9499999999999993" customHeigh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4"/>
      <c r="BU46" s="174"/>
      <c r="BV46" s="923">
        <f>BV18+BT48</f>
        <v>0</v>
      </c>
      <c r="BW46" s="924"/>
      <c r="BX46" s="925"/>
      <c r="BY46" s="926">
        <f>+BY18+BV61</f>
        <v>1447</v>
      </c>
      <c r="BZ46" s="924"/>
      <c r="CA46" s="927"/>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923">
        <f>BY61+CE18</f>
        <v>0</v>
      </c>
      <c r="CY46" s="924"/>
      <c r="CZ46" s="925"/>
      <c r="DA46" s="926">
        <f>CB18+DK57</f>
        <v>607</v>
      </c>
      <c r="DB46" s="924"/>
      <c r="DC46" s="927"/>
      <c r="DD46" s="174"/>
      <c r="DE46" s="174"/>
      <c r="DF46" s="174"/>
      <c r="DG46" s="174"/>
      <c r="DH46" s="174"/>
      <c r="DI46" s="174"/>
      <c r="DJ46" s="174"/>
      <c r="DK46" s="174"/>
      <c r="DL46" s="174"/>
      <c r="DM46" s="174"/>
      <c r="DN46" s="174"/>
      <c r="DO46" s="174"/>
      <c r="DP46" s="174"/>
      <c r="DQ46" s="174"/>
      <c r="DR46" s="174"/>
      <c r="DS46" s="177"/>
    </row>
    <row r="47" spans="2:123" ht="9.9499999999999993" customHeight="1" thickBo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4"/>
      <c r="BU47" s="174"/>
      <c r="BV47" s="1034">
        <v>1</v>
      </c>
      <c r="BW47" s="1035"/>
      <c r="BX47" s="1036"/>
      <c r="BY47" s="1037">
        <v>2</v>
      </c>
      <c r="BZ47" s="1035"/>
      <c r="CA47" s="1038"/>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034">
        <v>1</v>
      </c>
      <c r="CY47" s="1035"/>
      <c r="CZ47" s="1036"/>
      <c r="DA47" s="1037">
        <v>1</v>
      </c>
      <c r="DB47" s="1035"/>
      <c r="DC47" s="1038"/>
      <c r="DD47" s="174"/>
      <c r="DE47" s="174"/>
      <c r="DF47" s="174"/>
      <c r="DG47" s="174"/>
      <c r="DH47" s="174"/>
      <c r="DI47" s="174"/>
      <c r="DJ47" s="174"/>
      <c r="DK47" s="174"/>
      <c r="DL47" s="174"/>
      <c r="DM47" s="174"/>
      <c r="DN47" s="174"/>
      <c r="DO47" s="17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788"/>
      <c r="BP48" s="789"/>
      <c r="BQ48" s="789"/>
      <c r="BR48" s="789"/>
      <c r="BS48" s="794" t="s">
        <v>99</v>
      </c>
      <c r="BT48" s="797">
        <f>EBU_Master</f>
        <v>0</v>
      </c>
      <c r="BU48" s="1016"/>
      <c r="BV48" s="56"/>
      <c r="BW48" s="175"/>
      <c r="BX48" s="175"/>
      <c r="BY48" s="175"/>
      <c r="BZ48" s="175"/>
      <c r="CA48" s="175"/>
      <c r="CB48" s="175"/>
      <c r="CC48" s="175"/>
      <c r="CD48" s="175"/>
      <c r="CE48" s="175"/>
      <c r="CF48" s="175"/>
      <c r="CG48" s="176"/>
      <c r="CH48" s="910">
        <v>1</v>
      </c>
      <c r="CI48" s="913">
        <f>DK57+CE18</f>
        <v>0</v>
      </c>
      <c r="CJ48" s="914" t="s">
        <v>99</v>
      </c>
      <c r="CK48" s="789"/>
      <c r="CL48" s="789"/>
      <c r="CM48" s="789"/>
      <c r="CN48" s="812"/>
      <c r="CO48" s="174"/>
      <c r="CP48" s="174"/>
      <c r="CQ48" s="174"/>
      <c r="CR48" s="174"/>
      <c r="CS48" s="174"/>
      <c r="CT48" s="174"/>
      <c r="CU48" s="174"/>
      <c r="CV48" s="174"/>
      <c r="CW48" s="174"/>
      <c r="CX48" s="56"/>
      <c r="CY48" s="175"/>
      <c r="CZ48" s="175"/>
      <c r="DA48" s="175"/>
      <c r="DB48" s="67"/>
      <c r="DC48" s="175"/>
      <c r="DD48" s="175"/>
      <c r="DE48" s="175"/>
      <c r="DF48" s="175"/>
      <c r="DG48" s="175"/>
      <c r="DH48" s="175"/>
      <c r="DI48" s="176"/>
      <c r="DJ48" s="910">
        <v>1</v>
      </c>
      <c r="DK48" s="806">
        <f>WBR_Master</f>
        <v>625</v>
      </c>
      <c r="DL48" s="809" t="s">
        <v>99</v>
      </c>
      <c r="DM48" s="789"/>
      <c r="DN48" s="789"/>
      <c r="DO48" s="789"/>
      <c r="DP48" s="812"/>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790"/>
      <c r="BP49" s="791"/>
      <c r="BQ49" s="791"/>
      <c r="BR49" s="791"/>
      <c r="BS49" s="795"/>
      <c r="BT49" s="798"/>
      <c r="BU49" s="1013"/>
      <c r="BV49" s="58"/>
      <c r="BW49" s="109"/>
      <c r="BX49" s="109"/>
      <c r="BY49" s="109"/>
      <c r="BZ49" s="109"/>
      <c r="CA49" s="109"/>
      <c r="CB49" s="109"/>
      <c r="CC49" s="109"/>
      <c r="CD49" s="109"/>
      <c r="CE49" s="109"/>
      <c r="CF49" s="109"/>
      <c r="CG49" s="60"/>
      <c r="CH49" s="911"/>
      <c r="CI49" s="1005"/>
      <c r="CJ49" s="1007"/>
      <c r="CK49" s="791"/>
      <c r="CL49" s="791"/>
      <c r="CM49" s="791"/>
      <c r="CN49" s="813"/>
      <c r="CO49" s="174"/>
      <c r="CP49" s="174"/>
      <c r="CQ49" s="174"/>
      <c r="CR49" s="174"/>
      <c r="CS49" s="174"/>
      <c r="CT49" s="174"/>
      <c r="CU49" s="174"/>
      <c r="CV49" s="174"/>
      <c r="CW49" s="174"/>
      <c r="CX49" s="58"/>
      <c r="CY49" s="109"/>
      <c r="CZ49" s="109"/>
      <c r="DA49" s="109"/>
      <c r="DB49" s="65"/>
      <c r="DC49" s="109"/>
      <c r="DD49" s="109"/>
      <c r="DE49" s="109"/>
      <c r="DF49" s="109"/>
      <c r="DG49" s="109"/>
      <c r="DH49" s="109"/>
      <c r="DI49" s="60"/>
      <c r="DJ49" s="911"/>
      <c r="DK49" s="807"/>
      <c r="DL49" s="810"/>
      <c r="DM49" s="791"/>
      <c r="DN49" s="791"/>
      <c r="DO49" s="791"/>
      <c r="DP49" s="813"/>
      <c r="DQ49" s="174"/>
      <c r="DR49" s="174"/>
      <c r="DS49" s="177"/>
    </row>
    <row r="50" spans="2:123" ht="9.9499999999999993" customHeight="1" thickBot="1">
      <c r="B50" s="1"/>
      <c r="C50" s="728">
        <f>BX54</f>
        <v>1696.5588235294117</v>
      </c>
      <c r="D50" s="861"/>
      <c r="E50" s="861"/>
      <c r="F50" s="861"/>
      <c r="G50" s="861"/>
      <c r="H50" s="861"/>
      <c r="I50" s="861"/>
      <c r="J50" s="861"/>
      <c r="K50" s="861"/>
      <c r="L50" s="862"/>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792"/>
      <c r="BP50" s="793"/>
      <c r="BQ50" s="793"/>
      <c r="BR50" s="793"/>
      <c r="BS50" s="796"/>
      <c r="BT50" s="799"/>
      <c r="BU50" s="1014"/>
      <c r="BV50" s="58"/>
      <c r="BW50" s="109"/>
      <c r="BX50" s="109"/>
      <c r="BY50" s="109"/>
      <c r="BZ50" s="109"/>
      <c r="CA50" s="109"/>
      <c r="CB50" s="109"/>
      <c r="CC50" s="109"/>
      <c r="CD50" s="109"/>
      <c r="CE50" s="109"/>
      <c r="CF50" s="109"/>
      <c r="CG50" s="60"/>
      <c r="CH50" s="912"/>
      <c r="CI50" s="1017"/>
      <c r="CJ50" s="1015"/>
      <c r="CK50" s="793"/>
      <c r="CL50" s="793"/>
      <c r="CM50" s="793"/>
      <c r="CN50" s="814"/>
      <c r="CO50" s="174"/>
      <c r="CP50" s="174"/>
      <c r="CQ50" s="174"/>
      <c r="CR50" s="174"/>
      <c r="CS50" s="174"/>
      <c r="CT50" s="174"/>
      <c r="CU50" s="174"/>
      <c r="CV50" s="174"/>
      <c r="CW50" s="174"/>
      <c r="CX50" s="58"/>
      <c r="CY50" s="109"/>
      <c r="CZ50" s="109"/>
      <c r="DA50" s="109"/>
      <c r="DB50" s="65"/>
      <c r="DC50" s="109"/>
      <c r="DD50" s="109"/>
      <c r="DE50" s="109"/>
      <c r="DF50" s="109"/>
      <c r="DG50" s="109"/>
      <c r="DH50" s="109"/>
      <c r="DI50" s="60"/>
      <c r="DJ50" s="912"/>
      <c r="DK50" s="808"/>
      <c r="DL50" s="811"/>
      <c r="DM50" s="793"/>
      <c r="DN50" s="793"/>
      <c r="DO50" s="793"/>
      <c r="DP50" s="814"/>
      <c r="DQ50" s="174"/>
      <c r="DR50" s="174"/>
      <c r="DS50" s="177"/>
    </row>
    <row r="51" spans="2:123" ht="9.9499999999999993" customHeight="1">
      <c r="B51" s="1"/>
      <c r="C51" s="863"/>
      <c r="D51" s="864"/>
      <c r="E51" s="864"/>
      <c r="F51" s="864"/>
      <c r="G51" s="864"/>
      <c r="H51" s="864"/>
      <c r="I51" s="864"/>
      <c r="J51" s="864"/>
      <c r="K51" s="864"/>
      <c r="L51" s="865"/>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815"/>
      <c r="BP51" s="816"/>
      <c r="BQ51" s="816"/>
      <c r="BR51" s="816"/>
      <c r="BS51" s="817" t="s">
        <v>99</v>
      </c>
      <c r="BT51" s="818">
        <f>EBL_Master</f>
        <v>899</v>
      </c>
      <c r="BU51" s="1012"/>
      <c r="BV51" s="64"/>
      <c r="BW51" s="65"/>
      <c r="BX51" s="763"/>
      <c r="BY51" s="764"/>
      <c r="BZ51" s="764"/>
      <c r="CA51" s="764"/>
      <c r="CB51" s="764"/>
      <c r="CC51" s="764"/>
      <c r="CD51" s="764"/>
      <c r="CE51" s="771"/>
      <c r="CF51" s="109"/>
      <c r="CG51" s="60"/>
      <c r="CH51" s="951">
        <v>2</v>
      </c>
      <c r="CI51" s="952">
        <f>DK51+BY61</f>
        <v>0</v>
      </c>
      <c r="CJ51" s="953" t="s">
        <v>113</v>
      </c>
      <c r="CK51" s="816"/>
      <c r="CL51" s="816"/>
      <c r="CM51" s="816"/>
      <c r="CN51" s="822"/>
      <c r="CO51" s="174"/>
      <c r="CP51" s="174"/>
      <c r="CQ51" s="174"/>
      <c r="CR51" s="174"/>
      <c r="CS51" s="174"/>
      <c r="CT51" s="174"/>
      <c r="CU51" s="174"/>
      <c r="CV51" s="174"/>
      <c r="CW51" s="174"/>
      <c r="CX51" s="58"/>
      <c r="CY51" s="109"/>
      <c r="CZ51" s="763"/>
      <c r="DA51" s="764"/>
      <c r="DB51" s="764"/>
      <c r="DC51" s="764"/>
      <c r="DD51" s="764"/>
      <c r="DE51" s="764"/>
      <c r="DF51" s="764"/>
      <c r="DG51" s="771"/>
      <c r="DH51" s="65"/>
      <c r="DI51" s="68"/>
      <c r="DJ51" s="951">
        <v>2</v>
      </c>
      <c r="DK51" s="820">
        <f>WBT_Master</f>
        <v>0</v>
      </c>
      <c r="DL51" s="821" t="s">
        <v>99</v>
      </c>
      <c r="DM51" s="816"/>
      <c r="DN51" s="816"/>
      <c r="DO51" s="816"/>
      <c r="DP51" s="822"/>
      <c r="DQ51" s="174"/>
      <c r="DR51" s="174"/>
      <c r="DS51" s="177"/>
    </row>
    <row r="52" spans="2:123" ht="9.9499999999999993" customHeight="1" thickBot="1">
      <c r="B52" s="1"/>
      <c r="C52" s="866"/>
      <c r="D52" s="867"/>
      <c r="E52" s="867"/>
      <c r="F52" s="867"/>
      <c r="G52" s="867"/>
      <c r="H52" s="867"/>
      <c r="I52" s="867"/>
      <c r="J52" s="867"/>
      <c r="K52" s="867"/>
      <c r="L52" s="868"/>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790"/>
      <c r="BP52" s="791"/>
      <c r="BQ52" s="791"/>
      <c r="BR52" s="791"/>
      <c r="BS52" s="795"/>
      <c r="BT52" s="798"/>
      <c r="BU52" s="1013"/>
      <c r="BV52" s="58"/>
      <c r="BW52" s="109"/>
      <c r="BX52" s="766"/>
      <c r="BY52" s="767"/>
      <c r="BZ52" s="767"/>
      <c r="CA52" s="767"/>
      <c r="CB52" s="767"/>
      <c r="CC52" s="767"/>
      <c r="CD52" s="767"/>
      <c r="CE52" s="772"/>
      <c r="CF52" s="109"/>
      <c r="CG52" s="60"/>
      <c r="CH52" s="911"/>
      <c r="CI52" s="1005"/>
      <c r="CJ52" s="1007"/>
      <c r="CK52" s="791"/>
      <c r="CL52" s="791"/>
      <c r="CM52" s="791"/>
      <c r="CN52" s="813"/>
      <c r="CO52" s="174"/>
      <c r="CP52" s="174"/>
      <c r="CQ52" s="174"/>
      <c r="CR52" s="174"/>
      <c r="CS52" s="174"/>
      <c r="CT52" s="174"/>
      <c r="CU52" s="174"/>
      <c r="CV52" s="174"/>
      <c r="CW52" s="174"/>
      <c r="CX52" s="58"/>
      <c r="CY52" s="109"/>
      <c r="CZ52" s="766"/>
      <c r="DA52" s="767"/>
      <c r="DB52" s="767"/>
      <c r="DC52" s="767"/>
      <c r="DD52" s="767"/>
      <c r="DE52" s="767"/>
      <c r="DF52" s="767"/>
      <c r="DG52" s="772"/>
      <c r="DH52" s="109"/>
      <c r="DI52" s="60"/>
      <c r="DJ52" s="911"/>
      <c r="DK52" s="807"/>
      <c r="DL52" s="810"/>
      <c r="DM52" s="791"/>
      <c r="DN52" s="791"/>
      <c r="DO52" s="791"/>
      <c r="DP52" s="813"/>
      <c r="DQ52" s="174"/>
      <c r="DR52" s="174"/>
      <c r="DS52" s="177"/>
    </row>
    <row r="53" spans="2:123" ht="9.9499999999999993" customHeight="1" thickBot="1">
      <c r="B53" s="1"/>
      <c r="C53" s="713">
        <f>ROUND(C50/CLV_Limit,2)</f>
        <v>1.06</v>
      </c>
      <c r="D53" s="714"/>
      <c r="E53" s="714"/>
      <c r="F53" s="714"/>
      <c r="G53" s="715"/>
      <c r="H53" s="722" t="s">
        <v>100</v>
      </c>
      <c r="I53" s="722"/>
      <c r="J53" s="722"/>
      <c r="K53" s="722"/>
      <c r="L53" s="723"/>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792"/>
      <c r="BP53" s="793"/>
      <c r="BQ53" s="793"/>
      <c r="BR53" s="793"/>
      <c r="BS53" s="796"/>
      <c r="BT53" s="799"/>
      <c r="BU53" s="1014"/>
      <c r="BV53" s="58"/>
      <c r="BW53" s="109"/>
      <c r="BX53" s="766"/>
      <c r="BY53" s="767"/>
      <c r="BZ53" s="767"/>
      <c r="CA53" s="767"/>
      <c r="CB53" s="767"/>
      <c r="CC53" s="767"/>
      <c r="CD53" s="767"/>
      <c r="CE53" s="772"/>
      <c r="CF53" s="109"/>
      <c r="CG53" s="60"/>
      <c r="CH53" s="957"/>
      <c r="CI53" s="1006"/>
      <c r="CJ53" s="1008"/>
      <c r="CK53" s="825"/>
      <c r="CL53" s="825"/>
      <c r="CM53" s="825"/>
      <c r="CN53" s="832"/>
      <c r="CO53" s="174"/>
      <c r="CP53" s="174"/>
      <c r="CQ53" s="174"/>
      <c r="CR53" s="174"/>
      <c r="CS53" s="174"/>
      <c r="CT53" s="174"/>
      <c r="CU53" s="174"/>
      <c r="CV53" s="174"/>
      <c r="CW53" s="174"/>
      <c r="CX53" s="58"/>
      <c r="CY53" s="109"/>
      <c r="CZ53" s="766"/>
      <c r="DA53" s="767"/>
      <c r="DB53" s="767"/>
      <c r="DC53" s="767"/>
      <c r="DD53" s="767"/>
      <c r="DE53" s="767"/>
      <c r="DF53" s="767"/>
      <c r="DG53" s="772"/>
      <c r="DH53" s="109"/>
      <c r="DI53" s="60"/>
      <c r="DJ53" s="912"/>
      <c r="DK53" s="808"/>
      <c r="DL53" s="811"/>
      <c r="DM53" s="793"/>
      <c r="DN53" s="793"/>
      <c r="DO53" s="793"/>
      <c r="DP53" s="814"/>
      <c r="DQ53" s="174"/>
      <c r="DR53" s="174"/>
      <c r="DS53" s="177"/>
    </row>
    <row r="54" spans="2:123" ht="9.9499999999999993" customHeight="1">
      <c r="B54" s="1"/>
      <c r="C54" s="716"/>
      <c r="D54" s="717"/>
      <c r="E54" s="717"/>
      <c r="F54" s="717"/>
      <c r="G54" s="718"/>
      <c r="H54" s="724"/>
      <c r="I54" s="724"/>
      <c r="J54" s="724"/>
      <c r="K54" s="724"/>
      <c r="L54" s="725"/>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815"/>
      <c r="BP54" s="816"/>
      <c r="BQ54" s="816"/>
      <c r="BR54" s="816"/>
      <c r="BS54" s="817" t="s">
        <v>99</v>
      </c>
      <c r="BT54" s="818">
        <f>EBT_Master</f>
        <v>0</v>
      </c>
      <c r="BU54" s="937">
        <v>2</v>
      </c>
      <c r="BV54" s="58"/>
      <c r="BW54" s="109"/>
      <c r="BX54" s="833">
        <f>MAX((CB61+BY61)/CB60, (CE61+BV61)/RTAF/CE60, BY46/BY47, BV46/RTAF/BV47) +MAX((BT54+BT51+BT48)/BU54, BT57/RTAF/BU57, CI51/CH51, CI48/RTAF/CH48)</f>
        <v>1696.5588235294117</v>
      </c>
      <c r="BY54" s="834"/>
      <c r="BZ54" s="834"/>
      <c r="CA54" s="834"/>
      <c r="CB54" s="834"/>
      <c r="CC54" s="834"/>
      <c r="CD54" s="834"/>
      <c r="CE54" s="835"/>
      <c r="CF54" s="109"/>
      <c r="CG54" s="60"/>
      <c r="CH54" s="174"/>
      <c r="CI54" s="174"/>
      <c r="CJ54" s="174"/>
      <c r="CK54" s="174"/>
      <c r="CL54" s="174"/>
      <c r="CM54" s="174"/>
      <c r="CN54" s="174"/>
      <c r="CO54" s="174"/>
      <c r="CP54" s="174"/>
      <c r="CQ54" s="788"/>
      <c r="CR54" s="789"/>
      <c r="CS54" s="789"/>
      <c r="CT54" s="789"/>
      <c r="CU54" s="948" t="s">
        <v>99</v>
      </c>
      <c r="CV54" s="949">
        <f>BT51+BV61+BT48</f>
        <v>899</v>
      </c>
      <c r="CW54" s="950">
        <v>1</v>
      </c>
      <c r="CX54" s="58"/>
      <c r="CY54" s="109"/>
      <c r="CZ54" s="833">
        <f>MAX(DA46/LTAF/DA47, ROUND(MAX(0,CX46/RTAF/CX47-CV54/LTAF/CW54),0))+ MAX(CV54/LTAF/CW54 +MAX((DK51+DK57)/DJ51, ROUND(MAX(0,(DK48+DK54)/RTAF/DJ48-DA46/LTAF/DA47),0)),CV57/CW57)</f>
        <v>2373.2631578947367</v>
      </c>
      <c r="DA54" s="834"/>
      <c r="DB54" s="834"/>
      <c r="DC54" s="834"/>
      <c r="DD54" s="834"/>
      <c r="DE54" s="834"/>
      <c r="DF54" s="834"/>
      <c r="DG54" s="835"/>
      <c r="DH54" s="109"/>
      <c r="DI54" s="60"/>
      <c r="DJ54" s="1002"/>
      <c r="DK54" s="820">
        <f>WBL_Master</f>
        <v>588</v>
      </c>
      <c r="DL54" s="821" t="s">
        <v>99</v>
      </c>
      <c r="DM54" s="816"/>
      <c r="DN54" s="816"/>
      <c r="DO54" s="816"/>
      <c r="DP54" s="822"/>
      <c r="DQ54" s="174"/>
      <c r="DR54" s="174"/>
      <c r="DS54" s="177"/>
    </row>
    <row r="55" spans="2:123" ht="9.9499999999999993" customHeight="1" thickBot="1">
      <c r="B55" s="1"/>
      <c r="C55" s="719"/>
      <c r="D55" s="720"/>
      <c r="E55" s="720"/>
      <c r="F55" s="720"/>
      <c r="G55" s="721"/>
      <c r="H55" s="726"/>
      <c r="I55" s="726"/>
      <c r="J55" s="726"/>
      <c r="K55" s="726"/>
      <c r="L55" s="727"/>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790"/>
      <c r="BP55" s="791"/>
      <c r="BQ55" s="791"/>
      <c r="BR55" s="791"/>
      <c r="BS55" s="795"/>
      <c r="BT55" s="798"/>
      <c r="BU55" s="938"/>
      <c r="BV55" s="58"/>
      <c r="BW55" s="109"/>
      <c r="BX55" s="833"/>
      <c r="BY55" s="834"/>
      <c r="BZ55" s="834"/>
      <c r="CA55" s="834"/>
      <c r="CB55" s="834"/>
      <c r="CC55" s="834"/>
      <c r="CD55" s="834"/>
      <c r="CE55" s="835"/>
      <c r="CF55" s="109"/>
      <c r="CG55" s="60"/>
      <c r="CH55" s="174"/>
      <c r="CI55" s="174"/>
      <c r="CJ55" s="174"/>
      <c r="CK55" s="174"/>
      <c r="CL55" s="174"/>
      <c r="CM55" s="174"/>
      <c r="CN55" s="174"/>
      <c r="CO55" s="174"/>
      <c r="CP55" s="174"/>
      <c r="CQ55" s="790"/>
      <c r="CR55" s="791"/>
      <c r="CS55" s="791"/>
      <c r="CT55" s="791"/>
      <c r="CU55" s="932"/>
      <c r="CV55" s="935"/>
      <c r="CW55" s="938"/>
      <c r="CX55" s="58"/>
      <c r="CY55" s="109"/>
      <c r="CZ55" s="833"/>
      <c r="DA55" s="834"/>
      <c r="DB55" s="834"/>
      <c r="DC55" s="834"/>
      <c r="DD55" s="834"/>
      <c r="DE55" s="834"/>
      <c r="DF55" s="834"/>
      <c r="DG55" s="835"/>
      <c r="DH55" s="109"/>
      <c r="DI55" s="60"/>
      <c r="DJ55" s="1003"/>
      <c r="DK55" s="807"/>
      <c r="DL55" s="810"/>
      <c r="DM55" s="791"/>
      <c r="DN55" s="791"/>
      <c r="DO55" s="791"/>
      <c r="DP55" s="813"/>
      <c r="DQ55" s="174"/>
      <c r="DR55" s="174"/>
      <c r="DS55" s="177"/>
    </row>
    <row r="56" spans="2:123" ht="9.9499999999999993" customHeight="1" thickBo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792"/>
      <c r="BP56" s="793"/>
      <c r="BQ56" s="793"/>
      <c r="BR56" s="793"/>
      <c r="BS56" s="796"/>
      <c r="BT56" s="799"/>
      <c r="BU56" s="939"/>
      <c r="BV56" s="58"/>
      <c r="BW56" s="109"/>
      <c r="BX56" s="836"/>
      <c r="BY56" s="837"/>
      <c r="BZ56" s="837"/>
      <c r="CA56" s="837"/>
      <c r="CB56" s="837"/>
      <c r="CC56" s="837"/>
      <c r="CD56" s="837"/>
      <c r="CE56" s="838"/>
      <c r="CF56" s="109"/>
      <c r="CG56" s="60"/>
      <c r="CH56" s="174"/>
      <c r="CI56" s="174"/>
      <c r="CJ56" s="174"/>
      <c r="CK56" s="174"/>
      <c r="CL56" s="174"/>
      <c r="CM56" s="174"/>
      <c r="CN56" s="174"/>
      <c r="CO56" s="174"/>
      <c r="CP56" s="174"/>
      <c r="CQ56" s="792"/>
      <c r="CR56" s="793"/>
      <c r="CS56" s="793"/>
      <c r="CT56" s="793"/>
      <c r="CU56" s="933"/>
      <c r="CV56" s="936"/>
      <c r="CW56" s="939"/>
      <c r="CX56" s="58"/>
      <c r="CY56" s="109"/>
      <c r="CZ56" s="836"/>
      <c r="DA56" s="837"/>
      <c r="DB56" s="837"/>
      <c r="DC56" s="837"/>
      <c r="DD56" s="837"/>
      <c r="DE56" s="837"/>
      <c r="DF56" s="837"/>
      <c r="DG56" s="838"/>
      <c r="DH56" s="109"/>
      <c r="DI56" s="60"/>
      <c r="DJ56" s="1009"/>
      <c r="DK56" s="808"/>
      <c r="DL56" s="811"/>
      <c r="DM56" s="793"/>
      <c r="DN56" s="793"/>
      <c r="DO56" s="793"/>
      <c r="DP56" s="81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815"/>
      <c r="BP57" s="816"/>
      <c r="BQ57" s="816"/>
      <c r="BR57" s="816"/>
      <c r="BS57" s="817" t="s">
        <v>99</v>
      </c>
      <c r="BT57" s="818">
        <f>EBR_Master</f>
        <v>208</v>
      </c>
      <c r="BU57" s="937">
        <v>1</v>
      </c>
      <c r="BV57" s="58"/>
      <c r="BW57" s="109"/>
      <c r="BX57" s="109"/>
      <c r="BY57" s="109"/>
      <c r="BZ57" s="109"/>
      <c r="CA57" s="109"/>
      <c r="CB57" s="109"/>
      <c r="CC57" s="66"/>
      <c r="CD57" s="109"/>
      <c r="CE57" s="109"/>
      <c r="CF57" s="109"/>
      <c r="CG57" s="60"/>
      <c r="CH57" s="174"/>
      <c r="CI57" s="174"/>
      <c r="CJ57" s="174"/>
      <c r="CK57" s="174"/>
      <c r="CL57" s="174"/>
      <c r="CM57" s="174"/>
      <c r="CN57" s="174"/>
      <c r="CO57" s="174"/>
      <c r="CP57" s="174"/>
      <c r="CQ57" s="815"/>
      <c r="CR57" s="816"/>
      <c r="CS57" s="816"/>
      <c r="CT57" s="816"/>
      <c r="CU57" s="931" t="s">
        <v>99</v>
      </c>
      <c r="CV57" s="988">
        <f>BT54+CE61</f>
        <v>1060</v>
      </c>
      <c r="CW57" s="937">
        <v>1</v>
      </c>
      <c r="CX57" s="58"/>
      <c r="CY57" s="109"/>
      <c r="CZ57" s="109"/>
      <c r="DA57" s="109"/>
      <c r="DB57" s="109"/>
      <c r="DC57" s="109"/>
      <c r="DD57" s="109"/>
      <c r="DE57" s="109"/>
      <c r="DF57" s="109"/>
      <c r="DG57" s="109"/>
      <c r="DH57" s="109"/>
      <c r="DI57" s="60"/>
      <c r="DJ57" s="1002"/>
      <c r="DK57" s="820">
        <f>WBU_Master</f>
        <v>0</v>
      </c>
      <c r="DL57" s="821" t="s">
        <v>99</v>
      </c>
      <c r="DM57" s="816"/>
      <c r="DN57" s="816"/>
      <c r="DO57" s="816"/>
      <c r="DP57" s="822"/>
      <c r="DQ57" s="174"/>
      <c r="DR57" s="174"/>
      <c r="DS57" s="177"/>
    </row>
    <row r="58" spans="2:123" ht="9.9499999999999993" customHeigh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790"/>
      <c r="BP58" s="791"/>
      <c r="BQ58" s="791"/>
      <c r="BR58" s="791"/>
      <c r="BS58" s="795"/>
      <c r="BT58" s="798"/>
      <c r="BU58" s="938"/>
      <c r="BV58" s="58"/>
      <c r="BW58" s="109"/>
      <c r="BX58" s="109"/>
      <c r="BY58" s="109"/>
      <c r="BZ58" s="109"/>
      <c r="CA58" s="109"/>
      <c r="CB58" s="109"/>
      <c r="CC58" s="109"/>
      <c r="CD58" s="109"/>
      <c r="CE58" s="109"/>
      <c r="CF58" s="109"/>
      <c r="CG58" s="60"/>
      <c r="CH58" s="174"/>
      <c r="CI58" s="174"/>
      <c r="CJ58" s="174"/>
      <c r="CK58" s="174"/>
      <c r="CL58" s="174"/>
      <c r="CM58" s="174"/>
      <c r="CN58" s="174"/>
      <c r="CO58" s="174"/>
      <c r="CP58" s="174"/>
      <c r="CQ58" s="790"/>
      <c r="CR58" s="791"/>
      <c r="CS58" s="791"/>
      <c r="CT58" s="791"/>
      <c r="CU58" s="932"/>
      <c r="CV58" s="989"/>
      <c r="CW58" s="938"/>
      <c r="CX58" s="58"/>
      <c r="CY58" s="109"/>
      <c r="CZ58" s="109"/>
      <c r="DA58" s="109"/>
      <c r="DB58" s="109"/>
      <c r="DC58" s="109"/>
      <c r="DD58" s="109"/>
      <c r="DE58" s="109"/>
      <c r="DF58" s="109"/>
      <c r="DG58" s="109"/>
      <c r="DH58" s="109"/>
      <c r="DI58" s="60"/>
      <c r="DJ58" s="1003"/>
      <c r="DK58" s="807"/>
      <c r="DL58" s="810"/>
      <c r="DM58" s="791"/>
      <c r="DN58" s="791"/>
      <c r="DO58" s="791"/>
      <c r="DP58" s="813"/>
      <c r="DQ58" s="174"/>
      <c r="DR58" s="174"/>
      <c r="DS58" s="177"/>
    </row>
    <row r="59" spans="2:123" ht="9.9499999999999993" customHeight="1" thickBo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824"/>
      <c r="BP59" s="825"/>
      <c r="BQ59" s="825"/>
      <c r="BR59" s="825"/>
      <c r="BS59" s="826"/>
      <c r="BT59" s="827"/>
      <c r="BU59" s="965"/>
      <c r="BV59" s="61"/>
      <c r="BW59" s="110"/>
      <c r="BX59" s="110"/>
      <c r="BY59" s="110"/>
      <c r="BZ59" s="110"/>
      <c r="CA59" s="110"/>
      <c r="CB59" s="110"/>
      <c r="CC59" s="110"/>
      <c r="CD59" s="110"/>
      <c r="CE59" s="110"/>
      <c r="CF59" s="110"/>
      <c r="CG59" s="63"/>
      <c r="CH59" s="174"/>
      <c r="CI59" s="174"/>
      <c r="CJ59" s="174"/>
      <c r="CK59" s="174"/>
      <c r="CL59" s="174"/>
      <c r="CM59" s="174"/>
      <c r="CN59" s="174"/>
      <c r="CO59" s="174"/>
      <c r="CP59" s="174"/>
      <c r="CQ59" s="824"/>
      <c r="CR59" s="825"/>
      <c r="CS59" s="825"/>
      <c r="CT59" s="825"/>
      <c r="CU59" s="963"/>
      <c r="CV59" s="990"/>
      <c r="CW59" s="965"/>
      <c r="CX59" s="61"/>
      <c r="CY59" s="110"/>
      <c r="CZ59" s="110"/>
      <c r="DA59" s="110"/>
      <c r="DB59" s="110"/>
      <c r="DC59" s="110"/>
      <c r="DD59" s="110"/>
      <c r="DE59" s="110"/>
      <c r="DF59" s="110"/>
      <c r="DG59" s="110"/>
      <c r="DH59" s="110"/>
      <c r="DI59" s="63"/>
      <c r="DJ59" s="1004"/>
      <c r="DK59" s="830"/>
      <c r="DL59" s="831"/>
      <c r="DM59" s="825"/>
      <c r="DN59" s="825"/>
      <c r="DO59" s="825"/>
      <c r="DP59" s="832"/>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4"/>
      <c r="BU60" s="174"/>
      <c r="BV60" s="991"/>
      <c r="BW60" s="997"/>
      <c r="BX60" s="1033"/>
      <c r="BY60" s="996"/>
      <c r="BZ60" s="997"/>
      <c r="CA60" s="1033"/>
      <c r="CB60" s="971">
        <v>2</v>
      </c>
      <c r="CC60" s="969"/>
      <c r="CD60" s="970"/>
      <c r="CE60" s="971">
        <v>1</v>
      </c>
      <c r="CF60" s="969"/>
      <c r="CG60" s="972"/>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4"/>
      <c r="BU61" s="174"/>
      <c r="BV61" s="844">
        <f>NBU_Master</f>
        <v>0</v>
      </c>
      <c r="BW61" s="845"/>
      <c r="BX61" s="846"/>
      <c r="BY61" s="847">
        <f>NBL_Master</f>
        <v>0</v>
      </c>
      <c r="BZ61" s="845"/>
      <c r="CA61" s="846"/>
      <c r="CB61" s="847">
        <f>NBT_Master</f>
        <v>1260</v>
      </c>
      <c r="CC61" s="845"/>
      <c r="CD61" s="846"/>
      <c r="CE61" s="847">
        <f>NBR_Master</f>
        <v>1060</v>
      </c>
      <c r="CF61" s="845"/>
      <c r="CG61" s="848"/>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4"/>
      <c r="BU62" s="174"/>
      <c r="BV62" s="773" t="s">
        <v>99</v>
      </c>
      <c r="BW62" s="774"/>
      <c r="BX62" s="775"/>
      <c r="BY62" s="776" t="s">
        <v>99</v>
      </c>
      <c r="BZ62" s="774"/>
      <c r="CA62" s="775"/>
      <c r="CB62" s="776" t="s">
        <v>99</v>
      </c>
      <c r="CC62" s="774"/>
      <c r="CD62" s="775"/>
      <c r="CE62" s="776" t="s">
        <v>99</v>
      </c>
      <c r="CF62" s="774"/>
      <c r="CG62" s="777"/>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766"/>
      <c r="BW63" s="767"/>
      <c r="BX63" s="768"/>
      <c r="BY63" s="770"/>
      <c r="BZ63" s="767"/>
      <c r="CA63" s="768"/>
      <c r="CB63" s="770"/>
      <c r="CC63" s="767"/>
      <c r="CD63" s="768"/>
      <c r="CE63" s="770"/>
      <c r="CF63" s="767"/>
      <c r="CG63" s="772"/>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c r="B64" s="1"/>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766"/>
      <c r="BW64" s="767"/>
      <c r="BX64" s="768"/>
      <c r="BY64" s="770"/>
      <c r="BZ64" s="767"/>
      <c r="CA64" s="768"/>
      <c r="CB64" s="770"/>
      <c r="CC64" s="767"/>
      <c r="CD64" s="768"/>
      <c r="CE64" s="770"/>
      <c r="CF64" s="767"/>
      <c r="CG64" s="772"/>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c r="B65" s="1"/>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766"/>
      <c r="BW65" s="767"/>
      <c r="BX65" s="768"/>
      <c r="BY65" s="770"/>
      <c r="BZ65" s="767"/>
      <c r="CA65" s="768"/>
      <c r="CB65" s="770"/>
      <c r="CC65" s="767"/>
      <c r="CD65" s="768"/>
      <c r="CE65" s="770"/>
      <c r="CF65" s="767"/>
      <c r="CG65" s="772"/>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thickBot="1">
      <c r="B66" s="1"/>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849"/>
      <c r="BW66" s="705"/>
      <c r="BX66" s="850"/>
      <c r="BY66" s="851"/>
      <c r="BZ66" s="705"/>
      <c r="CA66" s="850"/>
      <c r="CB66" s="851"/>
      <c r="CC66" s="705"/>
      <c r="CD66" s="850"/>
      <c r="CE66" s="851"/>
      <c r="CF66" s="705"/>
      <c r="CG66" s="852"/>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7"/>
    </row>
    <row r="67" spans="2:123" ht="9.9499999999999993" customHeight="1">
      <c r="B67" s="1"/>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728">
        <f>CZ54</f>
        <v>2373.2631578947367</v>
      </c>
      <c r="AW67" s="861"/>
      <c r="AX67" s="861"/>
      <c r="AY67" s="861"/>
      <c r="AZ67" s="861"/>
      <c r="BA67" s="861"/>
      <c r="BB67" s="861"/>
      <c r="BC67" s="861"/>
      <c r="BD67" s="861"/>
      <c r="BE67" s="862"/>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863"/>
      <c r="AW68" s="864"/>
      <c r="AX68" s="864"/>
      <c r="AY68" s="864"/>
      <c r="AZ68" s="864"/>
      <c r="BA68" s="864"/>
      <c r="BB68" s="864"/>
      <c r="BC68" s="864"/>
      <c r="BD68" s="864"/>
      <c r="BE68" s="865"/>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thickBo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866"/>
      <c r="AW69" s="867"/>
      <c r="AX69" s="867"/>
      <c r="AY69" s="867"/>
      <c r="AZ69" s="867"/>
      <c r="BA69" s="867"/>
      <c r="BB69" s="867"/>
      <c r="BC69" s="867"/>
      <c r="BD69" s="867"/>
      <c r="BE69" s="868"/>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713">
        <f>ROUND(AV67/CLV_Limit,2)</f>
        <v>1.48</v>
      </c>
      <c r="AW70" s="714"/>
      <c r="AX70" s="714"/>
      <c r="AY70" s="714"/>
      <c r="AZ70" s="715"/>
      <c r="BA70" s="722" t="s">
        <v>100</v>
      </c>
      <c r="BB70" s="722"/>
      <c r="BC70" s="722"/>
      <c r="BD70" s="722"/>
      <c r="BE70" s="723"/>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716"/>
      <c r="AW71" s="717"/>
      <c r="AX71" s="717"/>
      <c r="AY71" s="717"/>
      <c r="AZ71" s="718"/>
      <c r="BA71" s="724"/>
      <c r="BB71" s="724"/>
      <c r="BC71" s="724"/>
      <c r="BD71" s="724"/>
      <c r="BE71" s="725"/>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thickBo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719"/>
      <c r="AW72" s="720"/>
      <c r="AX72" s="720"/>
      <c r="AY72" s="720"/>
      <c r="AZ72" s="721"/>
      <c r="BA72" s="726"/>
      <c r="BB72" s="726"/>
      <c r="BC72" s="726"/>
      <c r="BD72" s="726"/>
      <c r="BE72" s="727"/>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43"/>
      <c r="AW73" s="143"/>
      <c r="AX73" s="143"/>
      <c r="AY73" s="143"/>
      <c r="AZ73" s="143"/>
      <c r="BA73" s="143"/>
      <c r="BB73" s="143"/>
      <c r="BC73" s="143"/>
      <c r="BD73" s="143"/>
      <c r="BE73" s="143"/>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168"/>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47">
    <mergeCell ref="B1:BI2"/>
    <mergeCell ref="B3:BI4"/>
    <mergeCell ref="C6:J7"/>
    <mergeCell ref="K6:AJ7"/>
    <mergeCell ref="C28:L30"/>
    <mergeCell ref="C50:L52"/>
    <mergeCell ref="AV67:BE69"/>
    <mergeCell ref="C8:J9"/>
    <mergeCell ref="K8:AJ9"/>
    <mergeCell ref="C10:J11"/>
    <mergeCell ref="K10:AJ11"/>
    <mergeCell ref="C12:J13"/>
    <mergeCell ref="K12:AJ13"/>
    <mergeCell ref="AK6:BH7"/>
    <mergeCell ref="AK8:AP9"/>
    <mergeCell ref="BV17:BX17"/>
    <mergeCell ref="BY17:CA17"/>
    <mergeCell ref="CB17:CD17"/>
    <mergeCell ref="CE17:CG17"/>
    <mergeCell ref="BV18:BX18"/>
    <mergeCell ref="BY18:CA18"/>
    <mergeCell ref="CB18:CD18"/>
    <mergeCell ref="CE18:CG18"/>
    <mergeCell ref="BL1:DS2"/>
    <mergeCell ref="BL3:DS4"/>
    <mergeCell ref="BV13:BX16"/>
    <mergeCell ref="BY13:CA16"/>
    <mergeCell ref="CB13:CD16"/>
    <mergeCell ref="CE13:CG16"/>
    <mergeCell ref="CH26:CH28"/>
    <mergeCell ref="CI26:CI28"/>
    <mergeCell ref="CJ26:CJ28"/>
    <mergeCell ref="CK26:CN28"/>
    <mergeCell ref="CH29:CH31"/>
    <mergeCell ref="CI29:CI31"/>
    <mergeCell ref="CJ29:CJ31"/>
    <mergeCell ref="CK29:CN31"/>
    <mergeCell ref="BV19:BX19"/>
    <mergeCell ref="BY19:CA19"/>
    <mergeCell ref="CB19:CD19"/>
    <mergeCell ref="CE19:CG19"/>
    <mergeCell ref="BX23:CE25"/>
    <mergeCell ref="BX26:CE28"/>
    <mergeCell ref="CB35:CD38"/>
    <mergeCell ref="CE35:CG38"/>
    <mergeCell ref="BV41:BX44"/>
    <mergeCell ref="BY41:CA44"/>
    <mergeCell ref="CX41:CZ44"/>
    <mergeCell ref="DA41:DC44"/>
    <mergeCell ref="CB32:CD32"/>
    <mergeCell ref="CE32:CG32"/>
    <mergeCell ref="CB33:CD33"/>
    <mergeCell ref="CE33:CG33"/>
    <mergeCell ref="CB34:CD34"/>
    <mergeCell ref="CE34:CG34"/>
    <mergeCell ref="BV45:BX45"/>
    <mergeCell ref="BY45:CA45"/>
    <mergeCell ref="CX45:CZ45"/>
    <mergeCell ref="CK48:CN50"/>
    <mergeCell ref="DA45:DC45"/>
    <mergeCell ref="BV46:BX46"/>
    <mergeCell ref="BY46:CA46"/>
    <mergeCell ref="CX46:CZ46"/>
    <mergeCell ref="DA46:DC46"/>
    <mergeCell ref="BO51:BR53"/>
    <mergeCell ref="BS51:BS53"/>
    <mergeCell ref="BT51:BT53"/>
    <mergeCell ref="BU51:BU53"/>
    <mergeCell ref="DJ48:DJ50"/>
    <mergeCell ref="DK48:DK50"/>
    <mergeCell ref="DL48:DL50"/>
    <mergeCell ref="DM48:DP50"/>
    <mergeCell ref="BV47:BX47"/>
    <mergeCell ref="BY47:CA47"/>
    <mergeCell ref="CX47:CZ47"/>
    <mergeCell ref="DA47:DC47"/>
    <mergeCell ref="DL51:DL53"/>
    <mergeCell ref="DM51:DP53"/>
    <mergeCell ref="CZ51:DG53"/>
    <mergeCell ref="DJ51:DJ53"/>
    <mergeCell ref="DK51:DK53"/>
    <mergeCell ref="BO48:BR50"/>
    <mergeCell ref="BS48:BS50"/>
    <mergeCell ref="BT48:BT50"/>
    <mergeCell ref="BU48:BU50"/>
    <mergeCell ref="CH48:CH50"/>
    <mergeCell ref="CI48:CI50"/>
    <mergeCell ref="BX51:CE53"/>
    <mergeCell ref="DL57:DL59"/>
    <mergeCell ref="DM57:DP59"/>
    <mergeCell ref="BO57:BR59"/>
    <mergeCell ref="BS57:BS59"/>
    <mergeCell ref="BT57:BT59"/>
    <mergeCell ref="BU57:BU59"/>
    <mergeCell ref="CQ57:CT59"/>
    <mergeCell ref="CU57:CU59"/>
    <mergeCell ref="BO54:BR56"/>
    <mergeCell ref="BS54:BS56"/>
    <mergeCell ref="BT54:BT56"/>
    <mergeCell ref="BU54:BU56"/>
    <mergeCell ref="BX54:CE56"/>
    <mergeCell ref="CQ54:CT56"/>
    <mergeCell ref="CU54:CU56"/>
    <mergeCell ref="CV54:CV56"/>
    <mergeCell ref="DJ54:DJ56"/>
    <mergeCell ref="DK54:DK56"/>
    <mergeCell ref="DL54:DL56"/>
    <mergeCell ref="DM54:DP56"/>
    <mergeCell ref="CV57:CV59"/>
    <mergeCell ref="CW57:CW59"/>
    <mergeCell ref="CW54:CW56"/>
    <mergeCell ref="CZ54:DG56"/>
    <mergeCell ref="CH51:CH53"/>
    <mergeCell ref="CJ48:CJ50"/>
    <mergeCell ref="DJ57:DJ59"/>
    <mergeCell ref="DK57:DK59"/>
    <mergeCell ref="CI51:CI53"/>
    <mergeCell ref="CJ51:CJ53"/>
    <mergeCell ref="CK51:CN53"/>
    <mergeCell ref="BV62:BX62"/>
    <mergeCell ref="BY62:CA62"/>
    <mergeCell ref="CB62:CD62"/>
    <mergeCell ref="CE62:CG62"/>
    <mergeCell ref="BV63:BX66"/>
    <mergeCell ref="BY63:CA66"/>
    <mergeCell ref="CB63:CD66"/>
    <mergeCell ref="CE63:CG66"/>
    <mergeCell ref="BV60:BX60"/>
    <mergeCell ref="BY60:CA60"/>
    <mergeCell ref="CB60:CD60"/>
    <mergeCell ref="CE60:CG60"/>
    <mergeCell ref="BV61:BX61"/>
    <mergeCell ref="BY61:CA61"/>
    <mergeCell ref="CB61:CD61"/>
    <mergeCell ref="CE61:CG61"/>
    <mergeCell ref="AV70:AZ72"/>
    <mergeCell ref="BA70:BE72"/>
    <mergeCell ref="O74:AV74"/>
    <mergeCell ref="AQ8:AV9"/>
    <mergeCell ref="AW8:BB9"/>
    <mergeCell ref="BC8:BH9"/>
    <mergeCell ref="AK10:AV13"/>
    <mergeCell ref="AW10:BH13"/>
    <mergeCell ref="C31:G33"/>
    <mergeCell ref="H31:L33"/>
    <mergeCell ref="C53:G55"/>
    <mergeCell ref="H53:L55"/>
  </mergeCells>
  <conditionalFormatting sqref="C28 C50 AV67">
    <cfRule type="cellIs" dxfId="186" priority="10" stopIfTrue="1" operator="greaterThanOrEqual">
      <formula>1600</formula>
    </cfRule>
    <cfRule type="cellIs" dxfId="185" priority="11" stopIfTrue="1" operator="between">
      <formula>1400</formula>
      <formula>1599</formula>
    </cfRule>
    <cfRule type="cellIs" dxfId="184" priority="13" stopIfTrue="1" operator="between">
      <formula>1200</formula>
      <formula>1399</formula>
    </cfRule>
  </conditionalFormatting>
  <conditionalFormatting sqref="AW10 C31 C53 AV70">
    <cfRule type="cellIs" dxfId="183" priority="1" operator="between">
      <formula>0.75</formula>
      <formula>0.875</formula>
    </cfRule>
    <cfRule type="cellIs" dxfId="182" priority="2" operator="between">
      <formula>0.875</formula>
      <formula>1</formula>
    </cfRule>
    <cfRule type="cellIs" dxfId="181" priority="3" operator="greaterThan">
      <formula>1</formula>
    </cfRule>
  </conditionalFormatting>
  <conditionalFormatting sqref="BX26 BX54 CZ54">
    <cfRule type="cellIs" dxfId="180" priority="6" stopIfTrue="1" operator="greaterThanOrEqual">
      <formula>CLV_Limit</formula>
    </cfRule>
    <cfRule type="cellIs" dxfId="179" priority="7" stopIfTrue="1" operator="between">
      <formula>0.875*CLV_Limit-1</formula>
      <formula>CLV_Limit-1</formula>
    </cfRule>
    <cfRule type="cellIs" dxfId="178" priority="8" stopIfTrue="1" operator="between">
      <formula>0.75*CLV_Limit</formula>
      <formula>0.875*CLV_Limit-1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8" tint="-0.249977111117893"/>
  </sheetPr>
  <dimension ref="A1:HK157"/>
  <sheetViews>
    <sheetView showGridLines="0" showRowColHeaders="0" zoomScale="90" zoomScaleNormal="90" zoomScalePageLayoutView="85" workbookViewId="0">
      <selection activeCell="BV18" sqref="BV18:BX18"/>
    </sheetView>
  </sheetViews>
  <sheetFormatPr defaultColWidth="0" defaultRowHeight="12.75" customHeight="1" zeroHeight="1"/>
  <cols>
    <col min="1" max="1" width="0.5703125" customWidth="1"/>
    <col min="2" max="61" width="1.7109375" customWidth="1"/>
    <col min="62" max="63" width="0.5703125" customWidth="1"/>
    <col min="64" max="123" width="1.7109375" customWidth="1"/>
    <col min="124" max="124" width="0.5703125" customWidth="1"/>
    <col min="125" max="219" width="1.7109375" hidden="1" customWidth="1"/>
    <col min="220" max="16384" width="9.140625" hidden="1"/>
  </cols>
  <sheetData>
    <row r="1" spans="2:123" ht="9.9499999999999993" customHeight="1">
      <c r="B1" s="571" t="s">
        <v>114</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80"/>
      <c r="BJ1" s="174"/>
      <c r="BK1" s="174"/>
      <c r="BL1" s="737" t="s">
        <v>114</v>
      </c>
      <c r="BM1" s="738"/>
      <c r="BN1" s="738"/>
      <c r="BO1" s="738"/>
      <c r="BP1" s="738"/>
      <c r="BQ1" s="738"/>
      <c r="BR1" s="738"/>
      <c r="BS1" s="738"/>
      <c r="BT1" s="738"/>
      <c r="BU1" s="738"/>
      <c r="BV1" s="738"/>
      <c r="BW1" s="738"/>
      <c r="BX1" s="738"/>
      <c r="BY1" s="738"/>
      <c r="BZ1" s="738"/>
      <c r="CA1" s="738"/>
      <c r="CB1" s="738"/>
      <c r="CC1" s="738"/>
      <c r="CD1" s="738"/>
      <c r="CE1" s="738"/>
      <c r="CF1" s="738"/>
      <c r="CG1" s="738"/>
      <c r="CH1" s="738"/>
      <c r="CI1" s="738"/>
      <c r="CJ1" s="738"/>
      <c r="CK1" s="738"/>
      <c r="CL1" s="738"/>
      <c r="CM1" s="738"/>
      <c r="CN1" s="738"/>
      <c r="CO1" s="738"/>
      <c r="CP1" s="738"/>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739"/>
    </row>
    <row r="2" spans="2:123" ht="9.9499999999999993" customHeight="1">
      <c r="B2" s="181"/>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3"/>
      <c r="BJ2" s="174"/>
      <c r="BK2" s="174"/>
      <c r="BL2" s="740"/>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c r="CT2" s="741"/>
      <c r="CU2" s="741"/>
      <c r="CV2" s="741"/>
      <c r="CW2" s="741"/>
      <c r="CX2" s="741"/>
      <c r="CY2" s="741"/>
      <c r="CZ2" s="741"/>
      <c r="DA2" s="741"/>
      <c r="DB2" s="741"/>
      <c r="DC2" s="741"/>
      <c r="DD2" s="741"/>
      <c r="DE2" s="741"/>
      <c r="DF2" s="741"/>
      <c r="DG2" s="741"/>
      <c r="DH2" s="741"/>
      <c r="DI2" s="741"/>
      <c r="DJ2" s="741"/>
      <c r="DK2" s="741"/>
      <c r="DL2" s="741"/>
      <c r="DM2" s="741"/>
      <c r="DN2" s="741"/>
      <c r="DO2" s="741"/>
      <c r="DP2" s="741"/>
      <c r="DQ2" s="741"/>
      <c r="DR2" s="741"/>
      <c r="DS2" s="742"/>
    </row>
    <row r="3" spans="2:123" ht="9.9499999999999993" customHeight="1">
      <c r="B3" s="869" t="s">
        <v>102</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c r="AY3" s="870"/>
      <c r="AZ3" s="870"/>
      <c r="BA3" s="870"/>
      <c r="BB3" s="870"/>
      <c r="BC3" s="870"/>
      <c r="BD3" s="870"/>
      <c r="BE3" s="870"/>
      <c r="BF3" s="870"/>
      <c r="BG3" s="870"/>
      <c r="BH3" s="870"/>
      <c r="BI3" s="871"/>
      <c r="BJ3" s="174"/>
      <c r="BK3" s="174"/>
      <c r="BL3" s="869" t="s">
        <v>97</v>
      </c>
      <c r="BM3" s="870"/>
      <c r="BN3" s="870"/>
      <c r="BO3" s="870"/>
      <c r="BP3" s="870"/>
      <c r="BQ3" s="870"/>
      <c r="BR3" s="870"/>
      <c r="BS3" s="870"/>
      <c r="BT3" s="870"/>
      <c r="BU3" s="870"/>
      <c r="BV3" s="870"/>
      <c r="BW3" s="870"/>
      <c r="BX3" s="870"/>
      <c r="BY3" s="870"/>
      <c r="BZ3" s="870"/>
      <c r="CA3" s="870"/>
      <c r="CB3" s="870"/>
      <c r="CC3" s="870"/>
      <c r="CD3" s="870"/>
      <c r="CE3" s="870"/>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70"/>
      <c r="DJ3" s="870"/>
      <c r="DK3" s="870"/>
      <c r="DL3" s="870"/>
      <c r="DM3" s="870"/>
      <c r="DN3" s="870"/>
      <c r="DO3" s="870"/>
      <c r="DP3" s="870"/>
      <c r="DQ3" s="870"/>
      <c r="DR3" s="870"/>
      <c r="DS3" s="871"/>
    </row>
    <row r="4" spans="2:123" ht="9.9499999999999993" customHeight="1">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870"/>
      <c r="AT4" s="870"/>
      <c r="AU4" s="870"/>
      <c r="AV4" s="870"/>
      <c r="AW4" s="870"/>
      <c r="AX4" s="870"/>
      <c r="AY4" s="870"/>
      <c r="AZ4" s="870"/>
      <c r="BA4" s="870"/>
      <c r="BB4" s="870"/>
      <c r="BC4" s="870"/>
      <c r="BD4" s="870"/>
      <c r="BE4" s="870"/>
      <c r="BF4" s="870"/>
      <c r="BG4" s="870"/>
      <c r="BH4" s="870"/>
      <c r="BI4" s="871"/>
      <c r="BJ4" s="174"/>
      <c r="BK4" s="174"/>
      <c r="BL4" s="869"/>
      <c r="BM4" s="870"/>
      <c r="BN4" s="870"/>
      <c r="BO4" s="870"/>
      <c r="BP4" s="870"/>
      <c r="BQ4" s="870"/>
      <c r="BR4" s="870"/>
      <c r="BS4" s="870"/>
      <c r="BT4" s="870"/>
      <c r="BU4" s="870"/>
      <c r="BV4" s="870"/>
      <c r="BW4" s="870"/>
      <c r="BX4" s="870"/>
      <c r="BY4" s="870"/>
      <c r="BZ4" s="870"/>
      <c r="CA4" s="870"/>
      <c r="CB4" s="870"/>
      <c r="CC4" s="870"/>
      <c r="CD4" s="870"/>
      <c r="CE4" s="870"/>
      <c r="CF4" s="870"/>
      <c r="CG4" s="870"/>
      <c r="CH4" s="870"/>
      <c r="CI4" s="870"/>
      <c r="CJ4" s="870"/>
      <c r="CK4" s="870"/>
      <c r="CL4" s="870"/>
      <c r="CM4" s="870"/>
      <c r="CN4" s="870"/>
      <c r="CO4" s="870"/>
      <c r="CP4" s="870"/>
      <c r="CQ4" s="870"/>
      <c r="CR4" s="870"/>
      <c r="CS4" s="870"/>
      <c r="CT4" s="870"/>
      <c r="CU4" s="870"/>
      <c r="CV4" s="870"/>
      <c r="CW4" s="870"/>
      <c r="CX4" s="870"/>
      <c r="CY4" s="870"/>
      <c r="CZ4" s="870"/>
      <c r="DA4" s="870"/>
      <c r="DB4" s="870"/>
      <c r="DC4" s="870"/>
      <c r="DD4" s="870"/>
      <c r="DE4" s="870"/>
      <c r="DF4" s="870"/>
      <c r="DG4" s="870"/>
      <c r="DH4" s="870"/>
      <c r="DI4" s="870"/>
      <c r="DJ4" s="870"/>
      <c r="DK4" s="870"/>
      <c r="DL4" s="870"/>
      <c r="DM4" s="870"/>
      <c r="DN4" s="870"/>
      <c r="DO4" s="870"/>
      <c r="DP4" s="870"/>
      <c r="DQ4" s="870"/>
      <c r="DR4" s="870"/>
      <c r="DS4" s="871"/>
    </row>
    <row r="5" spans="2:123" ht="9.9499999999999993" customHeight="1" thickBot="1">
      <c r="B5" s="1"/>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7"/>
      <c r="BJ5" s="174"/>
      <c r="BK5" s="174"/>
      <c r="BL5" s="1"/>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4"/>
      <c r="DI5" s="174"/>
      <c r="DJ5" s="174"/>
      <c r="DK5" s="174"/>
      <c r="DL5" s="174"/>
      <c r="DM5" s="174"/>
      <c r="DN5" s="174"/>
      <c r="DO5" s="174"/>
      <c r="DP5" s="174"/>
      <c r="DQ5" s="174"/>
      <c r="DR5" s="174"/>
      <c r="DS5" s="177"/>
    </row>
    <row r="6" spans="2:123" ht="9.9499999999999993" customHeight="1">
      <c r="B6" s="1"/>
      <c r="C6" s="205" t="s">
        <v>3</v>
      </c>
      <c r="D6" s="206"/>
      <c r="E6" s="206"/>
      <c r="F6" s="206"/>
      <c r="G6" s="206"/>
      <c r="H6" s="206"/>
      <c r="I6" s="206"/>
      <c r="J6" s="206"/>
      <c r="K6" s="1018" t="str">
        <f>P_Name</f>
        <v>"Enter the Project Title here (Input worksheet)"</v>
      </c>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20"/>
      <c r="AK6" s="757" t="s">
        <v>41</v>
      </c>
      <c r="AL6" s="758"/>
      <c r="AM6" s="758"/>
      <c r="AN6" s="758"/>
      <c r="AO6" s="758"/>
      <c r="AP6" s="758"/>
      <c r="AQ6" s="758"/>
      <c r="AR6" s="758"/>
      <c r="AS6" s="758"/>
      <c r="AT6" s="758"/>
      <c r="AU6" s="758"/>
      <c r="AV6" s="758"/>
      <c r="AW6" s="758"/>
      <c r="AX6" s="758"/>
      <c r="AY6" s="758"/>
      <c r="AZ6" s="758"/>
      <c r="BA6" s="758"/>
      <c r="BB6" s="758"/>
      <c r="BC6" s="758"/>
      <c r="BD6" s="758"/>
      <c r="BE6" s="758"/>
      <c r="BF6" s="758"/>
      <c r="BG6" s="758"/>
      <c r="BH6" s="759"/>
      <c r="BI6" s="177"/>
      <c r="BJ6" s="174"/>
      <c r="BK6" s="174"/>
      <c r="BL6" s="1"/>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7"/>
    </row>
    <row r="7" spans="2:123" ht="9.9499999999999993" customHeight="1" thickBot="1">
      <c r="B7" s="1"/>
      <c r="C7" s="207"/>
      <c r="D7" s="208"/>
      <c r="E7" s="208"/>
      <c r="F7" s="208"/>
      <c r="G7" s="208"/>
      <c r="H7" s="208"/>
      <c r="I7" s="208"/>
      <c r="J7" s="208"/>
      <c r="K7" s="1021"/>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3"/>
      <c r="AK7" s="760"/>
      <c r="AL7" s="761"/>
      <c r="AM7" s="761"/>
      <c r="AN7" s="761"/>
      <c r="AO7" s="761"/>
      <c r="AP7" s="761"/>
      <c r="AQ7" s="761"/>
      <c r="AR7" s="761"/>
      <c r="AS7" s="761"/>
      <c r="AT7" s="761"/>
      <c r="AU7" s="761"/>
      <c r="AV7" s="761"/>
      <c r="AW7" s="761"/>
      <c r="AX7" s="761"/>
      <c r="AY7" s="761"/>
      <c r="AZ7" s="761"/>
      <c r="BA7" s="761"/>
      <c r="BB7" s="761"/>
      <c r="BC7" s="761"/>
      <c r="BD7" s="761"/>
      <c r="BE7" s="761"/>
      <c r="BF7" s="761"/>
      <c r="BG7" s="761"/>
      <c r="BH7" s="762"/>
      <c r="BI7" s="177"/>
      <c r="BJ7" s="174"/>
      <c r="BK7" s="174"/>
      <c r="BL7" s="1"/>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7"/>
    </row>
    <row r="8" spans="2:123" ht="9.9499999999999993" customHeight="1">
      <c r="B8" s="1"/>
      <c r="C8" s="207" t="s">
        <v>5</v>
      </c>
      <c r="D8" s="208"/>
      <c r="E8" s="208"/>
      <c r="F8" s="208"/>
      <c r="G8" s="208"/>
      <c r="H8" s="208"/>
      <c r="I8" s="208"/>
      <c r="J8" s="208"/>
      <c r="K8" s="1024" t="str">
        <f>P_Number</f>
        <v>"Enter the Project Number here (Input worksheet)"</v>
      </c>
      <c r="L8" s="1025"/>
      <c r="M8" s="1025"/>
      <c r="N8" s="1025"/>
      <c r="O8" s="1025"/>
      <c r="P8" s="1025"/>
      <c r="Q8" s="1025"/>
      <c r="R8" s="1025"/>
      <c r="S8" s="1025"/>
      <c r="T8" s="1025"/>
      <c r="U8" s="1025"/>
      <c r="V8" s="1025"/>
      <c r="W8" s="1025"/>
      <c r="X8" s="1025"/>
      <c r="Y8" s="1025"/>
      <c r="Z8" s="1025"/>
      <c r="AA8" s="1025"/>
      <c r="AB8" s="1025"/>
      <c r="AC8" s="1025"/>
      <c r="AD8" s="1025"/>
      <c r="AE8" s="1025"/>
      <c r="AF8" s="1025"/>
      <c r="AG8" s="1025"/>
      <c r="AH8" s="1025"/>
      <c r="AI8" s="1025"/>
      <c r="AJ8" s="1025"/>
      <c r="AK8" s="744" t="str">
        <f xml:space="preserve"> "&lt; " &amp; 0.75*CLV_Limit</f>
        <v>&lt; 1200</v>
      </c>
      <c r="AL8" s="745"/>
      <c r="AM8" s="745"/>
      <c r="AN8" s="745"/>
      <c r="AO8" s="745"/>
      <c r="AP8" s="745"/>
      <c r="AQ8" s="748" t="str">
        <f xml:space="preserve"> ROUND(0.75*CLV_Limit,0) &amp; " - " &amp; ROUND(0.875*CLV_Limit-1,0)</f>
        <v>1200 - 1399</v>
      </c>
      <c r="AR8" s="748"/>
      <c r="AS8" s="748"/>
      <c r="AT8" s="748"/>
      <c r="AU8" s="748"/>
      <c r="AV8" s="748"/>
      <c r="AW8" s="750" t="str">
        <f>ROUND(0.875*CLV_Limit,0)&amp;" - "&amp; ROUND(CLV_Limit-1,0)</f>
        <v>1400 - 1599</v>
      </c>
      <c r="AX8" s="750"/>
      <c r="AY8" s="750"/>
      <c r="AZ8" s="750"/>
      <c r="BA8" s="750"/>
      <c r="BB8" s="750"/>
      <c r="BC8" s="752" t="str">
        <f>"≥ " &amp;CLV_Limit</f>
        <v>≥ 1600</v>
      </c>
      <c r="BD8" s="752"/>
      <c r="BE8" s="752"/>
      <c r="BF8" s="752"/>
      <c r="BG8" s="752"/>
      <c r="BH8" s="753"/>
      <c r="BI8" s="177"/>
      <c r="BJ8" s="174"/>
      <c r="BK8" s="174"/>
      <c r="BL8" s="1"/>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7"/>
    </row>
    <row r="9" spans="2:123" ht="9.9499999999999993" customHeight="1" thickBot="1">
      <c r="B9" s="1"/>
      <c r="C9" s="207"/>
      <c r="D9" s="208"/>
      <c r="E9" s="208"/>
      <c r="F9" s="208"/>
      <c r="G9" s="208"/>
      <c r="H9" s="208"/>
      <c r="I9" s="208"/>
      <c r="J9" s="208"/>
      <c r="K9" s="1026"/>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746"/>
      <c r="AL9" s="747"/>
      <c r="AM9" s="747"/>
      <c r="AN9" s="747"/>
      <c r="AO9" s="747"/>
      <c r="AP9" s="747"/>
      <c r="AQ9" s="749"/>
      <c r="AR9" s="749"/>
      <c r="AS9" s="749"/>
      <c r="AT9" s="749"/>
      <c r="AU9" s="749"/>
      <c r="AV9" s="749"/>
      <c r="AW9" s="751"/>
      <c r="AX9" s="751"/>
      <c r="AY9" s="751"/>
      <c r="AZ9" s="751"/>
      <c r="BA9" s="751"/>
      <c r="BB9" s="751"/>
      <c r="BC9" s="754"/>
      <c r="BD9" s="754"/>
      <c r="BE9" s="754"/>
      <c r="BF9" s="754"/>
      <c r="BG9" s="754"/>
      <c r="BH9" s="755"/>
      <c r="BI9" s="177"/>
      <c r="BJ9" s="174"/>
      <c r="BK9" s="174"/>
      <c r="BL9" s="1"/>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7"/>
    </row>
    <row r="10" spans="2:123" ht="9.9499999999999993" customHeight="1">
      <c r="B10" s="1"/>
      <c r="C10" s="207" t="s">
        <v>7</v>
      </c>
      <c r="D10" s="208"/>
      <c r="E10" s="208"/>
      <c r="F10" s="208"/>
      <c r="G10" s="208"/>
      <c r="H10" s="208"/>
      <c r="I10" s="208"/>
      <c r="J10" s="208"/>
      <c r="K10" s="1024" t="str">
        <f>Location</f>
        <v>"Enter the Project Location here (Input worksheet)"</v>
      </c>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712" t="s">
        <v>98</v>
      </c>
      <c r="AL10" s="1913"/>
      <c r="AM10" s="1913"/>
      <c r="AN10" s="1913"/>
      <c r="AO10" s="1913"/>
      <c r="AP10" s="1913"/>
      <c r="AQ10" s="1913"/>
      <c r="AR10" s="1913"/>
      <c r="AS10" s="1913"/>
      <c r="AT10" s="1913"/>
      <c r="AU10" s="1913"/>
      <c r="AV10" s="1914"/>
      <c r="AW10" s="1032">
        <f xml:space="preserve"> MAX(ROUND(C24/CLV_Limit,2),ROUND(AS17/CLV_Limit,2),ROUND(C62/CLV_Limit,2))</f>
        <v>1.18</v>
      </c>
      <c r="AX10" s="1930"/>
      <c r="AY10" s="1930"/>
      <c r="AZ10" s="1930"/>
      <c r="BA10" s="1930"/>
      <c r="BB10" s="1930"/>
      <c r="BC10" s="1930"/>
      <c r="BD10" s="1930"/>
      <c r="BE10" s="1930"/>
      <c r="BF10" s="1930"/>
      <c r="BG10" s="1930"/>
      <c r="BH10" s="1931"/>
      <c r="BI10" s="177"/>
      <c r="BJ10" s="174"/>
      <c r="BK10" s="174"/>
      <c r="BL10" s="1"/>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7"/>
    </row>
    <row r="11" spans="2:123" ht="9.9499999999999993" customHeight="1" thickBot="1">
      <c r="B11" s="1"/>
      <c r="C11" s="207"/>
      <c r="D11" s="208"/>
      <c r="E11" s="208"/>
      <c r="F11" s="208"/>
      <c r="G11" s="208"/>
      <c r="H11" s="208"/>
      <c r="I11" s="208"/>
      <c r="J11" s="208"/>
      <c r="K11" s="1026"/>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915"/>
      <c r="AL11" s="1916"/>
      <c r="AM11" s="1916"/>
      <c r="AN11" s="1916"/>
      <c r="AO11" s="1916"/>
      <c r="AP11" s="1916"/>
      <c r="AQ11" s="1916"/>
      <c r="AR11" s="1916"/>
      <c r="AS11" s="1916"/>
      <c r="AT11" s="1916"/>
      <c r="AU11" s="1916"/>
      <c r="AV11" s="1917"/>
      <c r="AW11" s="1932"/>
      <c r="AX11" s="1933"/>
      <c r="AY11" s="1933"/>
      <c r="AZ11" s="1933"/>
      <c r="BA11" s="1933"/>
      <c r="BB11" s="1933"/>
      <c r="BC11" s="1933"/>
      <c r="BD11" s="1933"/>
      <c r="BE11" s="1933"/>
      <c r="BF11" s="1933"/>
      <c r="BG11" s="1933"/>
      <c r="BH11" s="1934"/>
      <c r="BI11" s="177"/>
      <c r="BJ11" s="174"/>
      <c r="BK11" s="174"/>
      <c r="BL11" s="1"/>
      <c r="BM11" s="174"/>
      <c r="BN11" s="174"/>
      <c r="BO11" s="174"/>
      <c r="BP11" s="174"/>
      <c r="BQ11" s="174"/>
      <c r="BR11" s="174"/>
      <c r="BS11" s="174"/>
      <c r="BT11" s="174"/>
      <c r="BU11" s="174"/>
      <c r="BV11" s="174"/>
      <c r="BW11" s="174"/>
      <c r="BX11" s="174"/>
      <c r="BY11" s="174"/>
      <c r="BZ11" s="174"/>
      <c r="CA11" s="174"/>
      <c r="CB11" s="31"/>
      <c r="CC11" s="174"/>
      <c r="CD11" s="174"/>
      <c r="CE11" s="174"/>
      <c r="CF11" s="174"/>
      <c r="CG11" s="174"/>
      <c r="CH11" s="174"/>
      <c r="CI11" s="174"/>
      <c r="CJ11" s="174"/>
      <c r="CK11" s="174"/>
      <c r="CL11" s="174"/>
      <c r="CM11" s="174"/>
      <c r="CN11" s="174"/>
      <c r="CO11" s="174"/>
      <c r="CP11" s="174"/>
      <c r="CQ11" s="174"/>
      <c r="CR11" s="174"/>
      <c r="CS11" s="174"/>
      <c r="CT11" s="174"/>
      <c r="CU11" s="174"/>
      <c r="CV11" s="174"/>
      <c r="CW11" s="174"/>
      <c r="CX11" s="174"/>
      <c r="CY11" s="174"/>
      <c r="CZ11" s="174"/>
      <c r="DA11" s="174"/>
      <c r="DB11" s="174"/>
      <c r="DC11" s="174"/>
      <c r="DD11" s="174"/>
      <c r="DE11" s="174"/>
      <c r="DF11" s="174"/>
      <c r="DG11" s="174"/>
      <c r="DH11" s="174"/>
      <c r="DI11" s="174"/>
      <c r="DJ11" s="174"/>
      <c r="DK11" s="174"/>
      <c r="DL11" s="174"/>
      <c r="DM11" s="174"/>
      <c r="DN11" s="174"/>
      <c r="DO11" s="174"/>
      <c r="DP11" s="174"/>
      <c r="DQ11" s="174"/>
      <c r="DR11" s="174"/>
      <c r="DS11" s="177"/>
    </row>
    <row r="12" spans="2:123" ht="9.9499999999999993" customHeight="1">
      <c r="B12" s="1"/>
      <c r="C12" s="207" t="s">
        <v>9</v>
      </c>
      <c r="D12" s="208"/>
      <c r="E12" s="208"/>
      <c r="F12" s="208"/>
      <c r="G12" s="208"/>
      <c r="H12" s="208"/>
      <c r="I12" s="208"/>
      <c r="J12" s="208"/>
      <c r="K12" s="1028" t="str">
        <f>Date</f>
        <v>"Enter the date here (Input worksheet)"</v>
      </c>
      <c r="L12" s="1029"/>
      <c r="M12" s="1029"/>
      <c r="N12" s="1029"/>
      <c r="O12" s="1029"/>
      <c r="P12" s="1029"/>
      <c r="Q12" s="1029"/>
      <c r="R12" s="1029"/>
      <c r="S12" s="1029"/>
      <c r="T12" s="1029"/>
      <c r="U12" s="1029"/>
      <c r="V12" s="1029"/>
      <c r="W12" s="1029"/>
      <c r="X12" s="1029"/>
      <c r="Y12" s="1029"/>
      <c r="Z12" s="1029"/>
      <c r="AA12" s="1029"/>
      <c r="AB12" s="1029"/>
      <c r="AC12" s="1029"/>
      <c r="AD12" s="1029"/>
      <c r="AE12" s="1029"/>
      <c r="AF12" s="1029"/>
      <c r="AG12" s="1029"/>
      <c r="AH12" s="1029"/>
      <c r="AI12" s="1029"/>
      <c r="AJ12" s="1029"/>
      <c r="AK12" s="1915"/>
      <c r="AL12" s="1916"/>
      <c r="AM12" s="1916"/>
      <c r="AN12" s="1916"/>
      <c r="AO12" s="1916"/>
      <c r="AP12" s="1916"/>
      <c r="AQ12" s="1916"/>
      <c r="AR12" s="1916"/>
      <c r="AS12" s="1916"/>
      <c r="AT12" s="1916"/>
      <c r="AU12" s="1916"/>
      <c r="AV12" s="1917"/>
      <c r="AW12" s="1932"/>
      <c r="AX12" s="1933"/>
      <c r="AY12" s="1933"/>
      <c r="AZ12" s="1933"/>
      <c r="BA12" s="1933"/>
      <c r="BB12" s="1933"/>
      <c r="BC12" s="1933"/>
      <c r="BD12" s="1933"/>
      <c r="BE12" s="1933"/>
      <c r="BF12" s="1933"/>
      <c r="BG12" s="1933"/>
      <c r="BH12" s="1934"/>
      <c r="BI12" s="177"/>
      <c r="BJ12" s="174"/>
      <c r="BK12" s="174"/>
      <c r="BL12" s="1"/>
      <c r="BM12" s="174"/>
      <c r="BN12" s="174"/>
      <c r="BO12" s="174"/>
      <c r="BP12" s="174"/>
      <c r="BQ12" s="174"/>
      <c r="BR12" s="174"/>
      <c r="BS12" s="174"/>
      <c r="BT12" s="174"/>
      <c r="BU12" s="174"/>
      <c r="BV12" s="763"/>
      <c r="BW12" s="764"/>
      <c r="BX12" s="765"/>
      <c r="BY12" s="769"/>
      <c r="BZ12" s="764"/>
      <c r="CA12" s="765"/>
      <c r="CB12" s="769"/>
      <c r="CC12" s="764"/>
      <c r="CD12" s="765"/>
      <c r="CE12" s="769"/>
      <c r="CF12" s="764"/>
      <c r="CG12" s="771"/>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7"/>
    </row>
    <row r="13" spans="2:123" ht="9.9499999999999993" customHeight="1" thickBot="1">
      <c r="B13" s="1"/>
      <c r="C13" s="239"/>
      <c r="D13" s="240"/>
      <c r="E13" s="240"/>
      <c r="F13" s="240"/>
      <c r="G13" s="240"/>
      <c r="H13" s="240"/>
      <c r="I13" s="240"/>
      <c r="J13" s="240"/>
      <c r="K13" s="1030"/>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918"/>
      <c r="AL13" s="1919"/>
      <c r="AM13" s="1919"/>
      <c r="AN13" s="1919"/>
      <c r="AO13" s="1919"/>
      <c r="AP13" s="1919"/>
      <c r="AQ13" s="1919"/>
      <c r="AR13" s="1919"/>
      <c r="AS13" s="1919"/>
      <c r="AT13" s="1919"/>
      <c r="AU13" s="1919"/>
      <c r="AV13" s="1920"/>
      <c r="AW13" s="1935"/>
      <c r="AX13" s="1936"/>
      <c r="AY13" s="1936"/>
      <c r="AZ13" s="1936"/>
      <c r="BA13" s="1936"/>
      <c r="BB13" s="1936"/>
      <c r="BC13" s="1936"/>
      <c r="BD13" s="1936"/>
      <c r="BE13" s="1936"/>
      <c r="BF13" s="1936"/>
      <c r="BG13" s="1936"/>
      <c r="BH13" s="1937"/>
      <c r="BI13" s="177"/>
      <c r="BJ13" s="174"/>
      <c r="BK13" s="174"/>
      <c r="BL13" s="1"/>
      <c r="BM13" s="174"/>
      <c r="BN13" s="174"/>
      <c r="BO13" s="174"/>
      <c r="BP13" s="174"/>
      <c r="BQ13" s="174"/>
      <c r="BR13" s="174"/>
      <c r="BS13" s="174"/>
      <c r="BT13" s="174"/>
      <c r="BU13" s="174"/>
      <c r="BV13" s="766"/>
      <c r="BW13" s="767"/>
      <c r="BX13" s="768"/>
      <c r="BY13" s="770"/>
      <c r="BZ13" s="767"/>
      <c r="CA13" s="768"/>
      <c r="CB13" s="770"/>
      <c r="CC13" s="767"/>
      <c r="CD13" s="768"/>
      <c r="CE13" s="770"/>
      <c r="CF13" s="767"/>
      <c r="CG13" s="772"/>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7"/>
    </row>
    <row r="14" spans="2:123" ht="9.9499999999999993" customHeight="1">
      <c r="B14" s="1"/>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7"/>
      <c r="BJ14" s="174"/>
      <c r="BK14" s="174"/>
      <c r="BL14" s="1"/>
      <c r="BM14" s="174"/>
      <c r="BN14" s="174"/>
      <c r="BO14" s="174"/>
      <c r="BP14" s="174"/>
      <c r="BQ14" s="174"/>
      <c r="BR14" s="174"/>
      <c r="BS14" s="174"/>
      <c r="BT14" s="174"/>
      <c r="BU14" s="174"/>
      <c r="BV14" s="766"/>
      <c r="BW14" s="767"/>
      <c r="BX14" s="768"/>
      <c r="BY14" s="770"/>
      <c r="BZ14" s="767"/>
      <c r="CA14" s="768"/>
      <c r="CB14" s="770"/>
      <c r="CC14" s="767"/>
      <c r="CD14" s="768"/>
      <c r="CE14" s="770"/>
      <c r="CF14" s="767"/>
      <c r="CG14" s="772"/>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7"/>
    </row>
    <row r="15" spans="2:123" ht="9.9499999999999993" customHeight="1">
      <c r="B15" s="1"/>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3"/>
      <c r="AW15" s="173"/>
      <c r="AX15" s="173"/>
      <c r="AY15" s="173"/>
      <c r="AZ15" s="173"/>
      <c r="BA15" s="173"/>
      <c r="BB15" s="173"/>
      <c r="BC15" s="173"/>
      <c r="BD15" s="173"/>
      <c r="BE15" s="173"/>
      <c r="BF15" s="173"/>
      <c r="BG15" s="173"/>
      <c r="BH15" s="174"/>
      <c r="BI15" s="177"/>
      <c r="BJ15" s="174"/>
      <c r="BK15" s="174"/>
      <c r="BL15" s="1"/>
      <c r="BM15" s="174"/>
      <c r="BN15" s="174"/>
      <c r="BO15" s="174"/>
      <c r="BP15" s="174"/>
      <c r="BQ15" s="174"/>
      <c r="BR15" s="174"/>
      <c r="BS15" s="174"/>
      <c r="BT15" s="174"/>
      <c r="BU15" s="174"/>
      <c r="BV15" s="766"/>
      <c r="BW15" s="767"/>
      <c r="BX15" s="768"/>
      <c r="BY15" s="770"/>
      <c r="BZ15" s="767"/>
      <c r="CA15" s="768"/>
      <c r="CB15" s="770"/>
      <c r="CC15" s="767"/>
      <c r="CD15" s="768"/>
      <c r="CE15" s="770"/>
      <c r="CF15" s="767"/>
      <c r="CG15" s="772"/>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7"/>
    </row>
    <row r="16" spans="2:123" ht="9.9499999999999993" customHeight="1" thickBot="1">
      <c r="B16" s="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4"/>
      <c r="AB16" s="14"/>
      <c r="AC16" s="14"/>
      <c r="AD16" s="174"/>
      <c r="AE16" s="174"/>
      <c r="AF16" s="174"/>
      <c r="AG16" s="174"/>
      <c r="AH16" s="174"/>
      <c r="AI16" s="174"/>
      <c r="AJ16" s="174"/>
      <c r="AK16" s="174"/>
      <c r="AL16" s="174"/>
      <c r="AM16" s="174"/>
      <c r="AN16" s="14"/>
      <c r="AO16" s="14"/>
      <c r="AP16" s="14"/>
      <c r="AQ16" s="14"/>
      <c r="AR16" s="14"/>
      <c r="AS16" s="14"/>
      <c r="AT16" s="14"/>
      <c r="AU16" s="14"/>
      <c r="AV16" s="14"/>
      <c r="AW16" s="14"/>
      <c r="AX16" s="14"/>
      <c r="AY16" s="14"/>
      <c r="AZ16" s="14"/>
      <c r="BA16" s="14"/>
      <c r="BB16" s="14"/>
      <c r="BC16" s="14"/>
      <c r="BD16" s="14"/>
      <c r="BE16" s="14"/>
      <c r="BF16" s="14"/>
      <c r="BG16" s="14"/>
      <c r="BH16" s="174"/>
      <c r="BI16" s="177"/>
      <c r="BJ16" s="174"/>
      <c r="BK16" s="174"/>
      <c r="BL16" s="1"/>
      <c r="BM16" s="174"/>
      <c r="BN16" s="174"/>
      <c r="BO16" s="174"/>
      <c r="BP16" s="174"/>
      <c r="BQ16" s="174"/>
      <c r="BR16" s="174"/>
      <c r="BS16" s="174"/>
      <c r="BT16" s="174"/>
      <c r="BU16" s="174"/>
      <c r="BV16" s="773" t="s">
        <v>99</v>
      </c>
      <c r="BW16" s="774"/>
      <c r="BX16" s="775"/>
      <c r="BY16" s="776" t="s">
        <v>99</v>
      </c>
      <c r="BZ16" s="774"/>
      <c r="CA16" s="775"/>
      <c r="CB16" s="776" t="s">
        <v>99</v>
      </c>
      <c r="CC16" s="774"/>
      <c r="CD16" s="775"/>
      <c r="CE16" s="776" t="s">
        <v>99</v>
      </c>
      <c r="CF16" s="774"/>
      <c r="CG16" s="777"/>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7"/>
    </row>
    <row r="17" spans="2:123" ht="9.9499999999999993" customHeight="1">
      <c r="B17" s="1"/>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4"/>
      <c r="AA17" s="14"/>
      <c r="AB17" s="174"/>
      <c r="AC17" s="174"/>
      <c r="AD17" s="174"/>
      <c r="AE17" s="174"/>
      <c r="AF17" s="174"/>
      <c r="AG17" s="174"/>
      <c r="AH17" s="174"/>
      <c r="AI17" s="174"/>
      <c r="AJ17" s="174"/>
      <c r="AK17" s="174"/>
      <c r="AL17" s="174"/>
      <c r="AM17" s="174"/>
      <c r="AN17" s="14"/>
      <c r="AO17" s="14"/>
      <c r="AP17" s="14"/>
      <c r="AQ17" s="14"/>
      <c r="AR17" s="14"/>
      <c r="AS17" s="728">
        <f>BX53</f>
        <v>1887.8947368421054</v>
      </c>
      <c r="AT17" s="861"/>
      <c r="AU17" s="861"/>
      <c r="AV17" s="861"/>
      <c r="AW17" s="861"/>
      <c r="AX17" s="861"/>
      <c r="AY17" s="861"/>
      <c r="AZ17" s="861"/>
      <c r="BA17" s="861"/>
      <c r="BB17" s="862"/>
      <c r="BC17" s="14"/>
      <c r="BD17" s="14"/>
      <c r="BE17" s="14"/>
      <c r="BF17" s="14"/>
      <c r="BG17" s="14"/>
      <c r="BH17" s="174"/>
      <c r="BI17" s="177"/>
      <c r="BJ17" s="174"/>
      <c r="BK17" s="174"/>
      <c r="BL17" s="1"/>
      <c r="BM17" s="174"/>
      <c r="BN17" s="174"/>
      <c r="BO17" s="174"/>
      <c r="BP17" s="174"/>
      <c r="BQ17" s="174"/>
      <c r="BR17" s="174"/>
      <c r="BS17" s="174"/>
      <c r="BT17" s="174"/>
      <c r="BU17" s="174"/>
      <c r="BV17" s="778">
        <f>SBR_Master</f>
        <v>0</v>
      </c>
      <c r="BW17" s="779"/>
      <c r="BX17" s="780"/>
      <c r="BY17" s="781">
        <f>SBT_Master</f>
        <v>1447</v>
      </c>
      <c r="BZ17" s="779"/>
      <c r="CA17" s="780"/>
      <c r="CB17" s="781">
        <f>SBL_Master</f>
        <v>607</v>
      </c>
      <c r="CC17" s="779"/>
      <c r="CD17" s="780"/>
      <c r="CE17" s="781">
        <f>SBU_Master</f>
        <v>0</v>
      </c>
      <c r="CF17" s="779"/>
      <c r="CG17" s="782"/>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7"/>
    </row>
    <row r="18" spans="2:123" ht="9.9499999999999993" customHeight="1" thickBot="1">
      <c r="B18" s="1"/>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4"/>
      <c r="AA18" s="14"/>
      <c r="AB18" s="174"/>
      <c r="AC18" s="174"/>
      <c r="AD18" s="174"/>
      <c r="AE18" s="174"/>
      <c r="AF18" s="174"/>
      <c r="AG18" s="174"/>
      <c r="AH18" s="174"/>
      <c r="AI18" s="174"/>
      <c r="AJ18" s="174"/>
      <c r="AK18" s="174"/>
      <c r="AL18" s="174"/>
      <c r="AM18" s="174"/>
      <c r="AN18" s="14"/>
      <c r="AO18" s="14"/>
      <c r="AP18" s="14"/>
      <c r="AQ18" s="14"/>
      <c r="AR18" s="14"/>
      <c r="AS18" s="863"/>
      <c r="AT18" s="864"/>
      <c r="AU18" s="864"/>
      <c r="AV18" s="864"/>
      <c r="AW18" s="864"/>
      <c r="AX18" s="864"/>
      <c r="AY18" s="864"/>
      <c r="AZ18" s="864"/>
      <c r="BA18" s="864"/>
      <c r="BB18" s="865"/>
      <c r="BC18" s="174"/>
      <c r="BD18" s="174"/>
      <c r="BE18" s="174"/>
      <c r="BF18" s="174"/>
      <c r="BG18" s="14"/>
      <c r="BH18" s="174"/>
      <c r="BI18" s="177"/>
      <c r="BJ18" s="174"/>
      <c r="BK18" s="174"/>
      <c r="BL18" s="1"/>
      <c r="BM18" s="174"/>
      <c r="BN18" s="174"/>
      <c r="BO18" s="174"/>
      <c r="BP18" s="174"/>
      <c r="BQ18" s="174"/>
      <c r="BR18" s="174"/>
      <c r="BS18" s="174"/>
      <c r="BT18" s="174"/>
      <c r="BU18" s="174"/>
      <c r="BV18" s="928">
        <v>1</v>
      </c>
      <c r="BW18" s="929"/>
      <c r="BX18" s="929"/>
      <c r="BY18" s="929">
        <v>2</v>
      </c>
      <c r="BZ18" s="929"/>
      <c r="CA18" s="929"/>
      <c r="CB18" s="1010"/>
      <c r="CC18" s="1010"/>
      <c r="CD18" s="1010"/>
      <c r="CE18" s="1010"/>
      <c r="CF18" s="1010"/>
      <c r="CG18" s="1011"/>
      <c r="CH18" s="174"/>
      <c r="CI18" s="174"/>
      <c r="CJ18" s="174"/>
      <c r="CK18" s="174"/>
      <c r="CL18" s="174"/>
      <c r="CM18" s="174"/>
      <c r="CN18" s="174"/>
      <c r="CO18" s="174"/>
      <c r="CP18" s="174"/>
      <c r="CQ18" s="174"/>
      <c r="CR18" s="174"/>
      <c r="CS18" s="174"/>
      <c r="CT18" s="174"/>
      <c r="CU18" s="174"/>
      <c r="CV18" s="174"/>
      <c r="CW18" s="174"/>
      <c r="CX18" s="174"/>
      <c r="CY18" s="174"/>
      <c r="CZ18" s="174"/>
      <c r="DA18" s="174"/>
      <c r="DB18" s="4"/>
      <c r="DC18" s="174"/>
      <c r="DD18" s="174"/>
      <c r="DE18" s="174"/>
      <c r="DF18" s="174"/>
      <c r="DG18" s="174"/>
      <c r="DH18" s="174"/>
      <c r="DI18" s="174"/>
      <c r="DJ18" s="174"/>
      <c r="DK18" s="174"/>
      <c r="DL18" s="174"/>
      <c r="DM18" s="174"/>
      <c r="DN18" s="174"/>
      <c r="DO18" s="174"/>
      <c r="DP18" s="174"/>
      <c r="DQ18" s="174"/>
      <c r="DR18" s="174"/>
      <c r="DS18" s="177"/>
    </row>
    <row r="19" spans="2:123" ht="9.9499999999999993" customHeight="1" thickBot="1">
      <c r="B19" s="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4"/>
      <c r="AA19" s="14"/>
      <c r="AB19" s="174"/>
      <c r="AC19" s="174"/>
      <c r="AD19" s="174"/>
      <c r="AE19" s="174"/>
      <c r="AF19" s="174"/>
      <c r="AG19" s="174"/>
      <c r="AH19" s="174"/>
      <c r="AI19" s="174"/>
      <c r="AJ19" s="174"/>
      <c r="AK19" s="174"/>
      <c r="AL19" s="174"/>
      <c r="AM19" s="174"/>
      <c r="AN19" s="14"/>
      <c r="AO19" s="14"/>
      <c r="AP19" s="14"/>
      <c r="AQ19" s="14"/>
      <c r="AR19" s="14"/>
      <c r="AS19" s="866"/>
      <c r="AT19" s="867"/>
      <c r="AU19" s="867"/>
      <c r="AV19" s="867"/>
      <c r="AW19" s="867"/>
      <c r="AX19" s="867"/>
      <c r="AY19" s="867"/>
      <c r="AZ19" s="867"/>
      <c r="BA19" s="867"/>
      <c r="BB19" s="868"/>
      <c r="BC19" s="174"/>
      <c r="BD19" s="174"/>
      <c r="BE19" s="174"/>
      <c r="BF19" s="174"/>
      <c r="BG19" s="14"/>
      <c r="BH19" s="174"/>
      <c r="BI19" s="177"/>
      <c r="BJ19" s="174"/>
      <c r="BK19" s="174"/>
      <c r="BL19" s="1"/>
      <c r="BM19" s="174"/>
      <c r="BN19" s="174"/>
      <c r="BO19" s="788"/>
      <c r="BP19" s="789"/>
      <c r="BQ19" s="789"/>
      <c r="BR19" s="789"/>
      <c r="BS19" s="794" t="s">
        <v>99</v>
      </c>
      <c r="BT19" s="797">
        <f>EBU_Master</f>
        <v>0</v>
      </c>
      <c r="BU19" s="1016"/>
      <c r="BV19" s="58"/>
      <c r="BW19" s="109"/>
      <c r="BX19" s="109"/>
      <c r="BY19" s="109"/>
      <c r="BZ19" s="109"/>
      <c r="CA19" s="109"/>
      <c r="CB19" s="109"/>
      <c r="CC19" s="109"/>
      <c r="CD19" s="109"/>
      <c r="CE19" s="109"/>
      <c r="CF19" s="109"/>
      <c r="CG19" s="109"/>
      <c r="CH19" s="910">
        <v>1</v>
      </c>
      <c r="CI19" s="913">
        <f>DK19+CE17</f>
        <v>625</v>
      </c>
      <c r="CJ19" s="914" t="s">
        <v>99</v>
      </c>
      <c r="CK19" s="789"/>
      <c r="CL19" s="789"/>
      <c r="CM19" s="789"/>
      <c r="CN19" s="812"/>
      <c r="CO19" s="174"/>
      <c r="CP19" s="174"/>
      <c r="CQ19" s="174"/>
      <c r="CR19" s="174"/>
      <c r="CS19" s="174"/>
      <c r="CT19" s="174"/>
      <c r="CU19" s="174"/>
      <c r="CV19" s="174"/>
      <c r="CW19" s="174"/>
      <c r="CX19" s="56"/>
      <c r="CY19" s="175"/>
      <c r="CZ19" s="175"/>
      <c r="DA19" s="175"/>
      <c r="DB19" s="175"/>
      <c r="DC19" s="175"/>
      <c r="DD19" s="175"/>
      <c r="DE19" s="175"/>
      <c r="DF19" s="175"/>
      <c r="DG19" s="175"/>
      <c r="DH19" s="175"/>
      <c r="DI19" s="176"/>
      <c r="DJ19" s="1043"/>
      <c r="DK19" s="806">
        <f>WBR_Master</f>
        <v>625</v>
      </c>
      <c r="DL19" s="809" t="s">
        <v>99</v>
      </c>
      <c r="DM19" s="789"/>
      <c r="DN19" s="789"/>
      <c r="DO19" s="789"/>
      <c r="DP19" s="812"/>
      <c r="DQ19" s="174"/>
      <c r="DR19" s="174"/>
      <c r="DS19" s="177"/>
    </row>
    <row r="20" spans="2:123" ht="9.9499999999999993" customHeight="1">
      <c r="B20" s="1"/>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4"/>
      <c r="AA20" s="14"/>
      <c r="AB20" s="174"/>
      <c r="AC20" s="174"/>
      <c r="AD20" s="174"/>
      <c r="AE20" s="174"/>
      <c r="AF20" s="174"/>
      <c r="AG20" s="174"/>
      <c r="AH20" s="174"/>
      <c r="AI20" s="174"/>
      <c r="AJ20" s="174"/>
      <c r="AK20" s="174"/>
      <c r="AL20" s="174"/>
      <c r="AM20" s="174"/>
      <c r="AN20" s="14"/>
      <c r="AO20" s="14"/>
      <c r="AP20" s="14"/>
      <c r="AQ20" s="14"/>
      <c r="AR20" s="14"/>
      <c r="AS20" s="713">
        <f>ROUND(AS17/CLV_Limit,2)</f>
        <v>1.18</v>
      </c>
      <c r="AT20" s="714"/>
      <c r="AU20" s="714"/>
      <c r="AV20" s="714"/>
      <c r="AW20" s="715"/>
      <c r="AX20" s="722" t="s">
        <v>100</v>
      </c>
      <c r="AY20" s="722"/>
      <c r="AZ20" s="722"/>
      <c r="BA20" s="722"/>
      <c r="BB20" s="723"/>
      <c r="BC20" s="174"/>
      <c r="BD20" s="174"/>
      <c r="BE20" s="174"/>
      <c r="BF20" s="174"/>
      <c r="BG20" s="14"/>
      <c r="BH20" s="174"/>
      <c r="BI20" s="177"/>
      <c r="BJ20" s="174"/>
      <c r="BK20" s="174"/>
      <c r="BL20" s="1"/>
      <c r="BM20" s="174"/>
      <c r="BN20" s="174"/>
      <c r="BO20" s="790"/>
      <c r="BP20" s="791"/>
      <c r="BQ20" s="791"/>
      <c r="BR20" s="791"/>
      <c r="BS20" s="795"/>
      <c r="BT20" s="798"/>
      <c r="BU20" s="1013"/>
      <c r="BV20" s="58"/>
      <c r="BW20" s="109"/>
      <c r="BX20" s="109"/>
      <c r="BY20" s="109"/>
      <c r="BZ20" s="109"/>
      <c r="CA20" s="109"/>
      <c r="CB20" s="109"/>
      <c r="CC20" s="109"/>
      <c r="CD20" s="109"/>
      <c r="CE20" s="109"/>
      <c r="CF20" s="109"/>
      <c r="CG20" s="109"/>
      <c r="CH20" s="911"/>
      <c r="CI20" s="1005"/>
      <c r="CJ20" s="1007"/>
      <c r="CK20" s="791"/>
      <c r="CL20" s="791"/>
      <c r="CM20" s="791"/>
      <c r="CN20" s="813"/>
      <c r="CO20" s="174"/>
      <c r="CP20" s="174"/>
      <c r="CQ20" s="174"/>
      <c r="CR20" s="174"/>
      <c r="CS20" s="174"/>
      <c r="CT20" s="174"/>
      <c r="CU20" s="174"/>
      <c r="CV20" s="174"/>
      <c r="CW20" s="174"/>
      <c r="CX20" s="58"/>
      <c r="CY20" s="109"/>
      <c r="CZ20" s="109"/>
      <c r="DA20" s="109"/>
      <c r="DB20" s="109"/>
      <c r="DC20" s="109"/>
      <c r="DD20" s="109"/>
      <c r="DE20" s="109"/>
      <c r="DF20" s="109"/>
      <c r="DG20" s="109"/>
      <c r="DH20" s="109"/>
      <c r="DI20" s="60"/>
      <c r="DJ20" s="1003"/>
      <c r="DK20" s="807"/>
      <c r="DL20" s="810"/>
      <c r="DM20" s="791"/>
      <c r="DN20" s="791"/>
      <c r="DO20" s="791"/>
      <c r="DP20" s="813"/>
      <c r="DQ20" s="174"/>
      <c r="DR20" s="174"/>
      <c r="DS20" s="177"/>
    </row>
    <row r="21" spans="2:123" ht="9.9499999999999993" customHeight="1" thickBot="1">
      <c r="B21" s="1"/>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4"/>
      <c r="AA21" s="14"/>
      <c r="AB21" s="174"/>
      <c r="AC21" s="174"/>
      <c r="AD21" s="174"/>
      <c r="AE21" s="174"/>
      <c r="AF21" s="174"/>
      <c r="AG21" s="174"/>
      <c r="AH21" s="174"/>
      <c r="AI21" s="174"/>
      <c r="AJ21" s="174"/>
      <c r="AK21" s="174"/>
      <c r="AL21" s="174"/>
      <c r="AM21" s="174"/>
      <c r="AN21" s="14"/>
      <c r="AO21" s="14"/>
      <c r="AP21" s="14"/>
      <c r="AQ21" s="14"/>
      <c r="AR21" s="14"/>
      <c r="AS21" s="716"/>
      <c r="AT21" s="717"/>
      <c r="AU21" s="717"/>
      <c r="AV21" s="717"/>
      <c r="AW21" s="718"/>
      <c r="AX21" s="724"/>
      <c r="AY21" s="724"/>
      <c r="AZ21" s="724"/>
      <c r="BA21" s="724"/>
      <c r="BB21" s="725"/>
      <c r="BC21" s="174"/>
      <c r="BD21" s="174"/>
      <c r="BE21" s="174"/>
      <c r="BF21" s="174"/>
      <c r="BG21" s="14"/>
      <c r="BH21" s="174"/>
      <c r="BI21" s="177"/>
      <c r="BJ21" s="174"/>
      <c r="BK21" s="174"/>
      <c r="BL21" s="1"/>
      <c r="BM21" s="174"/>
      <c r="BN21" s="174"/>
      <c r="BO21" s="792"/>
      <c r="BP21" s="793"/>
      <c r="BQ21" s="793"/>
      <c r="BR21" s="793"/>
      <c r="BS21" s="796"/>
      <c r="BT21" s="799"/>
      <c r="BU21" s="1014"/>
      <c r="BV21" s="58"/>
      <c r="BW21" s="109"/>
      <c r="BX21" s="109"/>
      <c r="BY21" s="109"/>
      <c r="BZ21" s="109"/>
      <c r="CA21" s="109"/>
      <c r="CB21" s="109"/>
      <c r="CC21" s="109"/>
      <c r="CD21" s="109"/>
      <c r="CE21" s="109"/>
      <c r="CF21" s="109"/>
      <c r="CG21" s="109"/>
      <c r="CH21" s="912"/>
      <c r="CI21" s="1017"/>
      <c r="CJ21" s="1015"/>
      <c r="CK21" s="793"/>
      <c r="CL21" s="793"/>
      <c r="CM21" s="793"/>
      <c r="CN21" s="814"/>
      <c r="CO21" s="174"/>
      <c r="CP21" s="174"/>
      <c r="CQ21" s="174"/>
      <c r="CR21" s="174"/>
      <c r="CS21" s="174"/>
      <c r="CT21" s="174"/>
      <c r="CU21" s="174"/>
      <c r="CV21" s="174"/>
      <c r="CW21" s="174"/>
      <c r="CX21" s="58"/>
      <c r="CY21" s="109"/>
      <c r="CZ21" s="109"/>
      <c r="DA21" s="109"/>
      <c r="DB21" s="109"/>
      <c r="DC21" s="109"/>
      <c r="DD21" s="109"/>
      <c r="DE21" s="109"/>
      <c r="DF21" s="109"/>
      <c r="DG21" s="109"/>
      <c r="DH21" s="109"/>
      <c r="DI21" s="60"/>
      <c r="DJ21" s="1009"/>
      <c r="DK21" s="808"/>
      <c r="DL21" s="811"/>
      <c r="DM21" s="793"/>
      <c r="DN21" s="793"/>
      <c r="DO21" s="793"/>
      <c r="DP21" s="814"/>
      <c r="DQ21" s="174"/>
      <c r="DR21" s="174"/>
      <c r="DS21" s="177"/>
    </row>
    <row r="22" spans="2:123" ht="9.9499999999999993" customHeight="1" thickBot="1">
      <c r="B22" s="1"/>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4"/>
      <c r="AA22" s="14"/>
      <c r="AB22" s="174"/>
      <c r="AC22" s="174"/>
      <c r="AD22" s="174"/>
      <c r="AE22" s="174"/>
      <c r="AF22" s="174"/>
      <c r="AG22" s="174"/>
      <c r="AH22" s="174"/>
      <c r="AI22" s="174"/>
      <c r="AJ22" s="174"/>
      <c r="AK22" s="174"/>
      <c r="AL22" s="14"/>
      <c r="AM22" s="14"/>
      <c r="AN22" s="14"/>
      <c r="AO22" s="14"/>
      <c r="AP22" s="14"/>
      <c r="AQ22" s="14"/>
      <c r="AR22" s="14"/>
      <c r="AS22" s="719"/>
      <c r="AT22" s="720"/>
      <c r="AU22" s="720"/>
      <c r="AV22" s="720"/>
      <c r="AW22" s="721"/>
      <c r="AX22" s="726"/>
      <c r="AY22" s="726"/>
      <c r="AZ22" s="726"/>
      <c r="BA22" s="726"/>
      <c r="BB22" s="727"/>
      <c r="BC22" s="174"/>
      <c r="BD22" s="174"/>
      <c r="BE22" s="174"/>
      <c r="BF22" s="174"/>
      <c r="BG22" s="14"/>
      <c r="BH22" s="174"/>
      <c r="BI22" s="177"/>
      <c r="BJ22" s="174"/>
      <c r="BK22" s="174"/>
      <c r="BL22" s="1"/>
      <c r="BM22" s="174"/>
      <c r="BN22" s="174"/>
      <c r="BO22" s="815"/>
      <c r="BP22" s="816"/>
      <c r="BQ22" s="816"/>
      <c r="BR22" s="816"/>
      <c r="BS22" s="817" t="s">
        <v>99</v>
      </c>
      <c r="BT22" s="818">
        <f>EBL_Master</f>
        <v>899</v>
      </c>
      <c r="BU22" s="937">
        <v>1</v>
      </c>
      <c r="BV22" s="58"/>
      <c r="BW22" s="109"/>
      <c r="BX22" s="763"/>
      <c r="BY22" s="764"/>
      <c r="BZ22" s="764"/>
      <c r="CA22" s="764"/>
      <c r="CB22" s="764"/>
      <c r="CC22" s="764"/>
      <c r="CD22" s="764"/>
      <c r="CE22" s="771"/>
      <c r="CF22" s="109"/>
      <c r="CG22" s="109"/>
      <c r="CH22" s="951">
        <v>2</v>
      </c>
      <c r="CI22" s="952">
        <f>DK22+BT19+DD32</f>
        <v>0</v>
      </c>
      <c r="CJ22" s="953" t="s">
        <v>99</v>
      </c>
      <c r="CK22" s="816"/>
      <c r="CL22" s="816"/>
      <c r="CM22" s="816"/>
      <c r="CN22" s="822"/>
      <c r="CO22" s="174"/>
      <c r="CP22" s="174"/>
      <c r="CQ22" s="174"/>
      <c r="CR22" s="174"/>
      <c r="CS22" s="174"/>
      <c r="CT22" s="174"/>
      <c r="CU22" s="174"/>
      <c r="CV22" s="174"/>
      <c r="CW22" s="174"/>
      <c r="CX22" s="58"/>
      <c r="CY22" s="109"/>
      <c r="CZ22" s="763"/>
      <c r="DA22" s="764"/>
      <c r="DB22" s="764"/>
      <c r="DC22" s="764"/>
      <c r="DD22" s="764"/>
      <c r="DE22" s="764"/>
      <c r="DF22" s="764"/>
      <c r="DG22" s="771"/>
      <c r="DH22" s="109"/>
      <c r="DI22" s="60"/>
      <c r="DJ22" s="951">
        <v>2</v>
      </c>
      <c r="DK22" s="820">
        <f>WBT_Master</f>
        <v>0</v>
      </c>
      <c r="DL22" s="821" t="s">
        <v>99</v>
      </c>
      <c r="DM22" s="816"/>
      <c r="DN22" s="816"/>
      <c r="DO22" s="816"/>
      <c r="DP22" s="822"/>
      <c r="DQ22" s="174"/>
      <c r="DR22" s="174"/>
      <c r="DS22" s="177"/>
    </row>
    <row r="23" spans="2:123" ht="9.9499999999999993" customHeight="1" thickBot="1">
      <c r="B23" s="1"/>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74"/>
      <c r="AX23" s="174"/>
      <c r="AY23" s="174"/>
      <c r="AZ23" s="174"/>
      <c r="BA23" s="174"/>
      <c r="BB23" s="174"/>
      <c r="BC23" s="174"/>
      <c r="BD23" s="174"/>
      <c r="BE23" s="174"/>
      <c r="BF23" s="174"/>
      <c r="BG23" s="14"/>
      <c r="BH23" s="174"/>
      <c r="BI23" s="177"/>
      <c r="BJ23" s="174"/>
      <c r="BK23" s="174"/>
      <c r="BL23" s="1"/>
      <c r="BM23" s="174"/>
      <c r="BN23" s="174"/>
      <c r="BO23" s="790"/>
      <c r="BP23" s="791"/>
      <c r="BQ23" s="791"/>
      <c r="BR23" s="791"/>
      <c r="BS23" s="795"/>
      <c r="BT23" s="798"/>
      <c r="BU23" s="938"/>
      <c r="BV23" s="58"/>
      <c r="BW23" s="109"/>
      <c r="BX23" s="766"/>
      <c r="BY23" s="767"/>
      <c r="BZ23" s="767"/>
      <c r="CA23" s="767"/>
      <c r="CB23" s="767"/>
      <c r="CC23" s="767"/>
      <c r="CD23" s="767"/>
      <c r="CE23" s="772"/>
      <c r="CF23" s="109"/>
      <c r="CG23" s="109"/>
      <c r="CH23" s="911"/>
      <c r="CI23" s="1005"/>
      <c r="CJ23" s="1007"/>
      <c r="CK23" s="791"/>
      <c r="CL23" s="791"/>
      <c r="CM23" s="791"/>
      <c r="CN23" s="813"/>
      <c r="CO23" s="174"/>
      <c r="CP23" s="174"/>
      <c r="CQ23" s="174"/>
      <c r="CR23" s="174"/>
      <c r="CS23" s="174"/>
      <c r="CT23" s="174"/>
      <c r="CU23" s="174"/>
      <c r="CV23" s="174"/>
      <c r="CW23" s="174"/>
      <c r="CX23" s="58"/>
      <c r="CY23" s="109"/>
      <c r="CZ23" s="766"/>
      <c r="DA23" s="767"/>
      <c r="DB23" s="767"/>
      <c r="DC23" s="767"/>
      <c r="DD23" s="767"/>
      <c r="DE23" s="767"/>
      <c r="DF23" s="767"/>
      <c r="DG23" s="772"/>
      <c r="DH23" s="109"/>
      <c r="DI23" s="60"/>
      <c r="DJ23" s="911"/>
      <c r="DK23" s="807"/>
      <c r="DL23" s="810"/>
      <c r="DM23" s="791"/>
      <c r="DN23" s="791"/>
      <c r="DO23" s="791"/>
      <c r="DP23" s="813"/>
      <c r="DQ23" s="174"/>
      <c r="DR23" s="174"/>
      <c r="DS23" s="177"/>
    </row>
    <row r="24" spans="2:123" ht="9.9499999999999993" customHeight="1" thickBot="1">
      <c r="B24" s="1"/>
      <c r="C24" s="728">
        <f>BX25</f>
        <v>1762.294117647059</v>
      </c>
      <c r="D24" s="861"/>
      <c r="E24" s="861"/>
      <c r="F24" s="861"/>
      <c r="G24" s="861"/>
      <c r="H24" s="861"/>
      <c r="I24" s="861"/>
      <c r="J24" s="861"/>
      <c r="K24" s="861"/>
      <c r="L24" s="862"/>
      <c r="M24" s="174"/>
      <c r="N24" s="174"/>
      <c r="O24" s="174"/>
      <c r="P24" s="174"/>
      <c r="Q24" s="174"/>
      <c r="R24" s="174"/>
      <c r="S24" s="174"/>
      <c r="T24" s="174"/>
      <c r="U24" s="174"/>
      <c r="V24" s="174"/>
      <c r="W24" s="174"/>
      <c r="X24" s="174"/>
      <c r="Y24" s="17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74"/>
      <c r="AX24" s="174"/>
      <c r="AY24" s="174"/>
      <c r="AZ24" s="174"/>
      <c r="BA24" s="174"/>
      <c r="BB24" s="174"/>
      <c r="BC24" s="174"/>
      <c r="BD24" s="174"/>
      <c r="BE24" s="174"/>
      <c r="BF24" s="174"/>
      <c r="BG24" s="14"/>
      <c r="BH24" s="174"/>
      <c r="BI24" s="177"/>
      <c r="BJ24" s="174"/>
      <c r="BK24" s="174"/>
      <c r="BL24" s="1"/>
      <c r="BM24" s="174"/>
      <c r="BN24" s="174"/>
      <c r="BO24" s="792"/>
      <c r="BP24" s="793"/>
      <c r="BQ24" s="793"/>
      <c r="BR24" s="793"/>
      <c r="BS24" s="796"/>
      <c r="BT24" s="799"/>
      <c r="BU24" s="939"/>
      <c r="BV24" s="58"/>
      <c r="BW24" s="109"/>
      <c r="BX24" s="766"/>
      <c r="BY24" s="767"/>
      <c r="BZ24" s="767"/>
      <c r="CA24" s="767"/>
      <c r="CB24" s="767"/>
      <c r="CC24" s="767"/>
      <c r="CD24" s="767"/>
      <c r="CE24" s="772"/>
      <c r="CF24" s="109"/>
      <c r="CG24" s="109"/>
      <c r="CH24" s="957"/>
      <c r="CI24" s="1006"/>
      <c r="CJ24" s="1008"/>
      <c r="CK24" s="825"/>
      <c r="CL24" s="825"/>
      <c r="CM24" s="825"/>
      <c r="CN24" s="832"/>
      <c r="CO24" s="174"/>
      <c r="CP24" s="174"/>
      <c r="CQ24" s="174"/>
      <c r="CR24" s="174"/>
      <c r="CS24" s="174"/>
      <c r="CT24" s="174"/>
      <c r="CU24" s="174"/>
      <c r="CV24" s="174"/>
      <c r="CW24" s="174"/>
      <c r="CX24" s="58"/>
      <c r="CY24" s="109"/>
      <c r="CZ24" s="766"/>
      <c r="DA24" s="767"/>
      <c r="DB24" s="767"/>
      <c r="DC24" s="767"/>
      <c r="DD24" s="767"/>
      <c r="DE24" s="767"/>
      <c r="DF24" s="767"/>
      <c r="DG24" s="772"/>
      <c r="DH24" s="109"/>
      <c r="DI24" s="60"/>
      <c r="DJ24" s="912"/>
      <c r="DK24" s="808"/>
      <c r="DL24" s="811"/>
      <c r="DM24" s="793"/>
      <c r="DN24" s="793"/>
      <c r="DO24" s="793"/>
      <c r="DP24" s="814"/>
      <c r="DQ24" s="174"/>
      <c r="DR24" s="174"/>
      <c r="DS24" s="177"/>
    </row>
    <row r="25" spans="2:123" ht="9.9499999999999993" customHeight="1">
      <c r="B25" s="1"/>
      <c r="C25" s="863"/>
      <c r="D25" s="864"/>
      <c r="E25" s="864"/>
      <c r="F25" s="864"/>
      <c r="G25" s="864"/>
      <c r="H25" s="864"/>
      <c r="I25" s="864"/>
      <c r="J25" s="864"/>
      <c r="K25" s="864"/>
      <c r="L25" s="865"/>
      <c r="M25" s="174"/>
      <c r="N25" s="174"/>
      <c r="O25" s="174"/>
      <c r="P25" s="174"/>
      <c r="Q25" s="174"/>
      <c r="R25" s="174"/>
      <c r="S25" s="174"/>
      <c r="T25" s="174"/>
      <c r="U25" s="174"/>
      <c r="V25" s="174"/>
      <c r="W25" s="174"/>
      <c r="X25" s="174"/>
      <c r="Y25" s="17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74"/>
      <c r="AX25" s="174"/>
      <c r="AY25" s="174"/>
      <c r="AZ25" s="174"/>
      <c r="BA25" s="174"/>
      <c r="BB25" s="174"/>
      <c r="BC25" s="174"/>
      <c r="BD25" s="174"/>
      <c r="BE25" s="174"/>
      <c r="BF25" s="174"/>
      <c r="BG25" s="14"/>
      <c r="BH25" s="174"/>
      <c r="BI25" s="177"/>
      <c r="BJ25" s="174"/>
      <c r="BK25" s="174"/>
      <c r="BL25" s="1"/>
      <c r="BM25" s="174"/>
      <c r="BN25" s="174"/>
      <c r="BO25" s="815"/>
      <c r="BP25" s="816"/>
      <c r="BQ25" s="816"/>
      <c r="BR25" s="816"/>
      <c r="BS25" s="817" t="s">
        <v>99</v>
      </c>
      <c r="BT25" s="818">
        <f>EBT_Master</f>
        <v>0</v>
      </c>
      <c r="BU25" s="937">
        <v>2</v>
      </c>
      <c r="BV25" s="58"/>
      <c r="BW25" s="109"/>
      <c r="BX25" s="833">
        <f>MAX(CB32/CB31, CE32/RTAF/CE31, (BY17+CB17+CE17)/BY18, BV17/RTAF/BV18) +MAX((BT25+BT22)/BU25, (BT28+BT19)/RTAF/BU28, CI22/CH22, CI19/RTAF/CH19)</f>
        <v>1762.294117647059</v>
      </c>
      <c r="BY25" s="834"/>
      <c r="BZ25" s="834"/>
      <c r="CA25" s="834"/>
      <c r="CB25" s="834"/>
      <c r="CC25" s="834"/>
      <c r="CD25" s="834"/>
      <c r="CE25" s="835"/>
      <c r="CF25" s="109"/>
      <c r="CG25" s="60"/>
      <c r="CH25" s="174"/>
      <c r="CI25" s="174"/>
      <c r="CJ25" s="174"/>
      <c r="CK25" s="174"/>
      <c r="CL25" s="174"/>
      <c r="CM25" s="174"/>
      <c r="CN25" s="174"/>
      <c r="CO25" s="174"/>
      <c r="CP25" s="174"/>
      <c r="CQ25" s="788"/>
      <c r="CR25" s="789"/>
      <c r="CS25" s="789"/>
      <c r="CT25" s="789"/>
      <c r="CU25" s="948" t="s">
        <v>99</v>
      </c>
      <c r="CV25" s="949">
        <f>BT25+DK28</f>
        <v>0</v>
      </c>
      <c r="CW25" s="950">
        <v>2</v>
      </c>
      <c r="CX25" s="58"/>
      <c r="CY25" s="109"/>
      <c r="CZ25" s="833">
        <f>MAX(DD32/LTAF/DD31, ROUND(MAX(0,DG32/RTAF/DG31-(DK25+DK28)/LTAF/DJ25),0))+ MAX((DK25+DK28)/LTAF/DJ25 +MAX(CV25/CW25, ROUND(MAX(0,CV28/RTAF/CW28-DD32/LTAF/DD31),0)),(DK22+DK19) /DJ22)</f>
        <v>3018.9473684210525</v>
      </c>
      <c r="DA25" s="834"/>
      <c r="DB25" s="834"/>
      <c r="DC25" s="834"/>
      <c r="DD25" s="834"/>
      <c r="DE25" s="834"/>
      <c r="DF25" s="834"/>
      <c r="DG25" s="835"/>
      <c r="DH25" s="109"/>
      <c r="DI25" s="60"/>
      <c r="DJ25" s="951">
        <v>1</v>
      </c>
      <c r="DK25" s="820">
        <f>WBL_Master</f>
        <v>588</v>
      </c>
      <c r="DL25" s="821" t="s">
        <v>99</v>
      </c>
      <c r="DM25" s="816"/>
      <c r="DN25" s="816"/>
      <c r="DO25" s="816"/>
      <c r="DP25" s="822"/>
      <c r="DQ25" s="174"/>
      <c r="DR25" s="174"/>
      <c r="DS25" s="177"/>
    </row>
    <row r="26" spans="2:123" ht="9.9499999999999993" customHeight="1" thickBot="1">
      <c r="B26" s="1"/>
      <c r="C26" s="866"/>
      <c r="D26" s="867"/>
      <c r="E26" s="867"/>
      <c r="F26" s="867"/>
      <c r="G26" s="867"/>
      <c r="H26" s="867"/>
      <c r="I26" s="867"/>
      <c r="J26" s="867"/>
      <c r="K26" s="867"/>
      <c r="L26" s="868"/>
      <c r="M26" s="174"/>
      <c r="N26" s="174"/>
      <c r="O26" s="174"/>
      <c r="P26" s="174"/>
      <c r="Q26" s="174"/>
      <c r="R26" s="174"/>
      <c r="S26" s="174"/>
      <c r="T26" s="174"/>
      <c r="U26" s="174"/>
      <c r="V26" s="174"/>
      <c r="W26" s="174"/>
      <c r="X26" s="174"/>
      <c r="Y26" s="17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74"/>
      <c r="AX26" s="174"/>
      <c r="AY26" s="174"/>
      <c r="AZ26" s="174"/>
      <c r="BA26" s="174"/>
      <c r="BB26" s="174"/>
      <c r="BC26" s="174"/>
      <c r="BD26" s="174"/>
      <c r="BE26" s="174"/>
      <c r="BF26" s="174"/>
      <c r="BG26" s="14"/>
      <c r="BH26" s="174"/>
      <c r="BI26" s="177"/>
      <c r="BJ26" s="174"/>
      <c r="BK26" s="174"/>
      <c r="BL26" s="1"/>
      <c r="BM26" s="174"/>
      <c r="BN26" s="174"/>
      <c r="BO26" s="790"/>
      <c r="BP26" s="791"/>
      <c r="BQ26" s="791"/>
      <c r="BR26" s="791"/>
      <c r="BS26" s="795"/>
      <c r="BT26" s="798"/>
      <c r="BU26" s="938"/>
      <c r="BV26" s="58"/>
      <c r="BW26" s="109"/>
      <c r="BX26" s="833"/>
      <c r="BY26" s="834"/>
      <c r="BZ26" s="834"/>
      <c r="CA26" s="834"/>
      <c r="CB26" s="834"/>
      <c r="CC26" s="834"/>
      <c r="CD26" s="834"/>
      <c r="CE26" s="835"/>
      <c r="CF26" s="109"/>
      <c r="CG26" s="60"/>
      <c r="CH26" s="174"/>
      <c r="CI26" s="174"/>
      <c r="CJ26" s="174"/>
      <c r="CK26" s="174"/>
      <c r="CL26" s="174"/>
      <c r="CM26" s="174"/>
      <c r="CN26" s="174"/>
      <c r="CO26" s="174"/>
      <c r="CP26" s="174"/>
      <c r="CQ26" s="790"/>
      <c r="CR26" s="791"/>
      <c r="CS26" s="791"/>
      <c r="CT26" s="791"/>
      <c r="CU26" s="932"/>
      <c r="CV26" s="935"/>
      <c r="CW26" s="938"/>
      <c r="CX26" s="58"/>
      <c r="CY26" s="109"/>
      <c r="CZ26" s="833"/>
      <c r="DA26" s="834"/>
      <c r="DB26" s="834"/>
      <c r="DC26" s="834"/>
      <c r="DD26" s="834"/>
      <c r="DE26" s="834"/>
      <c r="DF26" s="834"/>
      <c r="DG26" s="835"/>
      <c r="DH26" s="109"/>
      <c r="DI26" s="60"/>
      <c r="DJ26" s="911"/>
      <c r="DK26" s="807"/>
      <c r="DL26" s="810"/>
      <c r="DM26" s="791"/>
      <c r="DN26" s="791"/>
      <c r="DO26" s="791"/>
      <c r="DP26" s="813"/>
      <c r="DQ26" s="174"/>
      <c r="DR26" s="174"/>
      <c r="DS26" s="177"/>
    </row>
    <row r="27" spans="2:123" ht="9.9499999999999993" customHeight="1" thickBot="1">
      <c r="B27" s="1"/>
      <c r="C27" s="713">
        <f>ROUND(C24/CLV_Limit,2)</f>
        <v>1.1000000000000001</v>
      </c>
      <c r="D27" s="714"/>
      <c r="E27" s="714"/>
      <c r="F27" s="714"/>
      <c r="G27" s="715"/>
      <c r="H27" s="722" t="s">
        <v>100</v>
      </c>
      <c r="I27" s="722"/>
      <c r="J27" s="722"/>
      <c r="K27" s="722"/>
      <c r="L27" s="723"/>
      <c r="M27" s="174"/>
      <c r="N27" s="174"/>
      <c r="O27" s="174"/>
      <c r="P27" s="174"/>
      <c r="Q27" s="174"/>
      <c r="R27" s="174"/>
      <c r="S27" s="174"/>
      <c r="T27" s="174"/>
      <c r="U27" s="174"/>
      <c r="V27" s="174"/>
      <c r="W27" s="174"/>
      <c r="X27" s="174"/>
      <c r="Y27" s="17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74"/>
      <c r="AX27" s="174"/>
      <c r="AY27" s="174"/>
      <c r="AZ27" s="174"/>
      <c r="BA27" s="174"/>
      <c r="BB27" s="174"/>
      <c r="BC27" s="174"/>
      <c r="BD27" s="174"/>
      <c r="BE27" s="174"/>
      <c r="BF27" s="174"/>
      <c r="BG27" s="14"/>
      <c r="BH27" s="174"/>
      <c r="BI27" s="177"/>
      <c r="BJ27" s="174"/>
      <c r="BK27" s="174"/>
      <c r="BL27" s="1"/>
      <c r="BM27" s="174"/>
      <c r="BN27" s="174"/>
      <c r="BO27" s="792"/>
      <c r="BP27" s="793"/>
      <c r="BQ27" s="793"/>
      <c r="BR27" s="793"/>
      <c r="BS27" s="796"/>
      <c r="BT27" s="799"/>
      <c r="BU27" s="939"/>
      <c r="BV27" s="58"/>
      <c r="BW27" s="109"/>
      <c r="BX27" s="836"/>
      <c r="BY27" s="837"/>
      <c r="BZ27" s="837"/>
      <c r="CA27" s="837"/>
      <c r="CB27" s="837"/>
      <c r="CC27" s="837"/>
      <c r="CD27" s="837"/>
      <c r="CE27" s="838"/>
      <c r="CF27" s="109"/>
      <c r="CG27" s="60"/>
      <c r="CH27" s="174"/>
      <c r="CI27" s="174"/>
      <c r="CJ27" s="174"/>
      <c r="CK27" s="174"/>
      <c r="CL27" s="174"/>
      <c r="CM27" s="174"/>
      <c r="CN27" s="174"/>
      <c r="CO27" s="174"/>
      <c r="CP27" s="174"/>
      <c r="CQ27" s="792"/>
      <c r="CR27" s="793"/>
      <c r="CS27" s="793"/>
      <c r="CT27" s="793"/>
      <c r="CU27" s="933"/>
      <c r="CV27" s="936"/>
      <c r="CW27" s="939"/>
      <c r="CX27" s="58"/>
      <c r="CY27" s="109"/>
      <c r="CZ27" s="836"/>
      <c r="DA27" s="837"/>
      <c r="DB27" s="837"/>
      <c r="DC27" s="837"/>
      <c r="DD27" s="837"/>
      <c r="DE27" s="837"/>
      <c r="DF27" s="837"/>
      <c r="DG27" s="838"/>
      <c r="DH27" s="109"/>
      <c r="DI27" s="60"/>
      <c r="DJ27" s="912"/>
      <c r="DK27" s="808"/>
      <c r="DL27" s="811"/>
      <c r="DM27" s="793"/>
      <c r="DN27" s="793"/>
      <c r="DO27" s="793"/>
      <c r="DP27" s="814"/>
      <c r="DQ27" s="174"/>
      <c r="DR27" s="174"/>
      <c r="DS27" s="177"/>
    </row>
    <row r="28" spans="2:123" ht="9.9499999999999993" customHeight="1">
      <c r="B28" s="1"/>
      <c r="C28" s="716"/>
      <c r="D28" s="717"/>
      <c r="E28" s="717"/>
      <c r="F28" s="717"/>
      <c r="G28" s="718"/>
      <c r="H28" s="724"/>
      <c r="I28" s="724"/>
      <c r="J28" s="724"/>
      <c r="K28" s="724"/>
      <c r="L28" s="725"/>
      <c r="M28" s="174"/>
      <c r="N28" s="174"/>
      <c r="O28" s="174"/>
      <c r="P28" s="174"/>
      <c r="Q28" s="174"/>
      <c r="R28" s="174"/>
      <c r="S28" s="174"/>
      <c r="T28" s="174"/>
      <c r="U28" s="174"/>
      <c r="V28" s="174"/>
      <c r="W28" s="174"/>
      <c r="X28" s="174"/>
      <c r="Y28" s="17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74"/>
      <c r="AX28" s="174"/>
      <c r="AY28" s="174"/>
      <c r="AZ28" s="174"/>
      <c r="BA28" s="174"/>
      <c r="BB28" s="174"/>
      <c r="BC28" s="174"/>
      <c r="BD28" s="174"/>
      <c r="BE28" s="174"/>
      <c r="BF28" s="174"/>
      <c r="BG28" s="14"/>
      <c r="BH28" s="174"/>
      <c r="BI28" s="177"/>
      <c r="BJ28" s="174"/>
      <c r="BK28" s="174"/>
      <c r="BL28" s="1"/>
      <c r="BM28" s="174"/>
      <c r="BN28" s="174"/>
      <c r="BO28" s="815"/>
      <c r="BP28" s="816"/>
      <c r="BQ28" s="816"/>
      <c r="BR28" s="816"/>
      <c r="BS28" s="817" t="s">
        <v>99</v>
      </c>
      <c r="BT28" s="818">
        <f>EBR_Master</f>
        <v>208</v>
      </c>
      <c r="BU28" s="937">
        <v>1</v>
      </c>
      <c r="BV28" s="58"/>
      <c r="BW28" s="109"/>
      <c r="BX28" s="109"/>
      <c r="BY28" s="109"/>
      <c r="BZ28" s="109"/>
      <c r="CA28" s="109"/>
      <c r="CB28" s="109"/>
      <c r="CC28" s="109"/>
      <c r="CD28" s="109"/>
      <c r="CE28" s="109"/>
      <c r="CF28" s="109"/>
      <c r="CG28" s="60"/>
      <c r="CH28" s="174"/>
      <c r="CI28" s="174"/>
      <c r="CJ28" s="174"/>
      <c r="CK28" s="174"/>
      <c r="CL28" s="174"/>
      <c r="CM28" s="174"/>
      <c r="CN28" s="174"/>
      <c r="CO28" s="174"/>
      <c r="CP28" s="174"/>
      <c r="CQ28" s="815"/>
      <c r="CR28" s="816"/>
      <c r="CS28" s="816"/>
      <c r="CT28" s="816"/>
      <c r="CU28" s="931" t="s">
        <v>99</v>
      </c>
      <c r="CV28" s="988">
        <f>BV60+BT22</f>
        <v>899</v>
      </c>
      <c r="CW28" s="937">
        <v>1</v>
      </c>
      <c r="CX28" s="58"/>
      <c r="CY28" s="109"/>
      <c r="CZ28" s="109"/>
      <c r="DA28" s="109"/>
      <c r="DB28" s="65"/>
      <c r="DC28" s="109"/>
      <c r="DD28" s="109"/>
      <c r="DE28" s="109"/>
      <c r="DF28" s="109"/>
      <c r="DG28" s="109"/>
      <c r="DH28" s="109"/>
      <c r="DI28" s="60"/>
      <c r="DJ28" s="1002"/>
      <c r="DK28" s="820">
        <f>WBU_Master</f>
        <v>0</v>
      </c>
      <c r="DL28" s="821" t="s">
        <v>99</v>
      </c>
      <c r="DM28" s="816"/>
      <c r="DN28" s="816"/>
      <c r="DO28" s="816"/>
      <c r="DP28" s="822"/>
      <c r="DQ28" s="174"/>
      <c r="DR28" s="174"/>
      <c r="DS28" s="177"/>
    </row>
    <row r="29" spans="2:123" ht="9.9499999999999993" customHeight="1" thickBot="1">
      <c r="B29" s="1"/>
      <c r="C29" s="719"/>
      <c r="D29" s="720"/>
      <c r="E29" s="720"/>
      <c r="F29" s="720"/>
      <c r="G29" s="721"/>
      <c r="H29" s="726"/>
      <c r="I29" s="726"/>
      <c r="J29" s="726"/>
      <c r="K29" s="726"/>
      <c r="L29" s="727"/>
      <c r="M29" s="174"/>
      <c r="N29" s="174"/>
      <c r="O29" s="174"/>
      <c r="P29" s="174"/>
      <c r="Q29" s="174"/>
      <c r="R29" s="174"/>
      <c r="S29" s="174"/>
      <c r="T29" s="174"/>
      <c r="U29" s="174"/>
      <c r="V29" s="174"/>
      <c r="W29" s="174"/>
      <c r="X29" s="174"/>
      <c r="Y29" s="17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74"/>
      <c r="AX29" s="174"/>
      <c r="AY29" s="174"/>
      <c r="AZ29" s="174"/>
      <c r="BA29" s="174"/>
      <c r="BB29" s="174"/>
      <c r="BC29" s="174"/>
      <c r="BD29" s="174"/>
      <c r="BE29" s="174"/>
      <c r="BF29" s="174"/>
      <c r="BG29" s="14"/>
      <c r="BH29" s="174"/>
      <c r="BI29" s="177"/>
      <c r="BJ29" s="174"/>
      <c r="BK29" s="174"/>
      <c r="BL29" s="1"/>
      <c r="BM29" s="174"/>
      <c r="BN29" s="174"/>
      <c r="BO29" s="790"/>
      <c r="BP29" s="791"/>
      <c r="BQ29" s="791"/>
      <c r="BR29" s="791"/>
      <c r="BS29" s="795"/>
      <c r="BT29" s="798"/>
      <c r="BU29" s="938"/>
      <c r="BV29" s="58"/>
      <c r="BW29" s="109"/>
      <c r="BX29" s="109"/>
      <c r="BY29" s="109"/>
      <c r="BZ29" s="109"/>
      <c r="CA29" s="109"/>
      <c r="CB29" s="109"/>
      <c r="CC29" s="109"/>
      <c r="CD29" s="109"/>
      <c r="CE29" s="109"/>
      <c r="CF29" s="109"/>
      <c r="CG29" s="60"/>
      <c r="CH29" s="174"/>
      <c r="CI29" s="174"/>
      <c r="CJ29" s="174"/>
      <c r="CK29" s="174"/>
      <c r="CL29" s="174"/>
      <c r="CM29" s="174"/>
      <c r="CN29" s="174"/>
      <c r="CO29" s="174"/>
      <c r="CP29" s="174"/>
      <c r="CQ29" s="790"/>
      <c r="CR29" s="791"/>
      <c r="CS29" s="791"/>
      <c r="CT29" s="791"/>
      <c r="CU29" s="932"/>
      <c r="CV29" s="989"/>
      <c r="CW29" s="938"/>
      <c r="CX29" s="58"/>
      <c r="CY29" s="109"/>
      <c r="CZ29" s="109"/>
      <c r="DA29" s="109"/>
      <c r="DB29" s="65"/>
      <c r="DC29" s="109"/>
      <c r="DD29" s="109"/>
      <c r="DE29" s="109"/>
      <c r="DF29" s="109"/>
      <c r="DG29" s="109"/>
      <c r="DH29" s="109"/>
      <c r="DI29" s="60"/>
      <c r="DJ29" s="1003"/>
      <c r="DK29" s="807"/>
      <c r="DL29" s="810"/>
      <c r="DM29" s="791"/>
      <c r="DN29" s="791"/>
      <c r="DO29" s="791"/>
      <c r="DP29" s="813"/>
      <c r="DQ29" s="174"/>
      <c r="DR29" s="174"/>
      <c r="DS29" s="177"/>
    </row>
    <row r="30" spans="2:123" ht="9.9499999999999993" customHeight="1" thickBot="1">
      <c r="B30" s="1"/>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74"/>
      <c r="BI30" s="177"/>
      <c r="BJ30" s="174"/>
      <c r="BK30" s="174"/>
      <c r="BL30" s="1"/>
      <c r="BM30" s="174"/>
      <c r="BN30" s="174"/>
      <c r="BO30" s="824"/>
      <c r="BP30" s="825"/>
      <c r="BQ30" s="825"/>
      <c r="BR30" s="825"/>
      <c r="BS30" s="826"/>
      <c r="BT30" s="827"/>
      <c r="BU30" s="965"/>
      <c r="BV30" s="61"/>
      <c r="BW30" s="110"/>
      <c r="BX30" s="110"/>
      <c r="BY30" s="110"/>
      <c r="BZ30" s="110"/>
      <c r="CA30" s="110"/>
      <c r="CB30" s="110"/>
      <c r="CC30" s="110"/>
      <c r="CD30" s="110"/>
      <c r="CE30" s="110"/>
      <c r="CF30" s="110"/>
      <c r="CG30" s="63"/>
      <c r="CH30" s="174"/>
      <c r="CI30" s="174"/>
      <c r="CJ30" s="174"/>
      <c r="CK30" s="174"/>
      <c r="CL30" s="174"/>
      <c r="CM30" s="174"/>
      <c r="CN30" s="174"/>
      <c r="CO30" s="174"/>
      <c r="CP30" s="174"/>
      <c r="CQ30" s="824"/>
      <c r="CR30" s="825"/>
      <c r="CS30" s="825"/>
      <c r="CT30" s="825"/>
      <c r="CU30" s="963"/>
      <c r="CV30" s="990"/>
      <c r="CW30" s="965"/>
      <c r="CX30" s="61"/>
      <c r="CY30" s="110"/>
      <c r="CZ30" s="110"/>
      <c r="DA30" s="110"/>
      <c r="DB30" s="69"/>
      <c r="DC30" s="110"/>
      <c r="DD30" s="82"/>
      <c r="DE30" s="82"/>
      <c r="DF30" s="82"/>
      <c r="DG30" s="82"/>
      <c r="DH30" s="82"/>
      <c r="DI30" s="83"/>
      <c r="DJ30" s="1004"/>
      <c r="DK30" s="830"/>
      <c r="DL30" s="831"/>
      <c r="DM30" s="825"/>
      <c r="DN30" s="825"/>
      <c r="DO30" s="825"/>
      <c r="DP30" s="832"/>
      <c r="DQ30" s="174"/>
      <c r="DR30" s="174"/>
      <c r="DS30" s="177"/>
    </row>
    <row r="31" spans="2:123" ht="9.9499999999999993" customHeight="1">
      <c r="B31" s="1"/>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74"/>
      <c r="BI31" s="177"/>
      <c r="BJ31" s="174"/>
      <c r="BK31" s="174"/>
      <c r="BL31" s="1"/>
      <c r="BM31" s="174"/>
      <c r="BN31" s="174"/>
      <c r="BO31" s="174"/>
      <c r="BP31" s="174"/>
      <c r="BQ31" s="174"/>
      <c r="BR31" s="174"/>
      <c r="BS31" s="174"/>
      <c r="BT31" s="174"/>
      <c r="BU31" s="174"/>
      <c r="BV31" s="174"/>
      <c r="BW31" s="174"/>
      <c r="BX31" s="174"/>
      <c r="BY31" s="174"/>
      <c r="BZ31" s="174"/>
      <c r="CA31" s="174"/>
      <c r="CB31" s="1039">
        <v>2</v>
      </c>
      <c r="CC31" s="1040"/>
      <c r="CD31" s="1040"/>
      <c r="CE31" s="1040">
        <v>1</v>
      </c>
      <c r="CF31" s="1040"/>
      <c r="CG31" s="1041"/>
      <c r="CH31" s="174"/>
      <c r="CI31" s="174"/>
      <c r="CJ31" s="174"/>
      <c r="CK31" s="174"/>
      <c r="CL31" s="174"/>
      <c r="CM31" s="174"/>
      <c r="CN31" s="174"/>
      <c r="CO31" s="174"/>
      <c r="CP31" s="174"/>
      <c r="CQ31" s="174"/>
      <c r="CR31" s="174"/>
      <c r="CS31" s="174"/>
      <c r="CT31" s="174"/>
      <c r="CU31" s="174"/>
      <c r="CV31" s="174"/>
      <c r="CW31" s="174"/>
      <c r="CX31" s="174"/>
      <c r="CY31" s="174"/>
      <c r="CZ31" s="174"/>
      <c r="DA31" s="174"/>
      <c r="DB31" s="4"/>
      <c r="DC31" s="174"/>
      <c r="DD31" s="1039">
        <v>1</v>
      </c>
      <c r="DE31" s="1040"/>
      <c r="DF31" s="1040"/>
      <c r="DG31" s="1040">
        <v>1</v>
      </c>
      <c r="DH31" s="1040"/>
      <c r="DI31" s="1041"/>
      <c r="DJ31" s="174"/>
      <c r="DK31" s="174"/>
      <c r="DL31" s="174"/>
      <c r="DM31" s="174"/>
      <c r="DN31" s="174"/>
      <c r="DO31" s="174"/>
      <c r="DP31" s="174"/>
      <c r="DQ31" s="174"/>
      <c r="DR31" s="174"/>
      <c r="DS31" s="177"/>
    </row>
    <row r="32" spans="2:123" ht="9.9499999999999993" customHeight="1">
      <c r="B32" s="1"/>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74"/>
      <c r="AX32" s="174"/>
      <c r="AY32" s="174"/>
      <c r="AZ32" s="174"/>
      <c r="BA32" s="174"/>
      <c r="BB32" s="174"/>
      <c r="BC32" s="174"/>
      <c r="BD32" s="174"/>
      <c r="BE32" s="174"/>
      <c r="BF32" s="174"/>
      <c r="BG32" s="14"/>
      <c r="BH32" s="174"/>
      <c r="BI32" s="177"/>
      <c r="BJ32" s="174"/>
      <c r="BK32" s="174"/>
      <c r="BL32" s="1"/>
      <c r="BM32" s="174"/>
      <c r="BN32" s="174"/>
      <c r="BO32" s="174"/>
      <c r="BP32" s="174"/>
      <c r="BQ32" s="174"/>
      <c r="BR32" s="174"/>
      <c r="BS32" s="174"/>
      <c r="BT32" s="174"/>
      <c r="BU32" s="174"/>
      <c r="BV32" s="174"/>
      <c r="BW32" s="174"/>
      <c r="BX32" s="174"/>
      <c r="BY32" s="174"/>
      <c r="BZ32" s="174"/>
      <c r="CA32" s="174"/>
      <c r="CB32" s="973">
        <f>CB60+CE17</f>
        <v>1260</v>
      </c>
      <c r="CC32" s="974"/>
      <c r="CD32" s="975"/>
      <c r="CE32" s="976">
        <f>DK28+BV60</f>
        <v>0</v>
      </c>
      <c r="CF32" s="974"/>
      <c r="CG32" s="977"/>
      <c r="CH32" s="174"/>
      <c r="CI32" s="174"/>
      <c r="CJ32" s="174"/>
      <c r="CK32" s="174"/>
      <c r="CL32" s="174"/>
      <c r="CM32" s="174"/>
      <c r="CN32" s="174"/>
      <c r="CO32" s="174"/>
      <c r="CP32" s="174"/>
      <c r="CQ32" s="174"/>
      <c r="CR32" s="174"/>
      <c r="CS32" s="174"/>
      <c r="CT32" s="174"/>
      <c r="CU32" s="174"/>
      <c r="CV32" s="174"/>
      <c r="CW32" s="174"/>
      <c r="CX32" s="174"/>
      <c r="CY32" s="174"/>
      <c r="CZ32" s="174"/>
      <c r="DA32" s="174"/>
      <c r="DB32" s="4"/>
      <c r="DC32" s="174"/>
      <c r="DD32" s="973">
        <f>BY60+BT19+CE17</f>
        <v>0</v>
      </c>
      <c r="DE32" s="974"/>
      <c r="DF32" s="975"/>
      <c r="DG32" s="976">
        <f>CE60+CB17</f>
        <v>1667</v>
      </c>
      <c r="DH32" s="974"/>
      <c r="DI32" s="977"/>
      <c r="DJ32" s="174"/>
      <c r="DK32" s="174"/>
      <c r="DL32" s="174"/>
      <c r="DM32" s="174"/>
      <c r="DN32" s="174"/>
      <c r="DO32" s="174"/>
      <c r="DP32" s="174"/>
      <c r="DQ32" s="174"/>
      <c r="DR32" s="174"/>
      <c r="DS32" s="177"/>
    </row>
    <row r="33" spans="2:123" ht="9.9499999999999993" customHeight="1">
      <c r="B33" s="1"/>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7"/>
      <c r="BJ33" s="174"/>
      <c r="BK33" s="174"/>
      <c r="BL33" s="1"/>
      <c r="BM33" s="174"/>
      <c r="BN33" s="174"/>
      <c r="BO33" s="174"/>
      <c r="BP33" s="174"/>
      <c r="BQ33" s="174"/>
      <c r="BR33" s="174"/>
      <c r="BS33" s="174"/>
      <c r="BT33" s="174"/>
      <c r="BU33" s="174"/>
      <c r="BV33" s="174"/>
      <c r="BW33" s="174"/>
      <c r="BX33" s="174"/>
      <c r="BY33" s="174"/>
      <c r="BZ33" s="174"/>
      <c r="CA33" s="174"/>
      <c r="CB33" s="918" t="s">
        <v>99</v>
      </c>
      <c r="CC33" s="919"/>
      <c r="CD33" s="920"/>
      <c r="CE33" s="921" t="s">
        <v>99</v>
      </c>
      <c r="CF33" s="919"/>
      <c r="CG33" s="922"/>
      <c r="CH33" s="174"/>
      <c r="CI33" s="174"/>
      <c r="CJ33" s="174"/>
      <c r="CK33" s="174"/>
      <c r="CL33" s="174"/>
      <c r="CM33" s="174"/>
      <c r="CN33" s="174"/>
      <c r="CO33" s="174"/>
      <c r="CP33" s="174"/>
      <c r="CQ33" s="174"/>
      <c r="CR33" s="174"/>
      <c r="CS33" s="174"/>
      <c r="CT33" s="174"/>
      <c r="CU33" s="174"/>
      <c r="CV33" s="174"/>
      <c r="CW33" s="174"/>
      <c r="CX33" s="174"/>
      <c r="CY33" s="174"/>
      <c r="CZ33" s="174"/>
      <c r="DA33" s="174"/>
      <c r="DB33" s="4"/>
      <c r="DC33" s="174"/>
      <c r="DD33" s="918" t="s">
        <v>99</v>
      </c>
      <c r="DE33" s="919"/>
      <c r="DF33" s="920"/>
      <c r="DG33" s="921" t="s">
        <v>99</v>
      </c>
      <c r="DH33" s="919"/>
      <c r="DI33" s="922"/>
      <c r="DJ33" s="174"/>
      <c r="DK33" s="174"/>
      <c r="DL33" s="174"/>
      <c r="DM33" s="174"/>
      <c r="DN33" s="174"/>
      <c r="DO33" s="174"/>
      <c r="DP33" s="174"/>
      <c r="DQ33" s="174"/>
      <c r="DR33" s="174"/>
      <c r="DS33" s="177"/>
    </row>
    <row r="34" spans="2:123" ht="9.9499999999999993" customHeight="1">
      <c r="B34" s="1"/>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7"/>
      <c r="BJ34" s="174"/>
      <c r="BK34" s="174"/>
      <c r="BL34" s="1"/>
      <c r="BM34" s="174"/>
      <c r="BN34" s="174"/>
      <c r="BO34" s="174"/>
      <c r="BP34" s="174"/>
      <c r="BQ34" s="174"/>
      <c r="BR34" s="174"/>
      <c r="BS34" s="174"/>
      <c r="BT34" s="174"/>
      <c r="BU34" s="174"/>
      <c r="BV34" s="174"/>
      <c r="BW34" s="174"/>
      <c r="BX34" s="174"/>
      <c r="BY34" s="174"/>
      <c r="BZ34" s="174"/>
      <c r="CA34" s="174"/>
      <c r="CB34" s="766"/>
      <c r="CC34" s="767"/>
      <c r="CD34" s="768"/>
      <c r="CE34" s="770"/>
      <c r="CF34" s="767"/>
      <c r="CG34" s="772"/>
      <c r="CH34" s="174"/>
      <c r="CI34" s="174"/>
      <c r="CJ34" s="174"/>
      <c r="CK34" s="174"/>
      <c r="CL34" s="174"/>
      <c r="CM34" s="174"/>
      <c r="CN34" s="174"/>
      <c r="CO34" s="174"/>
      <c r="CP34" s="174"/>
      <c r="CQ34" s="174"/>
      <c r="CR34" s="174"/>
      <c r="CS34" s="174"/>
      <c r="CT34" s="174"/>
      <c r="CU34" s="174"/>
      <c r="CV34" s="174"/>
      <c r="CW34" s="174"/>
      <c r="CX34" s="174"/>
      <c r="CY34" s="174"/>
      <c r="CZ34" s="174"/>
      <c r="DA34" s="174"/>
      <c r="DB34" s="4"/>
      <c r="DC34" s="174"/>
      <c r="DD34" s="766"/>
      <c r="DE34" s="767"/>
      <c r="DF34" s="768"/>
      <c r="DG34" s="770"/>
      <c r="DH34" s="767"/>
      <c r="DI34" s="772"/>
      <c r="DJ34" s="174"/>
      <c r="DK34" s="174"/>
      <c r="DL34" s="174"/>
      <c r="DM34" s="174"/>
      <c r="DN34" s="174"/>
      <c r="DO34" s="174"/>
      <c r="DP34" s="174"/>
      <c r="DQ34" s="174"/>
      <c r="DR34" s="174"/>
      <c r="DS34" s="177"/>
    </row>
    <row r="35" spans="2:123" ht="9.9499999999999993" customHeight="1">
      <c r="B35" s="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7"/>
      <c r="BJ35" s="174"/>
      <c r="BK35" s="174"/>
      <c r="BL35" s="1"/>
      <c r="BM35" s="174"/>
      <c r="BN35" s="174"/>
      <c r="BO35" s="174"/>
      <c r="BP35" s="174"/>
      <c r="BQ35" s="174"/>
      <c r="BR35" s="174"/>
      <c r="BS35" s="174"/>
      <c r="BT35" s="174"/>
      <c r="BU35" s="174"/>
      <c r="BV35" s="174"/>
      <c r="BW35" s="174"/>
      <c r="BX35" s="174"/>
      <c r="BY35" s="174"/>
      <c r="BZ35" s="174"/>
      <c r="CA35" s="174"/>
      <c r="CB35" s="766"/>
      <c r="CC35" s="767"/>
      <c r="CD35" s="768"/>
      <c r="CE35" s="770"/>
      <c r="CF35" s="767"/>
      <c r="CG35" s="772"/>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766"/>
      <c r="DE35" s="767"/>
      <c r="DF35" s="768"/>
      <c r="DG35" s="770"/>
      <c r="DH35" s="767"/>
      <c r="DI35" s="772"/>
      <c r="DJ35" s="174"/>
      <c r="DK35" s="174"/>
      <c r="DL35" s="174"/>
      <c r="DM35" s="174"/>
      <c r="DN35" s="174"/>
      <c r="DO35" s="174"/>
      <c r="DP35" s="174"/>
      <c r="DQ35" s="174"/>
      <c r="DR35" s="174"/>
      <c r="DS35" s="177"/>
    </row>
    <row r="36" spans="2:123" ht="9.9499999999999993" customHeight="1">
      <c r="B36" s="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7"/>
      <c r="BJ36" s="174"/>
      <c r="BK36" s="174"/>
      <c r="BL36" s="1"/>
      <c r="BM36" s="174"/>
      <c r="BN36" s="174"/>
      <c r="BO36" s="174"/>
      <c r="BP36" s="174"/>
      <c r="BQ36" s="174"/>
      <c r="BR36" s="174"/>
      <c r="BS36" s="174"/>
      <c r="BT36" s="174"/>
      <c r="BU36" s="174"/>
      <c r="BV36" s="174"/>
      <c r="BW36" s="174"/>
      <c r="BX36" s="174"/>
      <c r="BY36" s="174"/>
      <c r="BZ36" s="174"/>
      <c r="CA36" s="174"/>
      <c r="CB36" s="766"/>
      <c r="CC36" s="767"/>
      <c r="CD36" s="768"/>
      <c r="CE36" s="770"/>
      <c r="CF36" s="767"/>
      <c r="CG36" s="772"/>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766"/>
      <c r="DE36" s="767"/>
      <c r="DF36" s="768"/>
      <c r="DG36" s="770"/>
      <c r="DH36" s="767"/>
      <c r="DI36" s="772"/>
      <c r="DJ36" s="174"/>
      <c r="DK36" s="174"/>
      <c r="DL36" s="174"/>
      <c r="DM36" s="174"/>
      <c r="DN36" s="174"/>
      <c r="DO36" s="174"/>
      <c r="DP36" s="174"/>
      <c r="DQ36" s="174"/>
      <c r="DR36" s="174"/>
      <c r="DS36" s="177"/>
    </row>
    <row r="37" spans="2:123" ht="9.9499999999999993" customHeight="1" thickBot="1">
      <c r="B37" s="1"/>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7"/>
      <c r="BJ37" s="174"/>
      <c r="BK37" s="174"/>
      <c r="BL37" s="1"/>
      <c r="BM37" s="174"/>
      <c r="BN37" s="174"/>
      <c r="BO37" s="174"/>
      <c r="BP37" s="174"/>
      <c r="BQ37" s="174"/>
      <c r="BR37" s="174"/>
      <c r="BS37" s="174"/>
      <c r="BT37" s="174"/>
      <c r="BU37" s="174"/>
      <c r="BV37" s="174"/>
      <c r="BW37" s="174"/>
      <c r="BX37" s="174"/>
      <c r="BY37" s="174"/>
      <c r="BZ37" s="174"/>
      <c r="CA37" s="174"/>
      <c r="CB37" s="849"/>
      <c r="CC37" s="705"/>
      <c r="CD37" s="850"/>
      <c r="CE37" s="851"/>
      <c r="CF37" s="705"/>
      <c r="CG37" s="852"/>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849"/>
      <c r="DE37" s="705"/>
      <c r="DF37" s="850"/>
      <c r="DG37" s="851"/>
      <c r="DH37" s="705"/>
      <c r="DI37" s="852"/>
      <c r="DJ37" s="174"/>
      <c r="DK37" s="174"/>
      <c r="DL37" s="174"/>
      <c r="DM37" s="174"/>
      <c r="DN37" s="174"/>
      <c r="DO37" s="174"/>
      <c r="DP37" s="174"/>
      <c r="DQ37" s="174"/>
      <c r="DR37" s="174"/>
      <c r="DS37" s="177"/>
    </row>
    <row r="38" spans="2:123" ht="9.9499999999999993" customHeight="1">
      <c r="B38" s="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7"/>
      <c r="BJ38" s="174"/>
      <c r="BK38" s="174"/>
      <c r="BL38" s="1"/>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7"/>
    </row>
    <row r="39" spans="2:123" ht="9.9499999999999993" customHeight="1" thickBot="1">
      <c r="B39" s="1"/>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7"/>
      <c r="BJ39" s="174"/>
      <c r="BK39" s="174"/>
      <c r="BL39" s="1"/>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7"/>
    </row>
    <row r="40" spans="2:123" ht="9.9499999999999993" customHeight="1">
      <c r="B40" s="1"/>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7"/>
      <c r="BJ40" s="174"/>
      <c r="BK40" s="174"/>
      <c r="BL40" s="1"/>
      <c r="BM40" s="174"/>
      <c r="BN40" s="174"/>
      <c r="BO40" s="174"/>
      <c r="BP40" s="174"/>
      <c r="BQ40" s="174"/>
      <c r="BR40" s="174"/>
      <c r="BS40" s="174"/>
      <c r="BT40" s="174"/>
      <c r="BU40" s="174"/>
      <c r="BV40" s="763"/>
      <c r="BW40" s="764"/>
      <c r="BX40" s="765"/>
      <c r="BY40" s="769"/>
      <c r="BZ40" s="764"/>
      <c r="CA40" s="771"/>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7"/>
    </row>
    <row r="41" spans="2:123" ht="9.9499999999999993" customHeight="1">
      <c r="B41" s="1"/>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7"/>
      <c r="BJ41" s="174"/>
      <c r="BK41" s="174"/>
      <c r="BL41" s="1"/>
      <c r="BM41" s="174"/>
      <c r="BN41" s="174"/>
      <c r="BO41" s="174"/>
      <c r="BP41" s="174"/>
      <c r="BQ41" s="174"/>
      <c r="BR41" s="174"/>
      <c r="BS41" s="174"/>
      <c r="BT41" s="174"/>
      <c r="BU41" s="174"/>
      <c r="BV41" s="766"/>
      <c r="BW41" s="767"/>
      <c r="BX41" s="768"/>
      <c r="BY41" s="770"/>
      <c r="BZ41" s="767"/>
      <c r="CA41" s="772"/>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7"/>
    </row>
    <row r="42" spans="2:123" ht="9.9499999999999993" customHeight="1">
      <c r="B42" s="1"/>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7"/>
      <c r="BJ42" s="174"/>
      <c r="BK42" s="174"/>
      <c r="BL42" s="1"/>
      <c r="BM42" s="174"/>
      <c r="BN42" s="174"/>
      <c r="BO42" s="174"/>
      <c r="BP42" s="174"/>
      <c r="BQ42" s="174"/>
      <c r="BR42" s="174"/>
      <c r="BS42" s="174"/>
      <c r="BT42" s="174"/>
      <c r="BU42" s="174"/>
      <c r="BV42" s="766"/>
      <c r="BW42" s="767"/>
      <c r="BX42" s="768"/>
      <c r="BY42" s="770"/>
      <c r="BZ42" s="767"/>
      <c r="CA42" s="772"/>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7"/>
    </row>
    <row r="43" spans="2:123" ht="9.9499999999999993" customHeight="1">
      <c r="B43" s="1"/>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7"/>
      <c r="BJ43" s="174"/>
      <c r="BK43" s="174"/>
      <c r="BL43" s="1"/>
      <c r="BM43" s="174"/>
      <c r="BN43" s="174"/>
      <c r="BO43" s="174"/>
      <c r="BP43" s="174"/>
      <c r="BQ43" s="174"/>
      <c r="BR43" s="174"/>
      <c r="BS43" s="174"/>
      <c r="BT43" s="174"/>
      <c r="BU43" s="174"/>
      <c r="BV43" s="766"/>
      <c r="BW43" s="767"/>
      <c r="BX43" s="768"/>
      <c r="BY43" s="770"/>
      <c r="BZ43" s="767"/>
      <c r="CA43" s="772"/>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7"/>
    </row>
    <row r="44" spans="2:123" ht="9.9499999999999993" customHeight="1">
      <c r="B44" s="1"/>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7"/>
      <c r="BJ44" s="174"/>
      <c r="BK44" s="174"/>
      <c r="BL44" s="1"/>
      <c r="BM44" s="174"/>
      <c r="BN44" s="174"/>
      <c r="BO44" s="174"/>
      <c r="BP44" s="174"/>
      <c r="BQ44" s="174"/>
      <c r="BR44" s="174"/>
      <c r="BS44" s="174"/>
      <c r="BT44" s="174"/>
      <c r="BU44" s="174"/>
      <c r="BV44" s="918" t="s">
        <v>99</v>
      </c>
      <c r="BW44" s="919"/>
      <c r="BX44" s="920"/>
      <c r="BY44" s="921" t="s">
        <v>99</v>
      </c>
      <c r="BZ44" s="919"/>
      <c r="CA44" s="922"/>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7"/>
    </row>
    <row r="45" spans="2:123" ht="9.9499999999999993" customHeight="1">
      <c r="B45" s="1"/>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7"/>
      <c r="BJ45" s="174"/>
      <c r="BK45" s="174"/>
      <c r="BL45" s="1"/>
      <c r="BM45" s="174"/>
      <c r="BN45" s="174"/>
      <c r="BO45" s="174"/>
      <c r="BP45" s="174"/>
      <c r="BQ45" s="174"/>
      <c r="BR45" s="174"/>
      <c r="BS45" s="174"/>
      <c r="BT45" s="174"/>
      <c r="BU45" s="174"/>
      <c r="BV45" s="923">
        <f>BY17+BT28</f>
        <v>1655</v>
      </c>
      <c r="BW45" s="924"/>
      <c r="BX45" s="925"/>
      <c r="BY45" s="926">
        <f>CB17+BT19+CE17</f>
        <v>607</v>
      </c>
      <c r="BZ45" s="924"/>
      <c r="CA45" s="927"/>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4"/>
      <c r="CY45" s="4"/>
      <c r="CZ45" s="4"/>
      <c r="DA45" s="4"/>
      <c r="DB45" s="4"/>
      <c r="DC45" s="4"/>
      <c r="DD45" s="4"/>
      <c r="DE45" s="4"/>
      <c r="DF45" s="4"/>
      <c r="DG45" s="4"/>
      <c r="DH45" s="4"/>
      <c r="DI45" s="4"/>
      <c r="DJ45" s="4"/>
      <c r="DK45" s="4"/>
      <c r="DL45" s="4"/>
      <c r="DM45" s="4"/>
      <c r="DN45" s="4"/>
      <c r="DO45" s="4"/>
      <c r="DP45" s="174"/>
      <c r="DQ45" s="174"/>
      <c r="DR45" s="174"/>
      <c r="DS45" s="177"/>
    </row>
    <row r="46" spans="2:123" ht="9.9499999999999993" customHeight="1" thickBot="1">
      <c r="B46" s="1"/>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7"/>
      <c r="BJ46" s="174"/>
      <c r="BK46" s="174"/>
      <c r="BL46" s="1"/>
      <c r="BM46" s="174"/>
      <c r="BN46" s="174"/>
      <c r="BO46" s="174"/>
      <c r="BP46" s="174"/>
      <c r="BQ46" s="174"/>
      <c r="BR46" s="174"/>
      <c r="BS46" s="174"/>
      <c r="BT46" s="174"/>
      <c r="BU46" s="174"/>
      <c r="BV46" s="992">
        <v>2</v>
      </c>
      <c r="BW46" s="786"/>
      <c r="BX46" s="993"/>
      <c r="BY46" s="785">
        <v>1</v>
      </c>
      <c r="BZ46" s="786"/>
      <c r="CA46" s="787"/>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4"/>
      <c r="CY46" s="4"/>
      <c r="CZ46" s="4"/>
      <c r="DA46" s="4"/>
      <c r="DB46" s="4"/>
      <c r="DC46" s="4"/>
      <c r="DD46" s="4"/>
      <c r="DE46" s="4"/>
      <c r="DF46" s="4"/>
      <c r="DG46" s="4"/>
      <c r="DH46" s="4"/>
      <c r="DI46" s="4"/>
      <c r="DJ46" s="4"/>
      <c r="DK46" s="4"/>
      <c r="DL46" s="4"/>
      <c r="DM46" s="4"/>
      <c r="DN46" s="4"/>
      <c r="DO46" s="4"/>
      <c r="DP46" s="174"/>
      <c r="DQ46" s="174"/>
      <c r="DR46" s="174"/>
      <c r="DS46" s="177"/>
    </row>
    <row r="47" spans="2:123" ht="9.9499999999999993" customHeight="1">
      <c r="B47" s="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7"/>
      <c r="BJ47" s="174"/>
      <c r="BK47" s="174"/>
      <c r="BL47" s="1"/>
      <c r="BM47" s="174"/>
      <c r="BN47" s="174"/>
      <c r="BO47" s="174"/>
      <c r="BP47" s="174"/>
      <c r="BQ47" s="174"/>
      <c r="BR47" s="174"/>
      <c r="BS47" s="174"/>
      <c r="BT47" s="174"/>
      <c r="BU47" s="174"/>
      <c r="BV47" s="56"/>
      <c r="BW47" s="175"/>
      <c r="BX47" s="175"/>
      <c r="BY47" s="175"/>
      <c r="BZ47" s="175"/>
      <c r="CA47" s="175"/>
      <c r="CB47" s="175"/>
      <c r="CC47" s="175"/>
      <c r="CD47" s="175"/>
      <c r="CE47" s="175"/>
      <c r="CF47" s="175"/>
      <c r="CG47" s="176"/>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4"/>
      <c r="DN47" s="4"/>
      <c r="DO47" s="4"/>
      <c r="DP47" s="174"/>
      <c r="DQ47" s="174"/>
      <c r="DR47" s="174"/>
      <c r="DS47" s="177"/>
    </row>
    <row r="48" spans="2:123" ht="9.9499999999999993" customHeight="1">
      <c r="B48" s="1"/>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7"/>
      <c r="BJ48" s="174"/>
      <c r="BK48" s="174"/>
      <c r="BL48" s="1"/>
      <c r="BM48" s="174"/>
      <c r="BN48" s="174"/>
      <c r="BO48" s="174"/>
      <c r="BP48" s="174"/>
      <c r="BQ48" s="174"/>
      <c r="BR48" s="174"/>
      <c r="BS48" s="174"/>
      <c r="BT48" s="174"/>
      <c r="BU48" s="174"/>
      <c r="BV48" s="58"/>
      <c r="BW48" s="109"/>
      <c r="BX48" s="109"/>
      <c r="BY48" s="109"/>
      <c r="BZ48" s="109"/>
      <c r="CA48" s="109"/>
      <c r="CB48" s="109"/>
      <c r="CC48" s="109"/>
      <c r="CD48" s="109"/>
      <c r="CE48" s="109"/>
      <c r="CF48" s="109"/>
      <c r="CG48" s="60"/>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4"/>
      <c r="DN48" s="4"/>
      <c r="DO48" s="4"/>
      <c r="DP48" s="174"/>
      <c r="DQ48" s="174"/>
      <c r="DR48" s="174"/>
      <c r="DS48" s="177"/>
    </row>
    <row r="49" spans="2:123" ht="9.9499999999999993" customHeight="1" thickBot="1">
      <c r="B49" s="1"/>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7"/>
      <c r="BJ49" s="174"/>
      <c r="BK49" s="174"/>
      <c r="BL49" s="1"/>
      <c r="BM49" s="174"/>
      <c r="BN49" s="174"/>
      <c r="BO49" s="174"/>
      <c r="BP49" s="174"/>
      <c r="BQ49" s="174"/>
      <c r="BR49" s="174"/>
      <c r="BS49" s="174"/>
      <c r="BT49" s="174"/>
      <c r="BU49" s="174"/>
      <c r="BV49" s="58"/>
      <c r="BW49" s="109"/>
      <c r="BX49" s="109"/>
      <c r="BY49" s="109"/>
      <c r="BZ49" s="109"/>
      <c r="CA49" s="109"/>
      <c r="CB49" s="109"/>
      <c r="CC49" s="109"/>
      <c r="CD49" s="109"/>
      <c r="CE49" s="109"/>
      <c r="CF49" s="109"/>
      <c r="CG49" s="60"/>
      <c r="CH49" s="174"/>
      <c r="CI49" s="174"/>
      <c r="CJ49" s="174"/>
      <c r="CK49" s="174"/>
      <c r="CL49" s="174"/>
      <c r="CM49" s="174"/>
      <c r="CN49" s="174"/>
      <c r="CO49" s="174"/>
      <c r="CP49" s="174"/>
      <c r="CQ49" s="174"/>
      <c r="CR49" s="174"/>
      <c r="CS49" s="174"/>
      <c r="CT49" s="174"/>
      <c r="CU49" s="4"/>
      <c r="CV49" s="4"/>
      <c r="CW49" s="4"/>
      <c r="CX49" s="4"/>
      <c r="CY49" s="4"/>
      <c r="CZ49" s="4"/>
      <c r="DA49" s="4"/>
      <c r="DB49" s="4"/>
      <c r="DC49" s="174"/>
      <c r="DD49" s="174"/>
      <c r="DE49" s="174"/>
      <c r="DF49" s="174"/>
      <c r="DG49" s="174"/>
      <c r="DH49" s="174"/>
      <c r="DI49" s="174"/>
      <c r="DJ49" s="174"/>
      <c r="DK49" s="174"/>
      <c r="DL49" s="174"/>
      <c r="DM49" s="16"/>
      <c r="DN49" s="16"/>
      <c r="DO49" s="16"/>
      <c r="DP49" s="174"/>
      <c r="DQ49" s="174"/>
      <c r="DR49" s="174"/>
      <c r="DS49" s="177"/>
    </row>
    <row r="50" spans="2:123" ht="9.9499999999999993" customHeight="1">
      <c r="B50" s="1"/>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7"/>
      <c r="BJ50" s="174"/>
      <c r="BK50" s="174"/>
      <c r="BL50" s="1"/>
      <c r="BM50" s="174"/>
      <c r="BN50" s="174"/>
      <c r="BO50" s="174"/>
      <c r="BP50" s="174"/>
      <c r="BQ50" s="174"/>
      <c r="BR50" s="174"/>
      <c r="BS50" s="174"/>
      <c r="BT50" s="174"/>
      <c r="BU50" s="174"/>
      <c r="BV50" s="58"/>
      <c r="BW50" s="109"/>
      <c r="BX50" s="763"/>
      <c r="BY50" s="764"/>
      <c r="BZ50" s="764"/>
      <c r="CA50" s="764"/>
      <c r="CB50" s="764"/>
      <c r="CC50" s="764"/>
      <c r="CD50" s="764"/>
      <c r="CE50" s="771"/>
      <c r="CF50" s="109"/>
      <c r="CG50" s="60"/>
      <c r="CH50" s="174"/>
      <c r="CI50" s="174"/>
      <c r="CJ50" s="174"/>
      <c r="CK50" s="174"/>
      <c r="CL50" s="174"/>
      <c r="CM50" s="174"/>
      <c r="CN50" s="174"/>
      <c r="CO50" s="174"/>
      <c r="CP50" s="174"/>
      <c r="CQ50" s="174"/>
      <c r="CR50" s="174"/>
      <c r="CS50" s="174"/>
      <c r="CT50" s="174"/>
      <c r="CU50" s="174"/>
      <c r="CV50" s="174"/>
      <c r="CW50" s="174"/>
      <c r="CX50" s="174"/>
      <c r="CY50" s="174"/>
      <c r="CZ50" s="31"/>
      <c r="DA50" s="174"/>
      <c r="DB50" s="174"/>
      <c r="DC50" s="174"/>
      <c r="DD50" s="174"/>
      <c r="DE50" s="174"/>
      <c r="DF50" s="174"/>
      <c r="DG50" s="174"/>
      <c r="DH50" s="174"/>
      <c r="DI50" s="174"/>
      <c r="DJ50" s="174"/>
      <c r="DK50" s="174"/>
      <c r="DL50" s="174"/>
      <c r="DM50" s="22"/>
      <c r="DN50" s="22"/>
      <c r="DO50" s="22"/>
      <c r="DP50" s="174"/>
      <c r="DQ50" s="174"/>
      <c r="DR50" s="174"/>
      <c r="DS50" s="177"/>
    </row>
    <row r="51" spans="2:123" ht="9.9499999999999993" customHeight="1">
      <c r="B51" s="1"/>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7"/>
      <c r="BJ51" s="174"/>
      <c r="BK51" s="174"/>
      <c r="BL51" s="1"/>
      <c r="BM51" s="174"/>
      <c r="BN51" s="174"/>
      <c r="BO51" s="174"/>
      <c r="BP51" s="174"/>
      <c r="BQ51" s="174"/>
      <c r="BR51" s="174"/>
      <c r="BS51" s="174"/>
      <c r="BT51" s="174"/>
      <c r="BU51" s="174"/>
      <c r="BV51" s="58"/>
      <c r="BW51" s="109"/>
      <c r="BX51" s="766"/>
      <c r="BY51" s="767"/>
      <c r="BZ51" s="767"/>
      <c r="CA51" s="767"/>
      <c r="CB51" s="767"/>
      <c r="CC51" s="767"/>
      <c r="CD51" s="767"/>
      <c r="CE51" s="772"/>
      <c r="CF51" s="109"/>
      <c r="CG51" s="60"/>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25"/>
      <c r="DN51" s="25"/>
      <c r="DO51" s="25"/>
      <c r="DP51" s="174"/>
      <c r="DQ51" s="174"/>
      <c r="DR51" s="174"/>
      <c r="DS51" s="177"/>
    </row>
    <row r="52" spans="2:123" ht="9.9499999999999993" customHeight="1" thickBot="1">
      <c r="B52" s="1"/>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7"/>
      <c r="BJ52" s="174"/>
      <c r="BK52" s="174"/>
      <c r="BL52" s="1"/>
      <c r="BM52" s="174"/>
      <c r="BN52" s="174"/>
      <c r="BO52" s="174"/>
      <c r="BP52" s="174"/>
      <c r="BQ52" s="174"/>
      <c r="BR52" s="174"/>
      <c r="BS52" s="174"/>
      <c r="BT52" s="174"/>
      <c r="BU52" s="174"/>
      <c r="BV52" s="58"/>
      <c r="BW52" s="109"/>
      <c r="BX52" s="766"/>
      <c r="BY52" s="767"/>
      <c r="BZ52" s="767"/>
      <c r="CA52" s="767"/>
      <c r="CB52" s="767"/>
      <c r="CC52" s="767"/>
      <c r="CD52" s="767"/>
      <c r="CE52" s="772"/>
      <c r="CF52" s="109"/>
      <c r="CG52" s="60"/>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6"/>
      <c r="DN52" s="16"/>
      <c r="DO52" s="16"/>
      <c r="DP52" s="174"/>
      <c r="DQ52" s="174"/>
      <c r="DR52" s="174"/>
      <c r="DS52" s="177"/>
    </row>
    <row r="53" spans="2:123" ht="9.9499999999999993" customHeight="1">
      <c r="B53" s="1"/>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7"/>
      <c r="BJ53" s="174"/>
      <c r="BK53" s="174"/>
      <c r="BL53" s="1"/>
      <c r="BM53" s="174"/>
      <c r="BN53" s="174"/>
      <c r="BO53" s="174"/>
      <c r="BP53" s="174"/>
      <c r="BQ53" s="174"/>
      <c r="BR53" s="174"/>
      <c r="BS53" s="174"/>
      <c r="BT53" s="174"/>
      <c r="BU53" s="174"/>
      <c r="BV53" s="58"/>
      <c r="BW53" s="109"/>
      <c r="BX53" s="833">
        <f>MAX(CI56/LTAF/CH56, ROUND(MAX(0,CI53/RTAF/CH53-BY45/LTAF/BY46),0))+ MAX(BY45/LTAF/BY46+MAX((CB60+BV60)/CB59, ROUND(MAX(0,(CE60+BY60)/RTAF/CE59-CI56/LTAF/CH56),0)),BV45 /BV46 )</f>
        <v>1887.8947368421054</v>
      </c>
      <c r="BY53" s="834"/>
      <c r="BZ53" s="834"/>
      <c r="CA53" s="834"/>
      <c r="CB53" s="834"/>
      <c r="CC53" s="834"/>
      <c r="CD53" s="834"/>
      <c r="CE53" s="835"/>
      <c r="CF53" s="109"/>
      <c r="CG53" s="60"/>
      <c r="CH53" s="803">
        <v>1</v>
      </c>
      <c r="CI53" s="913">
        <f>DK28+BT22</f>
        <v>899</v>
      </c>
      <c r="CJ53" s="914" t="s">
        <v>99</v>
      </c>
      <c r="CK53" s="789"/>
      <c r="CL53" s="789"/>
      <c r="CM53" s="789"/>
      <c r="CN53" s="812"/>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7"/>
    </row>
    <row r="54" spans="2:123" ht="9.9499999999999993" customHeight="1">
      <c r="B54" s="1"/>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7"/>
      <c r="BJ54" s="174"/>
      <c r="BK54" s="174"/>
      <c r="BL54" s="1"/>
      <c r="BM54" s="174"/>
      <c r="BN54" s="174"/>
      <c r="BO54" s="174"/>
      <c r="BP54" s="174"/>
      <c r="BQ54" s="174"/>
      <c r="BR54" s="174"/>
      <c r="BS54" s="174"/>
      <c r="BT54" s="174"/>
      <c r="BU54" s="174"/>
      <c r="BV54" s="58"/>
      <c r="BW54" s="109"/>
      <c r="BX54" s="833"/>
      <c r="BY54" s="834"/>
      <c r="BZ54" s="834"/>
      <c r="CA54" s="834"/>
      <c r="CB54" s="834"/>
      <c r="CC54" s="834"/>
      <c r="CD54" s="834"/>
      <c r="CE54" s="835"/>
      <c r="CF54" s="109"/>
      <c r="CG54" s="60"/>
      <c r="CH54" s="804"/>
      <c r="CI54" s="1005"/>
      <c r="CJ54" s="1007"/>
      <c r="CK54" s="791"/>
      <c r="CL54" s="791"/>
      <c r="CM54" s="791"/>
      <c r="CN54" s="813"/>
      <c r="CO54" s="174"/>
      <c r="CP54" s="174"/>
      <c r="CQ54" s="174"/>
      <c r="CR54" s="174"/>
      <c r="CS54" s="174"/>
      <c r="CT54" s="174"/>
      <c r="CU54" s="174"/>
      <c r="CV54" s="174"/>
      <c r="CW54" s="174"/>
      <c r="CX54" s="174"/>
      <c r="CY54" s="174"/>
      <c r="CZ54" s="174"/>
      <c r="DA54" s="174"/>
      <c r="DB54" s="174"/>
      <c r="DC54" s="174"/>
      <c r="DD54" s="174"/>
      <c r="DE54" s="174"/>
      <c r="DF54" s="174"/>
      <c r="DG54" s="174"/>
      <c r="DH54" s="174"/>
      <c r="DI54" s="174"/>
      <c r="DJ54" s="174"/>
      <c r="DK54" s="174"/>
      <c r="DL54" s="174"/>
      <c r="DM54" s="174"/>
      <c r="DN54" s="174"/>
      <c r="DO54" s="174"/>
      <c r="DP54" s="174"/>
      <c r="DQ54" s="174"/>
      <c r="DR54" s="174"/>
      <c r="DS54" s="177"/>
    </row>
    <row r="55" spans="2:123" ht="9.9499999999999993" customHeight="1" thickBot="1">
      <c r="B55" s="1"/>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7"/>
      <c r="BJ55" s="174"/>
      <c r="BK55" s="174"/>
      <c r="BL55" s="1"/>
      <c r="BM55" s="174"/>
      <c r="BN55" s="174"/>
      <c r="BO55" s="174"/>
      <c r="BP55" s="174"/>
      <c r="BQ55" s="174"/>
      <c r="BR55" s="174"/>
      <c r="BS55" s="174"/>
      <c r="BT55" s="174"/>
      <c r="BU55" s="174"/>
      <c r="BV55" s="58"/>
      <c r="BW55" s="109"/>
      <c r="BX55" s="836"/>
      <c r="BY55" s="837"/>
      <c r="BZ55" s="837"/>
      <c r="CA55" s="837"/>
      <c r="CB55" s="837"/>
      <c r="CC55" s="837"/>
      <c r="CD55" s="837"/>
      <c r="CE55" s="838"/>
      <c r="CF55" s="109"/>
      <c r="CG55" s="60"/>
      <c r="CH55" s="805"/>
      <c r="CI55" s="1017"/>
      <c r="CJ55" s="1015"/>
      <c r="CK55" s="793"/>
      <c r="CL55" s="793"/>
      <c r="CM55" s="793"/>
      <c r="CN55" s="814"/>
      <c r="CO55" s="174"/>
      <c r="CP55" s="174"/>
      <c r="CQ55" s="174"/>
      <c r="CR55" s="174"/>
      <c r="CS55" s="174"/>
      <c r="CT55" s="174"/>
      <c r="CU55" s="174"/>
      <c r="CV55" s="174"/>
      <c r="CW55" s="174"/>
      <c r="CX55" s="174"/>
      <c r="CY55" s="174"/>
      <c r="CZ55" s="174"/>
      <c r="DA55" s="174"/>
      <c r="DB55" s="174"/>
      <c r="DC55" s="174"/>
      <c r="DD55" s="174"/>
      <c r="DE55" s="174"/>
      <c r="DF55" s="174"/>
      <c r="DG55" s="174"/>
      <c r="DH55" s="174"/>
      <c r="DI55" s="174"/>
      <c r="DJ55" s="174"/>
      <c r="DK55" s="174"/>
      <c r="DL55" s="174"/>
      <c r="DM55" s="174"/>
      <c r="DN55" s="174"/>
      <c r="DO55" s="174"/>
      <c r="DP55" s="174"/>
      <c r="DQ55" s="174"/>
      <c r="DR55" s="174"/>
      <c r="DS55" s="177"/>
    </row>
    <row r="56" spans="2:123" ht="9.9499999999999993" customHeight="1">
      <c r="B56" s="1"/>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7"/>
      <c r="BJ56" s="174"/>
      <c r="BK56" s="174"/>
      <c r="BL56" s="1"/>
      <c r="BM56" s="174"/>
      <c r="BN56" s="174"/>
      <c r="BO56" s="174"/>
      <c r="BP56" s="174"/>
      <c r="BQ56" s="174"/>
      <c r="BR56" s="174"/>
      <c r="BS56" s="174"/>
      <c r="BT56" s="174"/>
      <c r="BU56" s="174"/>
      <c r="BV56" s="58"/>
      <c r="BW56" s="109"/>
      <c r="BX56" s="109"/>
      <c r="BY56" s="109"/>
      <c r="BZ56" s="109"/>
      <c r="CA56" s="109"/>
      <c r="CB56" s="109"/>
      <c r="CC56" s="109"/>
      <c r="CD56" s="109"/>
      <c r="CE56" s="109"/>
      <c r="CF56" s="109"/>
      <c r="CG56" s="60"/>
      <c r="CH56" s="819">
        <v>1</v>
      </c>
      <c r="CI56" s="952">
        <f>DK25+BV60</f>
        <v>588</v>
      </c>
      <c r="CJ56" s="953" t="s">
        <v>99</v>
      </c>
      <c r="CK56" s="816"/>
      <c r="CL56" s="816"/>
      <c r="CM56" s="816"/>
      <c r="CN56" s="822"/>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7"/>
    </row>
    <row r="57" spans="2:123" ht="9.9499999999999993" customHeight="1">
      <c r="B57" s="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7"/>
      <c r="BJ57" s="174"/>
      <c r="BK57" s="174"/>
      <c r="BL57" s="1"/>
      <c r="BM57" s="174"/>
      <c r="BN57" s="174"/>
      <c r="BO57" s="174"/>
      <c r="BP57" s="174"/>
      <c r="BQ57" s="174"/>
      <c r="BR57" s="174"/>
      <c r="BS57" s="174"/>
      <c r="BT57" s="174"/>
      <c r="BU57" s="174"/>
      <c r="BV57" s="58"/>
      <c r="BW57" s="109"/>
      <c r="BX57" s="109"/>
      <c r="BY57" s="109"/>
      <c r="BZ57" s="109"/>
      <c r="CA57" s="109"/>
      <c r="CB57" s="109"/>
      <c r="CC57" s="109"/>
      <c r="CD57" s="109"/>
      <c r="CE57" s="109"/>
      <c r="CF57" s="109"/>
      <c r="CG57" s="60"/>
      <c r="CH57" s="804"/>
      <c r="CI57" s="1005"/>
      <c r="CJ57" s="1007"/>
      <c r="CK57" s="791"/>
      <c r="CL57" s="791"/>
      <c r="CM57" s="791"/>
      <c r="CN57" s="813"/>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7"/>
    </row>
    <row r="58" spans="2:123" ht="9.9499999999999993" customHeight="1" thickBot="1">
      <c r="B58" s="1"/>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7"/>
      <c r="BJ58" s="174"/>
      <c r="BK58" s="174"/>
      <c r="BL58" s="1"/>
      <c r="BM58" s="174"/>
      <c r="BN58" s="174"/>
      <c r="BO58" s="174"/>
      <c r="BP58" s="174"/>
      <c r="BQ58" s="174"/>
      <c r="BR58" s="174"/>
      <c r="BS58" s="174"/>
      <c r="BT58" s="174"/>
      <c r="BU58" s="174"/>
      <c r="BV58" s="61"/>
      <c r="BW58" s="110"/>
      <c r="BX58" s="110"/>
      <c r="BY58" s="110"/>
      <c r="BZ58" s="110"/>
      <c r="CA58" s="110"/>
      <c r="CB58" s="110"/>
      <c r="CC58" s="110"/>
      <c r="CD58" s="110"/>
      <c r="CE58" s="110"/>
      <c r="CF58" s="110"/>
      <c r="CG58" s="63"/>
      <c r="CH58" s="823"/>
      <c r="CI58" s="1006"/>
      <c r="CJ58" s="1008"/>
      <c r="CK58" s="825"/>
      <c r="CL58" s="825"/>
      <c r="CM58" s="825"/>
      <c r="CN58" s="832"/>
      <c r="CO58" s="174"/>
      <c r="CP58" s="174"/>
      <c r="CQ58" s="174"/>
      <c r="CR58" s="174"/>
      <c r="CS58" s="174"/>
      <c r="CT58" s="174"/>
      <c r="CU58" s="174"/>
      <c r="CV58" s="174"/>
      <c r="CW58" s="174"/>
      <c r="CX58" s="174"/>
      <c r="CY58" s="174"/>
      <c r="CZ58" s="174"/>
      <c r="DA58" s="174"/>
      <c r="DB58" s="174"/>
      <c r="DC58" s="142"/>
      <c r="DD58" s="174"/>
      <c r="DE58" s="174"/>
      <c r="DF58" s="174"/>
      <c r="DG58" s="174"/>
      <c r="DH58" s="174"/>
      <c r="DI58" s="174"/>
      <c r="DJ58" s="174"/>
      <c r="DK58" s="174"/>
      <c r="DL58" s="174"/>
      <c r="DM58" s="174"/>
      <c r="DN58" s="174"/>
      <c r="DO58" s="174"/>
      <c r="DP58" s="174"/>
      <c r="DQ58" s="174"/>
      <c r="DR58" s="174"/>
      <c r="DS58" s="177"/>
    </row>
    <row r="59" spans="2:123" ht="9.9499999999999993" customHeight="1">
      <c r="B59" s="1"/>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7"/>
      <c r="BJ59" s="174"/>
      <c r="BK59" s="174"/>
      <c r="BL59" s="1"/>
      <c r="BM59" s="174"/>
      <c r="BN59" s="174"/>
      <c r="BO59" s="174"/>
      <c r="BP59" s="174"/>
      <c r="BQ59" s="174"/>
      <c r="BR59" s="174"/>
      <c r="BS59" s="174"/>
      <c r="BT59" s="174"/>
      <c r="BU59" s="174"/>
      <c r="BV59" s="991"/>
      <c r="BW59" s="997"/>
      <c r="BX59" s="1033"/>
      <c r="BY59" s="996"/>
      <c r="BZ59" s="997"/>
      <c r="CA59" s="1033"/>
      <c r="CB59" s="971">
        <v>2</v>
      </c>
      <c r="CC59" s="969"/>
      <c r="CD59" s="970"/>
      <c r="CE59" s="971">
        <v>1</v>
      </c>
      <c r="CF59" s="969"/>
      <c r="CG59" s="972"/>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7"/>
    </row>
    <row r="60" spans="2:123" ht="9.9499999999999993" customHeight="1">
      <c r="B60" s="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7"/>
      <c r="BJ60" s="174"/>
      <c r="BK60" s="174"/>
      <c r="BL60" s="1"/>
      <c r="BM60" s="174"/>
      <c r="BN60" s="174"/>
      <c r="BO60" s="174"/>
      <c r="BP60" s="174"/>
      <c r="BQ60" s="174"/>
      <c r="BR60" s="174"/>
      <c r="BS60" s="174"/>
      <c r="BT60" s="174"/>
      <c r="BU60" s="174"/>
      <c r="BV60" s="844">
        <f>NBU_Master</f>
        <v>0</v>
      </c>
      <c r="BW60" s="845"/>
      <c r="BX60" s="846"/>
      <c r="BY60" s="847">
        <f>NBL_Master</f>
        <v>0</v>
      </c>
      <c r="BZ60" s="845"/>
      <c r="CA60" s="846"/>
      <c r="CB60" s="847">
        <f>NBT_Master</f>
        <v>1260</v>
      </c>
      <c r="CC60" s="845"/>
      <c r="CD60" s="846"/>
      <c r="CE60" s="847">
        <f>NBR_Master</f>
        <v>1060</v>
      </c>
      <c r="CF60" s="845"/>
      <c r="CG60" s="848"/>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7"/>
    </row>
    <row r="61" spans="2:123" ht="9.9499999999999993" customHeight="1" thickBot="1">
      <c r="B61" s="1"/>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7"/>
      <c r="BJ61" s="174"/>
      <c r="BK61" s="174"/>
      <c r="BL61" s="1"/>
      <c r="BM61" s="174"/>
      <c r="BN61" s="174"/>
      <c r="BO61" s="174"/>
      <c r="BP61" s="174"/>
      <c r="BQ61" s="174"/>
      <c r="BR61" s="174"/>
      <c r="BS61" s="174"/>
      <c r="BT61" s="174"/>
      <c r="BU61" s="174"/>
      <c r="BV61" s="773" t="s">
        <v>99</v>
      </c>
      <c r="BW61" s="774"/>
      <c r="BX61" s="775"/>
      <c r="BY61" s="776" t="s">
        <v>99</v>
      </c>
      <c r="BZ61" s="774"/>
      <c r="CA61" s="775"/>
      <c r="CB61" s="776" t="s">
        <v>99</v>
      </c>
      <c r="CC61" s="774"/>
      <c r="CD61" s="775"/>
      <c r="CE61" s="776" t="s">
        <v>99</v>
      </c>
      <c r="CF61" s="774"/>
      <c r="CG61" s="777"/>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7"/>
    </row>
    <row r="62" spans="2:123" ht="9.9499999999999993" customHeight="1">
      <c r="B62" s="1"/>
      <c r="C62" s="728">
        <f>BX53</f>
        <v>1887.8947368421054</v>
      </c>
      <c r="D62" s="861"/>
      <c r="E62" s="861"/>
      <c r="F62" s="861"/>
      <c r="G62" s="861"/>
      <c r="H62" s="861"/>
      <c r="I62" s="861"/>
      <c r="J62" s="861"/>
      <c r="K62" s="861"/>
      <c r="L62" s="862"/>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7"/>
      <c r="BJ62" s="174"/>
      <c r="BK62" s="174"/>
      <c r="BL62" s="1"/>
      <c r="BM62" s="174"/>
      <c r="BN62" s="174"/>
      <c r="BO62" s="174"/>
      <c r="BP62" s="174"/>
      <c r="BQ62" s="174"/>
      <c r="BR62" s="174"/>
      <c r="BS62" s="174"/>
      <c r="BT62" s="174"/>
      <c r="BU62" s="174"/>
      <c r="BV62" s="766"/>
      <c r="BW62" s="767"/>
      <c r="BX62" s="768"/>
      <c r="BY62" s="770"/>
      <c r="BZ62" s="767"/>
      <c r="CA62" s="768"/>
      <c r="CB62" s="770"/>
      <c r="CC62" s="767"/>
      <c r="CD62" s="768"/>
      <c r="CE62" s="770"/>
      <c r="CF62" s="767"/>
      <c r="CG62" s="772"/>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7"/>
    </row>
    <row r="63" spans="2:123" ht="9.9499999999999993" customHeight="1">
      <c r="B63" s="1"/>
      <c r="C63" s="863"/>
      <c r="D63" s="864"/>
      <c r="E63" s="864"/>
      <c r="F63" s="864"/>
      <c r="G63" s="864"/>
      <c r="H63" s="864"/>
      <c r="I63" s="864"/>
      <c r="J63" s="864"/>
      <c r="K63" s="864"/>
      <c r="L63" s="865"/>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7"/>
      <c r="BJ63" s="174"/>
      <c r="BK63" s="174"/>
      <c r="BL63" s="1"/>
      <c r="BM63" s="174"/>
      <c r="BN63" s="174"/>
      <c r="BO63" s="174"/>
      <c r="BP63" s="174"/>
      <c r="BQ63" s="174"/>
      <c r="BR63" s="174"/>
      <c r="BS63" s="174"/>
      <c r="BT63" s="174"/>
      <c r="BU63" s="174"/>
      <c r="BV63" s="766"/>
      <c r="BW63" s="767"/>
      <c r="BX63" s="768"/>
      <c r="BY63" s="770"/>
      <c r="BZ63" s="767"/>
      <c r="CA63" s="768"/>
      <c r="CB63" s="770"/>
      <c r="CC63" s="767"/>
      <c r="CD63" s="768"/>
      <c r="CE63" s="770"/>
      <c r="CF63" s="767"/>
      <c r="CG63" s="772"/>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7"/>
    </row>
    <row r="64" spans="2:123" ht="9.9499999999999993" customHeight="1" thickBot="1">
      <c r="B64" s="1"/>
      <c r="C64" s="866"/>
      <c r="D64" s="867"/>
      <c r="E64" s="867"/>
      <c r="F64" s="867"/>
      <c r="G64" s="867"/>
      <c r="H64" s="867"/>
      <c r="I64" s="867"/>
      <c r="J64" s="867"/>
      <c r="K64" s="867"/>
      <c r="L64" s="868"/>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7"/>
      <c r="BJ64" s="174"/>
      <c r="BK64" s="174"/>
      <c r="BL64" s="1"/>
      <c r="BM64" s="174"/>
      <c r="BN64" s="174"/>
      <c r="BO64" s="174"/>
      <c r="BP64" s="174"/>
      <c r="BQ64" s="174"/>
      <c r="BR64" s="174"/>
      <c r="BS64" s="174"/>
      <c r="BT64" s="174"/>
      <c r="BU64" s="174"/>
      <c r="BV64" s="766"/>
      <c r="BW64" s="767"/>
      <c r="BX64" s="768"/>
      <c r="BY64" s="770"/>
      <c r="BZ64" s="767"/>
      <c r="CA64" s="768"/>
      <c r="CB64" s="770"/>
      <c r="CC64" s="767"/>
      <c r="CD64" s="768"/>
      <c r="CE64" s="770"/>
      <c r="CF64" s="767"/>
      <c r="CG64" s="772"/>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7"/>
    </row>
    <row r="65" spans="2:123" ht="9.9499999999999993" customHeight="1" thickBot="1">
      <c r="B65" s="1"/>
      <c r="C65" s="713">
        <f>ROUND(C62/CLV_Limit,2)</f>
        <v>1.18</v>
      </c>
      <c r="D65" s="714"/>
      <c r="E65" s="714"/>
      <c r="F65" s="714"/>
      <c r="G65" s="715"/>
      <c r="H65" s="722" t="s">
        <v>100</v>
      </c>
      <c r="I65" s="722"/>
      <c r="J65" s="722"/>
      <c r="K65" s="722"/>
      <c r="L65" s="723"/>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7"/>
      <c r="BJ65" s="174"/>
      <c r="BK65" s="174"/>
      <c r="BL65" s="1"/>
      <c r="BM65" s="174"/>
      <c r="BN65" s="174"/>
      <c r="BO65" s="174"/>
      <c r="BP65" s="174"/>
      <c r="BQ65" s="174"/>
      <c r="BR65" s="174"/>
      <c r="BS65" s="174"/>
      <c r="BT65" s="174"/>
      <c r="BU65" s="174"/>
      <c r="BV65" s="849"/>
      <c r="BW65" s="705"/>
      <c r="BX65" s="850"/>
      <c r="BY65" s="851"/>
      <c r="BZ65" s="705"/>
      <c r="CA65" s="850"/>
      <c r="CB65" s="851"/>
      <c r="CC65" s="705"/>
      <c r="CD65" s="850"/>
      <c r="CE65" s="851"/>
      <c r="CF65" s="705"/>
      <c r="CG65" s="852"/>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7"/>
    </row>
    <row r="66" spans="2:123" ht="9.9499999999999993" customHeight="1">
      <c r="B66" s="1"/>
      <c r="C66" s="716"/>
      <c r="D66" s="717"/>
      <c r="E66" s="717"/>
      <c r="F66" s="717"/>
      <c r="G66" s="718"/>
      <c r="H66" s="724"/>
      <c r="I66" s="724"/>
      <c r="J66" s="724"/>
      <c r="K66" s="724"/>
      <c r="L66" s="725"/>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7"/>
      <c r="BJ66" s="174"/>
      <c r="BK66" s="174"/>
      <c r="BL66" s="1"/>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6"/>
      <c r="CU66" s="6"/>
      <c r="CV66" s="6"/>
      <c r="CW66" s="6"/>
      <c r="CX66" s="18"/>
      <c r="CY66" s="18"/>
      <c r="CZ66" s="24"/>
      <c r="DA66" s="18"/>
      <c r="DB66" s="4"/>
      <c r="DC66" s="174"/>
      <c r="DD66" s="174"/>
      <c r="DE66" s="174"/>
      <c r="DF66" s="174"/>
      <c r="DG66" s="174"/>
      <c r="DH66" s="174"/>
      <c r="DI66" s="174"/>
      <c r="DJ66" s="174"/>
      <c r="DK66" s="174"/>
      <c r="DL66" s="174"/>
      <c r="DM66" s="174"/>
      <c r="DN66" s="174"/>
      <c r="DO66" s="174"/>
      <c r="DP66" s="174"/>
      <c r="DQ66" s="174"/>
      <c r="DR66" s="174"/>
      <c r="DS66" s="177"/>
    </row>
    <row r="67" spans="2:123" ht="9.9499999999999993" customHeight="1" thickBot="1">
      <c r="B67" s="1"/>
      <c r="C67" s="719"/>
      <c r="D67" s="720"/>
      <c r="E67" s="720"/>
      <c r="F67" s="720"/>
      <c r="G67" s="721"/>
      <c r="H67" s="726"/>
      <c r="I67" s="726"/>
      <c r="J67" s="726"/>
      <c r="K67" s="726"/>
      <c r="L67" s="727"/>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7"/>
      <c r="BJ67" s="174"/>
      <c r="BK67" s="174"/>
      <c r="BL67" s="1"/>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7"/>
    </row>
    <row r="68" spans="2:123" ht="9.9499999999999993" customHeight="1">
      <c r="B68" s="1"/>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7"/>
      <c r="BJ68" s="174"/>
      <c r="BK68" s="174"/>
      <c r="BL68" s="1"/>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7"/>
    </row>
    <row r="69" spans="2:123" ht="9.9499999999999993" customHeight="1">
      <c r="B69" s="1"/>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7"/>
      <c r="BJ69" s="174"/>
      <c r="BK69" s="174"/>
      <c r="BL69" s="1"/>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7"/>
    </row>
    <row r="70" spans="2:123" ht="9.9499999999999993" customHeight="1">
      <c r="B70" s="1"/>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7"/>
      <c r="BJ70" s="174"/>
      <c r="BK70" s="174"/>
      <c r="BL70" s="1"/>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7"/>
    </row>
    <row r="71" spans="2:123" ht="9.9499999999999993" customHeight="1">
      <c r="B71" s="1"/>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7"/>
      <c r="BJ71" s="174"/>
      <c r="BK71" s="174"/>
      <c r="BL71" s="1"/>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7"/>
    </row>
    <row r="72" spans="2:123" ht="9.9499999999999993" customHeight="1">
      <c r="B72" s="1"/>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7"/>
      <c r="BJ72" s="174"/>
      <c r="BK72" s="174"/>
      <c r="BL72" s="1"/>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7"/>
    </row>
    <row r="73" spans="2:123" ht="9.9499999999999993" customHeight="1">
      <c r="B73" s="1"/>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7"/>
      <c r="BJ73" s="174"/>
      <c r="BK73" s="174"/>
      <c r="BL73" s="1"/>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7"/>
    </row>
    <row r="74" spans="2:123" ht="9.9499999999999993" customHeight="1" thickBot="1">
      <c r="B74" s="12"/>
      <c r="C74" s="168"/>
      <c r="D74" s="168"/>
      <c r="E74" s="168"/>
      <c r="F74" s="168"/>
      <c r="G74" s="168"/>
      <c r="H74" s="168"/>
      <c r="I74" s="168"/>
      <c r="J74" s="168"/>
      <c r="K74" s="168"/>
      <c r="L74" s="168"/>
      <c r="M74" s="21"/>
      <c r="N74" s="21"/>
      <c r="O74" s="705" t="s">
        <v>101</v>
      </c>
      <c r="P74" s="705"/>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168"/>
      <c r="AY74" s="168"/>
      <c r="AZ74" s="168"/>
      <c r="BA74" s="168"/>
      <c r="BB74" s="168"/>
      <c r="BC74" s="168"/>
      <c r="BD74" s="168"/>
      <c r="BE74" s="168"/>
      <c r="BF74" s="168"/>
      <c r="BG74" s="168"/>
      <c r="BH74" s="168"/>
      <c r="BI74" s="171"/>
      <c r="BJ74" s="174"/>
      <c r="BK74" s="174"/>
      <c r="BL74" s="12"/>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71"/>
    </row>
    <row r="75" spans="2:123" ht="3.6" customHeight="1">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row>
    <row r="76" spans="2:123" ht="9.9499999999999993" hidden="1" customHeight="1">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row>
    <row r="77" spans="2:123" ht="9.9499999999999993" hidden="1" customHeight="1">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row>
    <row r="78" spans="2:123" ht="9.9499999999999993" hidden="1" customHeight="1">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row>
    <row r="79" spans="2:123" ht="9.9499999999999993" hidden="1"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row>
    <row r="80" spans="2:123" ht="9.9499999999999993" hidden="1"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row>
    <row r="81" ht="9.9499999999999993" hidden="1" customHeight="1"/>
    <row r="82" ht="9.9499999999999993" hidden="1" customHeight="1"/>
    <row r="83" ht="9.9499999999999993" hidden="1" customHeight="1"/>
    <row r="84" ht="9.9499999999999993" hidden="1" customHeight="1"/>
    <row r="85" ht="9.9499999999999993" hidden="1" customHeight="1"/>
    <row r="86" ht="9.9499999999999993" hidden="1" customHeight="1"/>
    <row r="87" ht="9.9499999999999993" hidden="1" customHeight="1"/>
    <row r="88" ht="9.9499999999999993" hidden="1" customHeight="1"/>
    <row r="89" ht="9.9499999999999993" hidden="1" customHeight="1"/>
    <row r="90" ht="9.9499999999999993" hidden="1" customHeight="1"/>
    <row r="91" ht="9.9499999999999993" hidden="1" customHeight="1"/>
    <row r="92" ht="9.9499999999999993" hidden="1" customHeight="1"/>
    <row r="93" ht="9.9499999999999993" hidden="1" customHeight="1"/>
    <row r="94" ht="9.9499999999999993" hidden="1" customHeight="1"/>
    <row r="95" ht="9.9499999999999993" hidden="1" customHeight="1"/>
    <row r="96" ht="9.9499999999999993" hidden="1" customHeight="1"/>
    <row r="97" ht="9.9499999999999993" hidden="1" customHeight="1"/>
    <row r="98" ht="9.9499999999999993" hidden="1" customHeight="1"/>
    <row r="99" ht="9.9499999999999993" hidden="1" customHeight="1"/>
    <row r="100" ht="9.9499999999999993" hidden="1" customHeight="1"/>
    <row r="101" ht="9.9499999999999993" hidden="1" customHeight="1"/>
    <row r="102" ht="9.9499999999999993" hidden="1" customHeight="1"/>
    <row r="103" ht="9.9499999999999993" hidden="1" customHeight="1"/>
    <row r="104" ht="9.9499999999999993" hidden="1" customHeight="1"/>
    <row r="105" ht="9.9499999999999993" hidden="1" customHeight="1"/>
    <row r="106" ht="9.9499999999999993" hidden="1" customHeight="1"/>
    <row r="107" ht="9.9499999999999993" hidden="1" customHeight="1"/>
    <row r="108" ht="9.9499999999999993" hidden="1" customHeight="1"/>
    <row r="109" ht="9.9499999999999993" hidden="1" customHeight="1"/>
    <row r="110" ht="9.9499999999999993" hidden="1" customHeight="1"/>
    <row r="111" ht="9.9499999999999993" hidden="1" customHeight="1"/>
    <row r="112" ht="9.9499999999999993" hidden="1" customHeight="1"/>
    <row r="113" ht="9.9499999999999993" hidden="1" customHeight="1"/>
    <row r="114" ht="9.9499999999999993" hidden="1" customHeight="1"/>
    <row r="115" ht="9.9499999999999993" hidden="1" customHeight="1"/>
    <row r="116" ht="9.9499999999999993" hidden="1" customHeight="1"/>
    <row r="117" ht="9.9499999999999993" hidden="1" customHeight="1"/>
    <row r="118" ht="9.9499999999999993" hidden="1" customHeight="1"/>
    <row r="119" ht="9.9499999999999993" hidden="1" customHeight="1"/>
    <row r="120" ht="9.9499999999999993" hidden="1" customHeight="1"/>
    <row r="121" ht="9.9499999999999993" hidden="1" customHeight="1"/>
    <row r="122" ht="9.9499999999999993" hidden="1" customHeight="1"/>
    <row r="123" ht="9.9499999999999993" hidden="1" customHeight="1"/>
    <row r="124" ht="9.9499999999999993" hidden="1" customHeight="1"/>
    <row r="125" ht="9.9499999999999993" hidden="1" customHeight="1"/>
    <row r="126" ht="9.9499999999999993" hidden="1" customHeight="1"/>
    <row r="127" ht="9.9499999999999993" hidden="1" customHeight="1"/>
    <row r="128" ht="9.9499999999999993" hidden="1" customHeight="1"/>
    <row r="129" ht="9.9499999999999993" hidden="1" customHeight="1"/>
    <row r="130" ht="9.9499999999999993" hidden="1" customHeight="1"/>
    <row r="131" ht="9.9499999999999993" hidden="1" customHeight="1"/>
    <row r="132" ht="9.9499999999999993" hidden="1" customHeight="1"/>
    <row r="133" ht="9.9499999999999993" hidden="1" customHeight="1"/>
    <row r="134" ht="9.9499999999999993" hidden="1" customHeight="1"/>
    <row r="135" ht="9.9499999999999993" hidden="1" customHeight="1"/>
    <row r="136" ht="9.9499999999999993" hidden="1" customHeight="1"/>
    <row r="137" ht="9.9499999999999993" hidden="1" customHeight="1"/>
    <row r="138" ht="9.9499999999999993" hidden="1" customHeight="1"/>
    <row r="139" ht="9.9499999999999993" hidden="1" customHeight="1"/>
    <row r="140" ht="9.9499999999999993" hidden="1" customHeight="1"/>
    <row r="141" ht="9.9499999999999993" hidden="1" customHeight="1"/>
    <row r="142" ht="9.9499999999999993" hidden="1" customHeight="1"/>
    <row r="143" ht="9.9499999999999993" hidden="1" customHeight="1"/>
    <row r="144" ht="9.9499999999999993" hidden="1" customHeight="1"/>
    <row r="145" ht="9.9499999999999993" hidden="1" customHeight="1"/>
    <row r="146" ht="9.9499999999999993" hidden="1" customHeight="1"/>
    <row r="147" ht="9.9499999999999993" hidden="1" customHeight="1"/>
    <row r="148" ht="9.9499999999999993" hidden="1" customHeight="1"/>
    <row r="149" ht="3.6" hidden="1" customHeight="1"/>
    <row r="150" ht="9.9499999999999993" hidden="1" customHeight="1"/>
    <row r="151" ht="9.9499999999999993" hidden="1" customHeight="1"/>
    <row r="152" ht="9.9499999999999993" hidden="1" customHeight="1"/>
    <row r="153" ht="9.9499999999999993" hidden="1" customHeight="1"/>
    <row r="154" ht="9.9499999999999993" hidden="1" customHeight="1"/>
    <row r="155" ht="9.9499999999999993" hidden="1" customHeight="1"/>
    <row r="156" ht="9.9499999999999993" hidden="1" customHeight="1"/>
    <row r="157" ht="9.9499999999999993" hidden="1" customHeight="1"/>
  </sheetData>
  <sheetProtection sheet="1" objects="1" scenarios="1" selectLockedCells="1"/>
  <mergeCells count="147">
    <mergeCell ref="C65:G67"/>
    <mergeCell ref="H65:L67"/>
    <mergeCell ref="O74:AW74"/>
    <mergeCell ref="C8:J9"/>
    <mergeCell ref="K8:AJ9"/>
    <mergeCell ref="C10:J11"/>
    <mergeCell ref="K10:AJ11"/>
    <mergeCell ref="C12:J13"/>
    <mergeCell ref="K12:AJ13"/>
    <mergeCell ref="AK8:AP9"/>
    <mergeCell ref="AQ8:AV9"/>
    <mergeCell ref="AW8:BB9"/>
    <mergeCell ref="AK10:AV13"/>
    <mergeCell ref="AW10:BH13"/>
    <mergeCell ref="BL1:DS2"/>
    <mergeCell ref="BL3:DS4"/>
    <mergeCell ref="BV12:BX15"/>
    <mergeCell ref="BY12:CA15"/>
    <mergeCell ref="CB12:CD15"/>
    <mergeCell ref="CE12:CG15"/>
    <mergeCell ref="AS17:BB19"/>
    <mergeCell ref="C24:L26"/>
    <mergeCell ref="C62:L64"/>
    <mergeCell ref="C27:G29"/>
    <mergeCell ref="H27:L29"/>
    <mergeCell ref="AS20:AW22"/>
    <mergeCell ref="AX20:BB22"/>
    <mergeCell ref="B1:BI2"/>
    <mergeCell ref="B3:BI4"/>
    <mergeCell ref="C6:J7"/>
    <mergeCell ref="K6:AJ7"/>
    <mergeCell ref="AK6:BH7"/>
    <mergeCell ref="BC8:BH9"/>
    <mergeCell ref="BV18:BX18"/>
    <mergeCell ref="BY18:CA18"/>
    <mergeCell ref="CB18:CD18"/>
    <mergeCell ref="CE18:CG18"/>
    <mergeCell ref="BO19:BR21"/>
    <mergeCell ref="BU19:BU21"/>
    <mergeCell ref="BV16:BX16"/>
    <mergeCell ref="BY16:CA16"/>
    <mergeCell ref="CB16:CD16"/>
    <mergeCell ref="CE16:CG16"/>
    <mergeCell ref="BV17:BX17"/>
    <mergeCell ref="BY17:CA17"/>
    <mergeCell ref="CB17:CD17"/>
    <mergeCell ref="CE17:CG17"/>
    <mergeCell ref="CK22:CN24"/>
    <mergeCell ref="CZ22:DG24"/>
    <mergeCell ref="DJ22:DJ24"/>
    <mergeCell ref="DK22:DK24"/>
    <mergeCell ref="DL22:DL24"/>
    <mergeCell ref="DM22:DP24"/>
    <mergeCell ref="DL19:DL21"/>
    <mergeCell ref="DM19:DP21"/>
    <mergeCell ref="BO22:BR24"/>
    <mergeCell ref="BS22:BS24"/>
    <mergeCell ref="BT22:BT24"/>
    <mergeCell ref="BU22:BU24"/>
    <mergeCell ref="BX22:CE24"/>
    <mergeCell ref="CH22:CH24"/>
    <mergeCell ref="CI22:CI24"/>
    <mergeCell ref="CJ22:CJ24"/>
    <mergeCell ref="CH19:CH21"/>
    <mergeCell ref="CI19:CI21"/>
    <mergeCell ref="CJ19:CJ21"/>
    <mergeCell ref="CK19:CN21"/>
    <mergeCell ref="DJ19:DJ21"/>
    <mergeCell ref="DK19:DK21"/>
    <mergeCell ref="BS19:BS21"/>
    <mergeCell ref="BT19:BT21"/>
    <mergeCell ref="BO28:BR30"/>
    <mergeCell ref="BS28:BS30"/>
    <mergeCell ref="BT28:BT30"/>
    <mergeCell ref="BU28:BU30"/>
    <mergeCell ref="CQ28:CT30"/>
    <mergeCell ref="CU28:CU30"/>
    <mergeCell ref="CV28:CV30"/>
    <mergeCell ref="CW28:CW30"/>
    <mergeCell ref="CU25:CU27"/>
    <mergeCell ref="CV25:CV27"/>
    <mergeCell ref="CW25:CW27"/>
    <mergeCell ref="BO25:BR27"/>
    <mergeCell ref="BS25:BS27"/>
    <mergeCell ref="BT25:BT27"/>
    <mergeCell ref="BU25:BU27"/>
    <mergeCell ref="BX25:CE27"/>
    <mergeCell ref="CQ25:CT27"/>
    <mergeCell ref="DJ28:DJ30"/>
    <mergeCell ref="DK28:DK30"/>
    <mergeCell ref="DL28:DL30"/>
    <mergeCell ref="DM28:DP30"/>
    <mergeCell ref="CB31:CD31"/>
    <mergeCell ref="CE31:CG31"/>
    <mergeCell ref="DD31:DF31"/>
    <mergeCell ref="DG31:DI31"/>
    <mergeCell ref="DL25:DL27"/>
    <mergeCell ref="DM25:DP27"/>
    <mergeCell ref="CZ25:DG27"/>
    <mergeCell ref="DJ25:DJ27"/>
    <mergeCell ref="DK25:DK27"/>
    <mergeCell ref="DG34:DI37"/>
    <mergeCell ref="BV40:BX43"/>
    <mergeCell ref="BY40:CA43"/>
    <mergeCell ref="CB32:CD32"/>
    <mergeCell ref="CE32:CG32"/>
    <mergeCell ref="DD32:DF32"/>
    <mergeCell ref="DG32:DI32"/>
    <mergeCell ref="CB33:CD33"/>
    <mergeCell ref="CE33:CG33"/>
    <mergeCell ref="DD33:DF33"/>
    <mergeCell ref="DG33:DI33"/>
    <mergeCell ref="BV44:BX44"/>
    <mergeCell ref="BY44:CA44"/>
    <mergeCell ref="BV45:BX45"/>
    <mergeCell ref="BY45:CA45"/>
    <mergeCell ref="BV46:BX46"/>
    <mergeCell ref="BY46:CA46"/>
    <mergeCell ref="CB34:CD37"/>
    <mergeCell ref="CE34:CG37"/>
    <mergeCell ref="DD34:DF37"/>
    <mergeCell ref="CH56:CH58"/>
    <mergeCell ref="CI56:CI58"/>
    <mergeCell ref="CJ56:CJ58"/>
    <mergeCell ref="CK56:CN58"/>
    <mergeCell ref="BV59:BX59"/>
    <mergeCell ref="BY59:CA59"/>
    <mergeCell ref="CB59:CD59"/>
    <mergeCell ref="CE59:CG59"/>
    <mergeCell ref="BX50:CE52"/>
    <mergeCell ref="BX53:CE55"/>
    <mergeCell ref="CH53:CH55"/>
    <mergeCell ref="CI53:CI55"/>
    <mergeCell ref="CJ53:CJ55"/>
    <mergeCell ref="CK53:CN55"/>
    <mergeCell ref="BV62:BX65"/>
    <mergeCell ref="BY62:CA65"/>
    <mergeCell ref="CB62:CD65"/>
    <mergeCell ref="CE62:CG65"/>
    <mergeCell ref="BV60:BX60"/>
    <mergeCell ref="BY60:CA60"/>
    <mergeCell ref="CB60:CD60"/>
    <mergeCell ref="CE60:CG60"/>
    <mergeCell ref="BV61:BX61"/>
    <mergeCell ref="BY61:CA61"/>
    <mergeCell ref="CB61:CD61"/>
    <mergeCell ref="CE61:CG61"/>
  </mergeCells>
  <conditionalFormatting sqref="AS17 C24 BX25 CZ25 BX53 C62">
    <cfRule type="cellIs" dxfId="177" priority="18" operator="between">
      <formula>0.75*CLV_Limit</formula>
      <formula>0.875*CLV_Limit-1</formula>
    </cfRule>
    <cfRule type="cellIs" dxfId="176" priority="19" operator="between">
      <formula>0.875*CLV_Limit</formula>
      <formula>CLV_Limit-1</formula>
    </cfRule>
    <cfRule type="cellIs" dxfId="175" priority="20" operator="greaterThanOrEqual">
      <formula>CLV_Limit</formula>
    </cfRule>
  </conditionalFormatting>
  <conditionalFormatting sqref="AW10 AS20 C27 C65">
    <cfRule type="cellIs" dxfId="174" priority="1" operator="between">
      <formula>0.75</formula>
      <formula>0.875</formula>
    </cfRule>
    <cfRule type="cellIs" dxfId="173" priority="2" operator="between">
      <formula>0.875</formula>
      <formula>1</formula>
    </cfRule>
    <cfRule type="cellIs" dxfId="172" priority="3" operator="greaterThan">
      <formula>1</formula>
    </cfRule>
  </conditionalFormatting>
  <pageMargins left="0.2" right="0.2" top="0.5" bottom="0.5" header="0.3" footer="0.3"/>
  <pageSetup orientation="portrait" horizontalDpi="1200" verticalDpi="1200" r:id="rId1"/>
  <headerFooter>
    <oddFooter>&amp;CCapacity Analysis for Planning of Junctions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c019a270-eafa-443b-9c31-d8cf9064eaa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35244A41AE7C4E8015CCD3BFEBC1F8" ma:contentTypeVersion="17" ma:contentTypeDescription="Create a new document." ma:contentTypeScope="" ma:versionID="1086d630b706611421a957a4f4308b55">
  <xsd:schema xmlns:xsd="http://www.w3.org/2001/XMLSchema" xmlns:xs="http://www.w3.org/2001/XMLSchema" xmlns:p="http://schemas.microsoft.com/office/2006/metadata/properties" xmlns:ns2="c019a270-eafa-443b-9c31-d8cf9064eaac" xmlns:ns3="d821f4cf-5579-41e7-9454-08e552172e2e" xmlns:ns4="ddb5066c-6899-482b-9ea0-5145f9da9989" targetNamespace="http://schemas.microsoft.com/office/2006/metadata/properties" ma:root="true" ma:fieldsID="9bef028bd3c9aeef07ff2d9d7826d452" ns2:_="" ns3:_="" ns4:_="">
    <xsd:import namespace="c019a270-eafa-443b-9c31-d8cf9064eaac"/>
    <xsd:import namespace="d821f4cf-5579-41e7-9454-08e552172e2e"/>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19a270-eafa-443b-9c31-d8cf9064ea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21f4cf-5579-41e7-9454-08e552172e2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fef185e-0e8e-4cf7-b1a5-255b7f17a539}" ma:internalName="TaxCatchAll" ma:showField="CatchAllData" ma:web="d821f4cf-5579-41e7-9454-08e552172e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564A61-92E2-48C2-B314-93B3FC839AC0}"/>
</file>

<file path=customXml/itemProps2.xml><?xml version="1.0" encoding="utf-8"?>
<ds:datastoreItem xmlns:ds="http://schemas.openxmlformats.org/officeDocument/2006/customXml" ds:itemID="{C8FCE3ED-D22F-49C7-82FD-A488835E098C}"/>
</file>

<file path=customXml/itemProps3.xml><?xml version="1.0" encoding="utf-8"?>
<ds:datastoreItem xmlns:ds="http://schemas.openxmlformats.org/officeDocument/2006/customXml" ds:itemID="{39DB67D5-75F5-496E-AA88-7A77AD358018}"/>
</file>

<file path=docProps/app.xml><?xml version="1.0" encoding="utf-8"?>
<Properties xmlns="http://schemas.openxmlformats.org/officeDocument/2006/extended-properties" xmlns:vt="http://schemas.openxmlformats.org/officeDocument/2006/docPropsVTypes">
  <Application>Microsoft Excel Online</Application>
  <Manager/>
  <Company>USDOT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Civil Engineer, FHWA</dc:title>
  <dc:subject>AIST V2.0</dc:subject>
  <dc:creator>Taylor Lochrane</dc:creator>
  <cp:keywords/>
  <dc:description/>
  <cp:lastModifiedBy/>
  <cp:revision/>
  <dcterms:created xsi:type="dcterms:W3CDTF">2011-03-17T15:51:56Z</dcterms:created>
  <dcterms:modified xsi:type="dcterms:W3CDTF">2026-04-20T19:22:57Z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0x0101006D35244A41AE7C4E8015CCD3BFEBC1F8</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y fmtid="{D5CDD505-2E9C-101B-9397-08002B2CF9AE}" pid="37" name="MediaServiceImageTags">
    <vt:lpwstr/>
  </property>
</Properties>
</file>