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ingov-my.sharepoint.com/personal/grwest_indot_in_gov/Documents/Master Documents/"/>
    </mc:Choice>
  </mc:AlternateContent>
  <xr:revisionPtr revIDLastSave="0" documentId="8_{2025AB99-7C8A-4104-9FEE-2F57B190661B}" xr6:coauthVersionLast="47" xr6:coauthVersionMax="47" xr10:uidLastSave="{00000000-0000-0000-0000-000000000000}"/>
  <bookViews>
    <workbookView xWindow="-120" yWindow="-120" windowWidth="29040" windowHeight="15720" xr2:uid="{00000000-000D-0000-FFFF-FFFF00000000}"/>
  </bookViews>
  <sheets>
    <sheet name="Rates" sheetId="1" r:id="rId1"/>
    <sheet name="Avr. Class. rate" sheetId="2" r:id="rId2"/>
    <sheet name="ECI calc" sheetId="3" r:id="rId3"/>
  </sheets>
  <externalReferences>
    <externalReference r:id="rId4"/>
  </externalReferences>
  <definedNames>
    <definedName name="_xlnm._FilterDatabase" localSheetId="1" hidden="1">'Avr. Class. rate'!$A$5:$C$61</definedName>
    <definedName name="DistrictDrop">[1]FORMULAS!$CV$3:$CV$11</definedName>
    <definedName name="DropDownCDAF">[1]FORMULAS!$D$3:$D$6</definedName>
    <definedName name="DropDownPositionPremOvertimeElig">[1]FORMULAS!$H$3:$H$5</definedName>
    <definedName name="dropdownseq">[1]FORMULAS!$AV$3:$AV$11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 i="2"/>
  <c r="G11" i="1"/>
  <c r="N5" i="1" l="1"/>
  <c r="I13" i="1"/>
  <c r="M13" i="1" s="1"/>
  <c r="L25" i="1"/>
  <c r="L26" i="1"/>
  <c r="L27" i="1"/>
  <c r="L17" i="1"/>
  <c r="L18" i="1"/>
  <c r="L19" i="1"/>
  <c r="L20" i="1"/>
  <c r="L21" i="1"/>
  <c r="L22" i="1"/>
  <c r="L23" i="1"/>
  <c r="L24" i="1"/>
  <c r="G17" i="1"/>
  <c r="H17" i="1"/>
  <c r="G18" i="1"/>
  <c r="H18" i="1"/>
  <c r="G19" i="1"/>
  <c r="H19" i="1"/>
  <c r="G20" i="1"/>
  <c r="H20" i="1"/>
  <c r="G21" i="1"/>
  <c r="H21" i="1"/>
  <c r="G22" i="1"/>
  <c r="H22" i="1"/>
  <c r="G23" i="1"/>
  <c r="H23" i="1"/>
  <c r="G24" i="1"/>
  <c r="H24" i="1"/>
  <c r="G25" i="1"/>
  <c r="H25" i="1"/>
  <c r="G26" i="1"/>
  <c r="H26" i="1"/>
  <c r="G27" i="1"/>
  <c r="H27" i="1"/>
  <c r="I17" i="1"/>
  <c r="N17" i="1" s="1"/>
  <c r="I18" i="1"/>
  <c r="N18" i="1" s="1"/>
  <c r="I19" i="1"/>
  <c r="J19" i="1" s="1"/>
  <c r="I20" i="1"/>
  <c r="J20" i="1" s="1"/>
  <c r="I21" i="1"/>
  <c r="J21" i="1" s="1"/>
  <c r="I22" i="1"/>
  <c r="M22" i="1" s="1"/>
  <c r="I23" i="1"/>
  <c r="J23" i="1" s="1"/>
  <c r="I24" i="1"/>
  <c r="J24" i="1" s="1"/>
  <c r="I25" i="1"/>
  <c r="M25" i="1" s="1"/>
  <c r="I26" i="1"/>
  <c r="M26" i="1" s="1"/>
  <c r="I27" i="1"/>
  <c r="N27" i="1" s="1"/>
  <c r="J17" i="1"/>
  <c r="M7" i="1"/>
  <c r="N7" i="1" s="1"/>
  <c r="M6" i="1"/>
  <c r="N6" i="1" s="1"/>
  <c r="M5" i="1"/>
  <c r="F2" i="1" s="1"/>
  <c r="M4" i="1"/>
  <c r="N4" i="1" s="1"/>
  <c r="M3" i="1"/>
  <c r="N3" i="1" s="1"/>
  <c r="M21" i="1" l="1"/>
  <c r="N26" i="1"/>
  <c r="M20" i="1"/>
  <c r="N25" i="1"/>
  <c r="M19" i="1"/>
  <c r="N24" i="1"/>
  <c r="M18" i="1"/>
  <c r="N23" i="1"/>
  <c r="M17" i="1"/>
  <c r="N22" i="1"/>
  <c r="N21" i="1"/>
  <c r="J22" i="1"/>
  <c r="M27" i="1"/>
  <c r="N20" i="1"/>
  <c r="N19" i="1"/>
  <c r="J18" i="1"/>
  <c r="M24" i="1"/>
  <c r="M23" i="1"/>
  <c r="N13" i="1"/>
  <c r="J13" i="1"/>
  <c r="D22" i="3" l="1"/>
  <c r="C22" i="3"/>
  <c r="E9" i="3"/>
  <c r="D9" i="3"/>
  <c r="D61" i="2"/>
  <c r="L15" i="1"/>
  <c r="I16" i="1"/>
  <c r="I15" i="1"/>
  <c r="J15" i="1" l="1"/>
  <c r="N15" i="1"/>
  <c r="M15" i="1"/>
  <c r="N16" i="1"/>
  <c r="M16" i="1"/>
  <c r="J16" i="1"/>
  <c r="J25" i="1"/>
  <c r="J26" i="1"/>
  <c r="J27" i="1"/>
  <c r="I14" i="1"/>
  <c r="H8" i="1"/>
  <c r="B8" i="1"/>
  <c r="C8" i="1" s="1"/>
  <c r="D8" i="1" s="1"/>
  <c r="H3" i="1"/>
  <c r="B3" i="1"/>
  <c r="N14" i="1" l="1"/>
  <c r="M14" i="1"/>
  <c r="J14" i="1"/>
  <c r="E8" i="1"/>
  <c r="F8" i="1" s="1"/>
  <c r="G8" i="1" s="1"/>
  <c r="I8" i="1" s="1"/>
  <c r="I9" i="1" s="1"/>
  <c r="C3" i="1"/>
  <c r="D3" i="1" s="1"/>
  <c r="E3" i="1" l="1"/>
  <c r="F3" i="1" s="1"/>
  <c r="G3" i="1" s="1"/>
  <c r="I3" i="1" s="1"/>
  <c r="I5" i="1" s="1"/>
  <c r="G13" i="1" l="1"/>
  <c r="G16" i="1"/>
  <c r="G15" i="1"/>
  <c r="H15" i="1" s="1"/>
  <c r="H16" i="1"/>
  <c r="B15" i="3" s="1"/>
  <c r="G14" i="1"/>
  <c r="H14" i="1" s="1"/>
  <c r="B13" i="3" s="1"/>
  <c r="H13" i="1"/>
  <c r="B12" i="3" s="1"/>
  <c r="B25" i="3" l="1"/>
  <c r="C12" i="3"/>
  <c r="D12" i="3" s="1"/>
  <c r="E12" i="3" s="1"/>
  <c r="B26" i="3"/>
  <c r="C13" i="3"/>
  <c r="D13" i="3" s="1"/>
  <c r="E13" i="3" s="1"/>
  <c r="C15" i="3"/>
  <c r="D15" i="3" s="1"/>
  <c r="E15" i="3" s="1"/>
  <c r="B28" i="3"/>
  <c r="B14" i="3"/>
  <c r="L16" i="1"/>
  <c r="L14" i="1"/>
  <c r="L13" i="1"/>
  <c r="N28" i="1" s="1"/>
  <c r="J28" i="1"/>
  <c r="F15" i="3" l="1"/>
  <c r="F13" i="3"/>
  <c r="C14" i="3"/>
  <c r="D14" i="3" s="1"/>
  <c r="E14" i="3" s="1"/>
  <c r="B27" i="3"/>
  <c r="C26" i="3"/>
  <c r="D26" i="3" s="1"/>
  <c r="E26" i="3"/>
  <c r="F12" i="3"/>
  <c r="C28" i="3"/>
  <c r="D28" i="3" s="1"/>
  <c r="C25" i="3"/>
  <c r="D25" i="3" s="1"/>
  <c r="E28" i="3" l="1"/>
  <c r="F14" i="3"/>
  <c r="E25" i="3"/>
  <c r="C27" i="3"/>
  <c r="D27" i="3" s="1"/>
  <c r="E27" i="3" l="1"/>
</calcChain>
</file>

<file path=xl/sharedStrings.xml><?xml version="1.0" encoding="utf-8"?>
<sst xmlns="http://schemas.openxmlformats.org/spreadsheetml/2006/main" count="187" uniqueCount="135">
  <si>
    <t>Direct Labor</t>
  </si>
  <si>
    <t>O/H Rate</t>
  </si>
  <si>
    <t>DL</t>
  </si>
  <si>
    <t>ECI</t>
  </si>
  <si>
    <t>D/L, O/H</t>
  </si>
  <si>
    <t>Profit</t>
  </si>
  <si>
    <t>D/L, OH,</t>
  </si>
  <si>
    <t>FCCM</t>
  </si>
  <si>
    <t>Billing</t>
  </si>
  <si>
    <t>Filled by Consultant</t>
  </si>
  <si>
    <t>Advertised Profit per RFP or Profit Matrix:</t>
  </si>
  <si>
    <t>&amp; OH</t>
  </si>
  <si>
    <t>&amp; ECI</t>
  </si>
  <si>
    <t>ECI &amp; Fee</t>
  </si>
  <si>
    <t>Rate</t>
  </si>
  <si>
    <t>Overhead</t>
  </si>
  <si>
    <t>OH Factor</t>
  </si>
  <si>
    <t>Advertised Profit %</t>
  </si>
  <si>
    <t>Audited Profit %</t>
  </si>
  <si>
    <t>&gt;190%</t>
  </si>
  <si>
    <t>Proposed Date of Certified Paid Hourly Rates</t>
  </si>
  <si>
    <t>&gt;180% &amp; &lt;=190%</t>
  </si>
  <si>
    <t>Proposed Escalation rate</t>
  </si>
  <si>
    <t>% Escalation of the Labor Rate</t>
  </si>
  <si>
    <t>&gt;160% &amp; &lt;=180%</t>
  </si>
  <si>
    <t>Filled by Auditor</t>
  </si>
  <si>
    <t>&gt;120% &amp; &lt;=160%</t>
  </si>
  <si>
    <t>&lt;=120%</t>
  </si>
  <si>
    <t>Audited Escalation rate</t>
  </si>
  <si>
    <t>Audited Date of Certified Paid Hourly Rates</t>
  </si>
  <si>
    <t>xx/xx/xxxx</t>
  </si>
  <si>
    <t>Rate Limit for Contracts Signed 7/1/2026 - 6/30/2026</t>
  </si>
  <si>
    <t>Max Billing Rate</t>
  </si>
  <si>
    <t>Certified Payroll Labor Classification or Project Classification</t>
  </si>
  <si>
    <t>Certified Hourly Pay</t>
  </si>
  <si>
    <t>Audited Certified Hourly Pay</t>
  </si>
  <si>
    <t>Cap Waiver Approved? 
(Y or N)</t>
  </si>
  <si>
    <t>Escalation Rate</t>
  </si>
  <si>
    <t>Proposed Billing Rate</t>
  </si>
  <si>
    <t>Audited Billing Rate</t>
  </si>
  <si>
    <t>Proposed vs Audited Difference</t>
  </si>
  <si>
    <t>Premium Overtime Qualified? 
(Y or N)</t>
  </si>
  <si>
    <t>Premium Overtime Rate</t>
  </si>
  <si>
    <t>Audited Premium Overtime Rate</t>
  </si>
  <si>
    <t>Certified Inspector</t>
  </si>
  <si>
    <t>N</t>
  </si>
  <si>
    <t>Y</t>
  </si>
  <si>
    <t>Non-Certified Inspector</t>
  </si>
  <si>
    <t>Graduate (Non-Licensed) Project Engineer / Non-Engineer Project Supervisor</t>
  </si>
  <si>
    <t>Licensed Engineer/Supervisor</t>
  </si>
  <si>
    <t>Add additional classifications as needed using Intert Copied Cells (A-N) command and shift cells down</t>
  </si>
  <si>
    <t>Notes:</t>
  </si>
  <si>
    <t xml:space="preserve">Replace the data in the yellow cells with the appropriate data for the firm. </t>
  </si>
  <si>
    <t>Use the most current payroll rates. If this payroll is different from what was provided to INDOT previously, please submit new payroll with the proposal to support rates in the above table.</t>
  </si>
  <si>
    <t>New payroll should show all employees, employee pay rates, grouped by classification with calculated average for each classification, dated and signed by company official.</t>
  </si>
  <si>
    <t>Please submit this form in this format and not as a pdf.</t>
  </si>
  <si>
    <t>Cap rate should be applied to employee's rates prior calculating the average for a classification.</t>
  </si>
  <si>
    <t>Example Average Classification Rate</t>
  </si>
  <si>
    <t xml:space="preserve">Utilize current cap rate per https://www.in.gov/indot/doing-business-with-indot/files/Consultant-Hourly-Rate-Notice-Effective-7-1-2024.pdf </t>
  </si>
  <si>
    <t>Project Manager</t>
  </si>
  <si>
    <t>Actual rate</t>
  </si>
  <si>
    <t>Capped @ $85.06</t>
  </si>
  <si>
    <t>Anthony</t>
  </si>
  <si>
    <t>Chase</t>
  </si>
  <si>
    <t>Cody</t>
  </si>
  <si>
    <t>Craig</t>
  </si>
  <si>
    <t>Cynthia</t>
  </si>
  <si>
    <t>Daniel</t>
  </si>
  <si>
    <t>David</t>
  </si>
  <si>
    <t>Edward</t>
  </si>
  <si>
    <t>Eric</t>
  </si>
  <si>
    <t>Frank</t>
  </si>
  <si>
    <t>George</t>
  </si>
  <si>
    <t>Hardik</t>
  </si>
  <si>
    <t>James</t>
  </si>
  <si>
    <t>Jeremiah</t>
  </si>
  <si>
    <t>John</t>
  </si>
  <si>
    <t>Jordan</t>
  </si>
  <si>
    <t>Joseph</t>
  </si>
  <si>
    <t>Kathleen</t>
  </si>
  <si>
    <t>Kenneth</t>
  </si>
  <si>
    <t>Kevin</t>
  </si>
  <si>
    <t>Kyle</t>
  </si>
  <si>
    <t>Leslie</t>
  </si>
  <si>
    <t>Mark</t>
  </si>
  <si>
    <t>Matthew</t>
  </si>
  <si>
    <t>Michael</t>
  </si>
  <si>
    <t>Nicholas</t>
  </si>
  <si>
    <t>Nick</t>
  </si>
  <si>
    <t>Patrick</t>
  </si>
  <si>
    <t>Randy</t>
  </si>
  <si>
    <t>Regina</t>
  </si>
  <si>
    <t>Richard</t>
  </si>
  <si>
    <t>Robert</t>
  </si>
  <si>
    <t>Roberto</t>
  </si>
  <si>
    <t>Ryan</t>
  </si>
  <si>
    <t>Scott</t>
  </si>
  <si>
    <t>Shawn</t>
  </si>
  <si>
    <t>Steven</t>
  </si>
  <si>
    <t>Sylvia</t>
  </si>
  <si>
    <t>Tanner</t>
  </si>
  <si>
    <t>Thomas</t>
  </si>
  <si>
    <t>Troy</t>
  </si>
  <si>
    <t>William</t>
  </si>
  <si>
    <t>Wing</t>
  </si>
  <si>
    <t>Zachary</t>
  </si>
  <si>
    <t>Example of Employment Cost Index, ECI, calculation for multi year contract</t>
  </si>
  <si>
    <t xml:space="preserve">Only Fill in Yellow Cells, include additional lines for classifications as needed. </t>
  </si>
  <si>
    <t>Contract end date</t>
  </si>
  <si>
    <t>Contract End date for project development is based on the Letting Date, for construction inspection anticipated close out</t>
  </si>
  <si>
    <t>Approved ECI at the time of a contract proposal</t>
  </si>
  <si>
    <t>https://www.in.gov/indot/doing-business-with-indot/files/Consultant-Hourly-Rate-Notice-Effective-7-1-2024.pdf</t>
  </si>
  <si>
    <t>Example #1 if a contract is signed before year-end</t>
  </si>
  <si>
    <t>ECI application</t>
  </si>
  <si>
    <t xml:space="preserve">Weighted </t>
  </si>
  <si>
    <t>% of work for each FY</t>
  </si>
  <si>
    <t xml:space="preserve">Average </t>
  </si>
  <si>
    <t>Clacification</t>
  </si>
  <si>
    <t>07/01/2026-06/30/2027</t>
  </si>
  <si>
    <t>07/01/2027-06/30/2028</t>
  </si>
  <si>
    <t>07/01/2028-06/30/2029</t>
  </si>
  <si>
    <t>07/01/2029-06/30/2030</t>
  </si>
  <si>
    <t>Rates</t>
  </si>
  <si>
    <t>Inspector</t>
  </si>
  <si>
    <t>Ecxample 2, if contract is signed after the end of the year.</t>
  </si>
  <si>
    <t>Per contract language, the ECI should be applied on July 1st, the next year after the date the contract gets signed (All Parties must have signed to be executed therefore final signature is Attorney Generals office)</t>
  </si>
  <si>
    <t>Example #1 above, a contract signed anywhere before 12/30/24, the ECI could be applied in July of 2025.</t>
  </si>
  <si>
    <t>Example #2 above, a contract signed anywhere after 01/01/25, the ECI is not allowed until July of 2026.</t>
  </si>
  <si>
    <t>% of work should be based on anticipated deliverable deadlines and be no greater than 100%.</t>
  </si>
  <si>
    <t>INDOT approves ECI annually before the end of each FY, June 30th, and posts it on INDOT External Audit portals.</t>
  </si>
  <si>
    <t>https://www.in.gov/indot/doing-business-with-indot/consultants/consultants-prequalification/audit-information/</t>
  </si>
  <si>
    <t>Common Audit Issues Identified</t>
  </si>
  <si>
    <t>Incorrect ECI applied, New rates are effective July 1st of each year</t>
  </si>
  <si>
    <t>ECI applied beyond project completion date</t>
  </si>
  <si>
    <t xml:space="preserve">For project development contracts, all lump sum fees should be completed by construction contract letting. Labor Rate Multiplier does not include ECI as it is based on actual rates, overhead, profit, and FCCM.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</si>
</sst>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15">
    <font>
      <sz val="11"/>
      <color theme="1"/>
      <name val="Calibri"/>
      <family val="2"/>
      <scheme val="minor"/>
    </font>
    <font>
      <sz val="11"/>
      <color theme="1"/>
      <name val="Calibri"/>
      <family val="2"/>
      <scheme val="minor"/>
    </font>
    <font>
      <sz val="10"/>
      <color theme="1"/>
      <name val="Calibri"/>
      <family val="2"/>
      <scheme val="minor"/>
    </font>
    <font>
      <b/>
      <u/>
      <sz val="11"/>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u/>
      <sz val="10"/>
      <color theme="1"/>
      <name val="Calibri"/>
      <family val="2"/>
      <scheme val="minor"/>
    </font>
    <font>
      <sz val="11"/>
      <color rgb="FFFF0000"/>
      <name val="Calibri"/>
      <family val="2"/>
      <scheme val="minor"/>
    </font>
    <font>
      <b/>
      <sz val="11"/>
      <color theme="1"/>
      <name val="Calibri"/>
      <family val="2"/>
      <scheme val="minor"/>
    </font>
    <font>
      <sz val="10"/>
      <color rgb="FF000000"/>
      <name val="Arial"/>
      <family val="2"/>
    </font>
    <font>
      <b/>
      <sz val="11"/>
      <color rgb="FFFF0000"/>
      <name val="Calibri"/>
      <family val="2"/>
      <scheme val="minor"/>
    </font>
    <font>
      <u/>
      <sz val="11"/>
      <color theme="10"/>
      <name val="Calibri"/>
      <family val="2"/>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style="thin">
        <color indexed="64"/>
      </left>
      <right style="thin">
        <color indexed="64"/>
      </right>
      <top style="thin">
        <color indexed="64"/>
      </top>
      <bottom style="medium">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140">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10" fontId="2" fillId="2" borderId="2" xfId="2" applyNumberFormat="1" applyFont="1" applyFill="1" applyBorder="1" applyAlignment="1">
      <alignment horizontal="center"/>
    </xf>
    <xf numFmtId="0" fontId="3" fillId="0" borderId="3" xfId="0" applyFont="1" applyBorder="1"/>
    <xf numFmtId="0" fontId="2" fillId="0" borderId="4" xfId="0" applyFont="1" applyBorder="1"/>
    <xf numFmtId="0" fontId="2" fillId="0" borderId="4" xfId="0" applyFont="1" applyBorder="1" applyAlignment="1">
      <alignment wrapText="1"/>
    </xf>
    <xf numFmtId="0" fontId="2" fillId="0" borderId="5" xfId="0" applyFont="1" applyBorder="1" applyAlignment="1">
      <alignment wrapText="1"/>
    </xf>
    <xf numFmtId="44" fontId="2" fillId="2" borderId="6" xfId="1" applyFont="1" applyFill="1" applyBorder="1" applyAlignment="1">
      <alignment horizontal="center"/>
    </xf>
    <xf numFmtId="10" fontId="2" fillId="3" borderId="7" xfId="2" applyNumberFormat="1" applyFont="1" applyFill="1" applyBorder="1" applyAlignment="1">
      <alignment horizontal="center"/>
    </xf>
    <xf numFmtId="10" fontId="2" fillId="2" borderId="0" xfId="2" applyNumberFormat="1" applyFont="1" applyFill="1" applyBorder="1" applyAlignment="1">
      <alignment horizontal="center"/>
    </xf>
    <xf numFmtId="0" fontId="2" fillId="2" borderId="0" xfId="0" applyFont="1" applyFill="1" applyAlignment="1">
      <alignment horizontal="center"/>
    </xf>
    <xf numFmtId="0" fontId="0" fillId="0" borderId="1" xfId="0" applyBorder="1"/>
    <xf numFmtId="164" fontId="0" fillId="0" borderId="2" xfId="0" applyNumberFormat="1" applyBorder="1" applyAlignment="1">
      <alignment horizontal="center"/>
    </xf>
    <xf numFmtId="44" fontId="2" fillId="0" borderId="10" xfId="1" applyFont="1" applyBorder="1"/>
    <xf numFmtId="44" fontId="2" fillId="0" borderId="10" xfId="0" applyNumberFormat="1" applyFont="1" applyBorder="1"/>
    <xf numFmtId="0" fontId="0" fillId="0" borderId="6" xfId="0" applyBorder="1"/>
    <xf numFmtId="44" fontId="2" fillId="0" borderId="0" xfId="1" applyFont="1" applyBorder="1"/>
    <xf numFmtId="44" fontId="2" fillId="0" borderId="0" xfId="0" applyNumberFormat="1" applyFont="1"/>
    <xf numFmtId="0" fontId="2" fillId="0" borderId="0" xfId="0" applyFont="1" applyAlignment="1">
      <alignment horizontal="right"/>
    </xf>
    <xf numFmtId="0" fontId="2" fillId="0" borderId="7" xfId="0" applyFont="1" applyBorder="1"/>
    <xf numFmtId="14" fontId="2" fillId="3" borderId="7" xfId="0" applyNumberFormat="1" applyFont="1" applyFill="1" applyBorder="1"/>
    <xf numFmtId="0" fontId="0" fillId="0" borderId="9" xfId="0" applyBorder="1"/>
    <xf numFmtId="164" fontId="0" fillId="0" borderId="10" xfId="0" applyNumberFormat="1" applyBorder="1" applyAlignment="1">
      <alignment horizontal="center"/>
    </xf>
    <xf numFmtId="14" fontId="2" fillId="0" borderId="0" xfId="0" applyNumberFormat="1" applyFont="1"/>
    <xf numFmtId="0" fontId="2" fillId="0" borderId="0" xfId="0" applyFont="1"/>
    <xf numFmtId="8" fontId="5" fillId="0" borderId="0" xfId="0" applyNumberFormat="1" applyFont="1"/>
    <xf numFmtId="8" fontId="2" fillId="0" borderId="0" xfId="0" applyNumberFormat="1" applyFont="1"/>
    <xf numFmtId="10" fontId="2" fillId="0" borderId="14" xfId="0" applyNumberFormat="1" applyFont="1" applyBorder="1"/>
    <xf numFmtId="44" fontId="2" fillId="3" borderId="7" xfId="1" applyFont="1" applyFill="1" applyBorder="1"/>
    <xf numFmtId="44" fontId="2" fillId="0" borderId="18" xfId="0" applyNumberFormat="1" applyFont="1" applyBorder="1"/>
    <xf numFmtId="0" fontId="7" fillId="0" borderId="0" xfId="0" applyFont="1"/>
    <xf numFmtId="10" fontId="2" fillId="2" borderId="7" xfId="2" applyNumberFormat="1" applyFont="1" applyFill="1" applyBorder="1" applyAlignment="1">
      <alignment horizontal="center"/>
    </xf>
    <xf numFmtId="0" fontId="2" fillId="3" borderId="13" xfId="0" applyFont="1" applyFill="1" applyBorder="1" applyAlignment="1">
      <alignment horizontal="center"/>
    </xf>
    <xf numFmtId="0" fontId="2" fillId="3" borderId="15" xfId="0" applyFont="1" applyFill="1" applyBorder="1" applyAlignment="1">
      <alignment horizontal="center"/>
    </xf>
    <xf numFmtId="44" fontId="2" fillId="5" borderId="14" xfId="1" applyFont="1" applyFill="1" applyBorder="1"/>
    <xf numFmtId="44" fontId="2" fillId="5" borderId="7" xfId="1" applyFont="1" applyFill="1" applyBorder="1"/>
    <xf numFmtId="44" fontId="2" fillId="0" borderId="14" xfId="0" applyNumberFormat="1" applyFont="1" applyBorder="1"/>
    <xf numFmtId="44" fontId="2" fillId="0" borderId="14" xfId="1" applyFont="1" applyFill="1" applyBorder="1"/>
    <xf numFmtId="44" fontId="2" fillId="0" borderId="19" xfId="0" applyNumberFormat="1" applyFont="1" applyBorder="1"/>
    <xf numFmtId="0" fontId="2" fillId="0" borderId="5" xfId="0" applyFont="1" applyBorder="1" applyAlignment="1">
      <alignment horizontal="center" wrapText="1"/>
    </xf>
    <xf numFmtId="0" fontId="2" fillId="0" borderId="20" xfId="0" applyFont="1" applyBorder="1" applyAlignment="1">
      <alignment horizontal="center" wrapText="1"/>
    </xf>
    <xf numFmtId="0" fontId="2" fillId="6" borderId="3" xfId="0" applyFont="1" applyFill="1" applyBorder="1" applyAlignment="1">
      <alignment horizontal="center" wrapText="1"/>
    </xf>
    <xf numFmtId="0" fontId="2" fillId="6" borderId="5" xfId="0" applyFont="1" applyFill="1" applyBorder="1" applyAlignment="1">
      <alignment horizontal="center" wrapText="1"/>
    </xf>
    <xf numFmtId="0" fontId="4" fillId="0" borderId="11" xfId="0" applyFont="1" applyBorder="1"/>
    <xf numFmtId="0" fontId="2" fillId="0" borderId="21" xfId="0" applyFont="1" applyBorder="1"/>
    <xf numFmtId="0" fontId="2" fillId="5" borderId="1" xfId="0" applyFont="1" applyFill="1" applyBorder="1" applyAlignment="1">
      <alignment horizontal="center"/>
    </xf>
    <xf numFmtId="0" fontId="2" fillId="5" borderId="2" xfId="0" applyFont="1" applyFill="1" applyBorder="1" applyAlignment="1">
      <alignment horizontal="center"/>
    </xf>
    <xf numFmtId="10" fontId="2" fillId="5" borderId="2" xfId="2" applyNumberFormat="1" applyFont="1" applyFill="1" applyBorder="1" applyAlignment="1">
      <alignment horizontal="center"/>
    </xf>
    <xf numFmtId="44" fontId="2" fillId="5" borderId="6" xfId="1" applyFont="1" applyFill="1" applyBorder="1" applyAlignment="1">
      <alignment horizontal="center"/>
    </xf>
    <xf numFmtId="10" fontId="2" fillId="5" borderId="7" xfId="2" applyNumberFormat="1" applyFont="1" applyFill="1" applyBorder="1" applyAlignment="1">
      <alignment horizontal="center"/>
    </xf>
    <xf numFmtId="10" fontId="2" fillId="5" borderId="0" xfId="2" applyNumberFormat="1" applyFont="1" applyFill="1" applyBorder="1" applyAlignment="1">
      <alignment horizontal="center"/>
    </xf>
    <xf numFmtId="0" fontId="2" fillId="5" borderId="0" xfId="0" applyFont="1" applyFill="1" applyAlignment="1">
      <alignment horizontal="center"/>
    </xf>
    <xf numFmtId="0" fontId="2" fillId="5" borderId="9" xfId="0" applyFont="1" applyFill="1" applyBorder="1"/>
    <xf numFmtId="44" fontId="2" fillId="5" borderId="10" xfId="1" applyFont="1" applyFill="1" applyBorder="1"/>
    <xf numFmtId="44" fontId="2" fillId="5" borderId="10" xfId="0" applyNumberFormat="1" applyFont="1" applyFill="1" applyBorder="1"/>
    <xf numFmtId="0" fontId="4" fillId="5" borderId="6" xfId="0" applyFont="1" applyFill="1" applyBorder="1"/>
    <xf numFmtId="44" fontId="2" fillId="5" borderId="0" xfId="1" applyFont="1" applyFill="1" applyBorder="1"/>
    <xf numFmtId="44" fontId="2" fillId="5" borderId="0" xfId="0" applyNumberFormat="1" applyFont="1" applyFill="1"/>
    <xf numFmtId="0" fontId="2" fillId="5" borderId="0" xfId="0" applyFont="1" applyFill="1" applyAlignment="1">
      <alignment horizontal="right"/>
    </xf>
    <xf numFmtId="0" fontId="2" fillId="5" borderId="22" xfId="0" applyFont="1" applyFill="1" applyBorder="1"/>
    <xf numFmtId="14" fontId="2" fillId="5" borderId="12" xfId="0" applyNumberFormat="1" applyFont="1" applyFill="1" applyBorder="1"/>
    <xf numFmtId="0" fontId="2" fillId="5" borderId="10" xfId="0" applyFont="1" applyFill="1" applyBorder="1"/>
    <xf numFmtId="0" fontId="2" fillId="5" borderId="10" xfId="0" applyFont="1" applyFill="1" applyBorder="1" applyAlignment="1">
      <alignment horizontal="right"/>
    </xf>
    <xf numFmtId="10" fontId="4" fillId="5" borderId="0" xfId="2" applyNumberFormat="1" applyFont="1" applyFill="1" applyBorder="1"/>
    <xf numFmtId="10" fontId="4" fillId="0" borderId="0" xfId="2" applyNumberFormat="1" applyFont="1" applyBorder="1"/>
    <xf numFmtId="44" fontId="0" fillId="0" borderId="0" xfId="0" applyNumberFormat="1"/>
    <xf numFmtId="0" fontId="10" fillId="0" borderId="0" xfId="0" applyFont="1" applyAlignment="1">
      <alignment horizontal="left" vertical="center"/>
    </xf>
    <xf numFmtId="0" fontId="0" fillId="0" borderId="0" xfId="0" applyAlignment="1">
      <alignment horizontal="center"/>
    </xf>
    <xf numFmtId="0" fontId="10" fillId="0" borderId="0" xfId="0" applyFont="1" applyAlignment="1">
      <alignment horizontal="center" vertical="center"/>
    </xf>
    <xf numFmtId="43" fontId="10" fillId="0" borderId="0" xfId="3" applyFont="1" applyFill="1" applyBorder="1" applyAlignment="1">
      <alignment horizontal="center" vertical="center"/>
    </xf>
    <xf numFmtId="14" fontId="0" fillId="0" borderId="0" xfId="0" applyNumberFormat="1"/>
    <xf numFmtId="14" fontId="0" fillId="0" borderId="0" xfId="0" applyNumberFormat="1" applyAlignment="1">
      <alignment horizontal="center"/>
    </xf>
    <xf numFmtId="0" fontId="8" fillId="0" borderId="0" xfId="0" applyFont="1"/>
    <xf numFmtId="10" fontId="0" fillId="0" borderId="0" xfId="0" applyNumberFormat="1" applyAlignment="1">
      <alignment horizontal="center"/>
    </xf>
    <xf numFmtId="0" fontId="0" fillId="0" borderId="7" xfId="0" applyBorder="1"/>
    <xf numFmtId="44" fontId="2" fillId="0" borderId="7" xfId="0" applyNumberFormat="1" applyFont="1" applyBorder="1" applyAlignment="1">
      <alignment horizontal="center"/>
    </xf>
    <xf numFmtId="0" fontId="2" fillId="0" borderId="14" xfId="0" applyFont="1" applyBorder="1"/>
    <xf numFmtId="44" fontId="2" fillId="0" borderId="14" xfId="0" applyNumberFormat="1" applyFont="1" applyBorder="1" applyAlignment="1">
      <alignment horizontal="center"/>
    </xf>
    <xf numFmtId="0" fontId="0" fillId="7" borderId="26" xfId="0" applyFill="1" applyBorder="1" applyAlignment="1">
      <alignment horizontal="right"/>
    </xf>
    <xf numFmtId="0" fontId="0" fillId="7" borderId="8" xfId="0" applyFill="1" applyBorder="1"/>
    <xf numFmtId="10" fontId="0" fillId="7" borderId="8" xfId="0" applyNumberFormat="1" applyFill="1" applyBorder="1" applyAlignment="1">
      <alignment horizontal="center"/>
    </xf>
    <xf numFmtId="0" fontId="2" fillId="7" borderId="27" xfId="0" applyFont="1" applyFill="1" applyBorder="1" applyAlignment="1">
      <alignment horizontal="center"/>
    </xf>
    <xf numFmtId="0" fontId="0" fillId="8" borderId="28" xfId="0" applyFill="1" applyBorder="1" applyAlignment="1">
      <alignment horizontal="right"/>
    </xf>
    <xf numFmtId="0" fontId="2" fillId="8" borderId="29" xfId="0" applyFont="1" applyFill="1" applyBorder="1" applyAlignment="1">
      <alignment horizontal="center"/>
    </xf>
    <xf numFmtId="0" fontId="0" fillId="9" borderId="22" xfId="0" applyFill="1" applyBorder="1"/>
    <xf numFmtId="0" fontId="0" fillId="9" borderId="12" xfId="0" applyFill="1" applyBorder="1" applyAlignment="1">
      <alignment horizontal="center"/>
    </xf>
    <xf numFmtId="0" fontId="2" fillId="9" borderId="30" xfId="0" applyFont="1" applyFill="1" applyBorder="1" applyAlignment="1">
      <alignment horizontal="center"/>
    </xf>
    <xf numFmtId="0" fontId="11" fillId="0" borderId="0" xfId="0" applyFont="1"/>
    <xf numFmtId="0" fontId="12" fillId="0" borderId="0" xfId="4"/>
    <xf numFmtId="0" fontId="0" fillId="0" borderId="0" xfId="0" applyAlignment="1">
      <alignment horizontal="left"/>
    </xf>
    <xf numFmtId="0" fontId="13" fillId="0" borderId="0" xfId="0" applyFont="1"/>
    <xf numFmtId="0" fontId="2" fillId="0" borderId="7" xfId="0" applyFont="1" applyBorder="1" applyAlignment="1">
      <alignment wrapText="1"/>
    </xf>
    <xf numFmtId="0" fontId="9" fillId="7" borderId="26" xfId="0" applyFont="1" applyFill="1" applyBorder="1" applyAlignment="1">
      <alignment horizontal="center"/>
    </xf>
    <xf numFmtId="44" fontId="10" fillId="10" borderId="7" xfId="1" applyFont="1" applyFill="1" applyBorder="1" applyAlignment="1">
      <alignment horizontal="left" vertical="center"/>
    </xf>
    <xf numFmtId="165" fontId="2" fillId="4" borderId="8" xfId="2" applyNumberFormat="1" applyFont="1" applyFill="1" applyBorder="1" applyAlignment="1">
      <alignment horizontal="center"/>
    </xf>
    <xf numFmtId="165" fontId="2" fillId="4" borderId="7" xfId="2" applyNumberFormat="1" applyFont="1" applyFill="1" applyBorder="1" applyAlignment="1">
      <alignment horizontal="center"/>
    </xf>
    <xf numFmtId="165" fontId="2" fillId="4" borderId="12" xfId="2" applyNumberFormat="1" applyFont="1" applyFill="1" applyBorder="1" applyAlignment="1">
      <alignment horizontal="center"/>
    </xf>
    <xf numFmtId="164" fontId="0" fillId="0" borderId="0" xfId="0" applyNumberFormat="1" applyAlignment="1">
      <alignment horizontal="center"/>
    </xf>
    <xf numFmtId="10" fontId="4" fillId="0" borderId="27" xfId="2" applyNumberFormat="1" applyFont="1" applyBorder="1" applyAlignment="1">
      <alignment horizontal="center"/>
    </xf>
    <xf numFmtId="10" fontId="4" fillId="0" borderId="29" xfId="2" applyNumberFormat="1" applyFont="1" applyBorder="1" applyAlignment="1">
      <alignment horizontal="center"/>
    </xf>
    <xf numFmtId="10" fontId="4" fillId="0" borderId="30" xfId="2" applyNumberFormat="1" applyFont="1" applyBorder="1" applyAlignment="1">
      <alignment horizontal="center"/>
    </xf>
    <xf numFmtId="0" fontId="2" fillId="0" borderId="6" xfId="0" applyFont="1" applyBorder="1"/>
    <xf numFmtId="14" fontId="2" fillId="5" borderId="7" xfId="0" applyNumberFormat="1" applyFont="1" applyFill="1" applyBorder="1"/>
    <xf numFmtId="44" fontId="2" fillId="6" borderId="7" xfId="1" applyFont="1" applyFill="1" applyBorder="1"/>
    <xf numFmtId="44" fontId="2" fillId="3" borderId="14" xfId="1" applyFont="1" applyFill="1" applyBorder="1"/>
    <xf numFmtId="44" fontId="2" fillId="6" borderId="14" xfId="1" applyFont="1" applyFill="1" applyBorder="1"/>
    <xf numFmtId="43" fontId="10" fillId="3" borderId="0" xfId="3" applyFont="1" applyFill="1" applyBorder="1" applyAlignment="1">
      <alignment horizontal="center" vertical="center"/>
    </xf>
    <xf numFmtId="14" fontId="0" fillId="3" borderId="7" xfId="0" applyNumberFormat="1" applyFill="1" applyBorder="1" applyAlignment="1">
      <alignment horizontal="center"/>
    </xf>
    <xf numFmtId="10" fontId="0" fillId="3" borderId="7" xfId="0" applyNumberFormat="1" applyFill="1" applyBorder="1" applyAlignment="1">
      <alignment horizontal="center"/>
    </xf>
    <xf numFmtId="9" fontId="0" fillId="3" borderId="7" xfId="0" applyNumberFormat="1" applyFill="1" applyBorder="1" applyAlignment="1">
      <alignment horizontal="center"/>
    </xf>
    <xf numFmtId="44" fontId="2" fillId="3" borderId="14" xfId="0" applyNumberFormat="1" applyFont="1" applyFill="1" applyBorder="1" applyAlignment="1">
      <alignment horizontal="center"/>
    </xf>
    <xf numFmtId="44" fontId="2" fillId="3" borderId="7" xfId="0" applyNumberFormat="1" applyFont="1" applyFill="1" applyBorder="1" applyAlignment="1">
      <alignment horizontal="center"/>
    </xf>
    <xf numFmtId="0" fontId="14" fillId="0" borderId="0" xfId="0" applyFont="1"/>
    <xf numFmtId="0" fontId="3" fillId="0" borderId="0" xfId="0" applyFont="1"/>
    <xf numFmtId="0" fontId="2" fillId="0" borderId="3" xfId="0" applyFont="1" applyBorder="1" applyAlignment="1">
      <alignment horizontal="center" wrapText="1"/>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3" borderId="15" xfId="0" applyFont="1" applyFill="1" applyBorder="1" applyAlignment="1"/>
    <xf numFmtId="0" fontId="2" fillId="3" borderId="16" xfId="0" applyFont="1" applyFill="1" applyBorder="1" applyAlignment="1"/>
    <xf numFmtId="0" fontId="2" fillId="3" borderId="17" xfId="0" applyFont="1" applyFill="1" applyBorder="1" applyAlignment="1"/>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0" borderId="10" xfId="0" applyFont="1" applyBorder="1" applyAlignment="1">
      <alignment horizontal="center" wrapText="1"/>
    </xf>
    <xf numFmtId="0" fontId="2" fillId="3" borderId="15" xfId="0" applyFont="1" applyFill="1" applyBorder="1" applyAlignment="1">
      <alignment wrapText="1"/>
    </xf>
    <xf numFmtId="0" fontId="2" fillId="3" borderId="16" xfId="0" applyFont="1" applyFill="1" applyBorder="1" applyAlignment="1">
      <alignment wrapText="1"/>
    </xf>
    <xf numFmtId="0" fontId="2" fillId="3" borderId="17" xfId="0" applyFont="1" applyFill="1" applyBorder="1" applyAlignment="1">
      <alignment wrapText="1"/>
    </xf>
    <xf numFmtId="0" fontId="0" fillId="5" borderId="0" xfId="0" applyFill="1" applyAlignment="1">
      <alignment horizontal="left" wrapText="1"/>
    </xf>
    <xf numFmtId="0" fontId="0" fillId="0" borderId="6" xfId="0" applyBorder="1" applyAlignment="1">
      <alignment wrapText="1"/>
    </xf>
    <xf numFmtId="0" fontId="0" fillId="0" borderId="0" xfId="0" applyAlignment="1">
      <alignment wrapText="1"/>
    </xf>
    <xf numFmtId="0" fontId="2" fillId="0" borderId="3" xfId="0" applyFont="1"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2" fillId="3" borderId="13" xfId="0" applyFont="1" applyFill="1" applyBorder="1" applyAlignment="1"/>
    <xf numFmtId="0" fontId="2" fillId="3" borderId="31" xfId="0" applyFont="1" applyFill="1" applyBorder="1" applyAlignment="1"/>
    <xf numFmtId="0" fontId="2" fillId="3" borderId="32" xfId="0" applyFont="1" applyFill="1" applyBorder="1" applyAlignment="1"/>
  </cellXfs>
  <cellStyles count="5">
    <cellStyle name="Comma" xfId="3" builtinId="3"/>
    <cellStyle name="Currency" xfId="1" builtinId="4"/>
    <cellStyle name="Hyperlink" xfId="4" builtinId="8"/>
    <cellStyle name="Normal" xfId="0" builtinId="0"/>
    <cellStyle name="Percent" xfId="2" builtinId="5"/>
  </cellStyles>
  <dxfs count="1">
    <dxf>
      <fill>
        <patternFill>
          <bgColor theme="0" tint="-0.1499679555650502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West\Downloads\new-af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DETAILS"/>
      <sheetName val="COMP ELEMENT"/>
      <sheetName val="CONSULTANT"/>
      <sheetName val="EMPLOYEE"/>
      <sheetName val="EMPLOYEESORT"/>
      <sheetName val="TESTING RATES"/>
      <sheetName val="TESTINGSORT"/>
      <sheetName val="LOADED"/>
      <sheetName val="LOADEDSORT"/>
      <sheetName val="WE-UNLOADED"/>
      <sheetName val="OVERTIME"/>
      <sheetName val="WE-LOADED"/>
      <sheetName val="FEE CALC"/>
      <sheetName val="Wage Rate Date Range"/>
      <sheetName val="PARTIALLY LOADED WITHOUT OM"/>
      <sheetName val="CEI Analysis"/>
      <sheetName val="Testing Rate Analysis"/>
      <sheetName val="Prof &amp; Vend Firms"/>
      <sheetName val="SUMMARY"/>
      <sheetName val="TABLE 5A"/>
      <sheetName val="TABLE 5B"/>
      <sheetName val="TABLE 6"/>
      <sheetName val="TABLE 6 ONLY"/>
      <sheetName val="COMMITMENT"/>
      <sheetName val="DOWNLOAD"/>
      <sheetName val="SEND"/>
      <sheetName val="PSI"/>
      <sheetName val="FORMULAS"/>
      <sheetName val="FORMULAFORTESTS"/>
      <sheetName val="FORMULA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in.gov/indot/doing-business-with-indot/files/Consultant-Hourly-Rate-Notice-Effective-7-1-2024.pdf" TargetMode="External"/><Relationship Id="rId1" Type="http://schemas.openxmlformats.org/officeDocument/2006/relationships/hyperlink" Target="https://www.in.gov/indot/doing-business-with-indot/consultants/consultants-prequalification/audit-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view="pageLayout" zoomScaleNormal="100" zoomScaleSheetLayoutView="120" workbookViewId="0">
      <selection activeCell="A5" sqref="A5"/>
    </sheetView>
  </sheetViews>
  <sheetFormatPr defaultRowHeight="15"/>
  <cols>
    <col min="1" max="1" width="27.7109375" customWidth="1"/>
    <col min="2" max="2" width="10.85546875" bestFit="1" customWidth="1"/>
    <col min="3" max="3" width="9.28515625" customWidth="1"/>
    <col min="4" max="6" width="10.7109375" customWidth="1"/>
    <col min="7" max="7" width="9" customWidth="1"/>
    <col min="8" max="9" width="10.7109375" customWidth="1"/>
    <col min="10" max="10" width="13.28515625" customWidth="1"/>
    <col min="11" max="11" width="14.7109375" customWidth="1"/>
    <col min="12" max="14" width="10.7109375" customWidth="1"/>
  </cols>
  <sheetData>
    <row r="1" spans="1:16" ht="15.75" thickBot="1">
      <c r="A1" s="1" t="s">
        <v>0</v>
      </c>
      <c r="B1" s="2" t="s">
        <v>1</v>
      </c>
      <c r="C1" s="2" t="s">
        <v>2</v>
      </c>
      <c r="D1" s="2" t="s">
        <v>3</v>
      </c>
      <c r="E1" s="3" t="s">
        <v>4</v>
      </c>
      <c r="F1" s="2" t="s">
        <v>5</v>
      </c>
      <c r="G1" s="2" t="s">
        <v>6</v>
      </c>
      <c r="H1" s="2" t="s">
        <v>7</v>
      </c>
      <c r="I1" s="2" t="s">
        <v>8</v>
      </c>
      <c r="J1" s="124" t="s">
        <v>9</v>
      </c>
      <c r="K1" s="116" t="s">
        <v>10</v>
      </c>
      <c r="L1" s="117"/>
      <c r="M1" s="117"/>
      <c r="N1" s="9">
        <v>8.7999999999999995E-2</v>
      </c>
    </row>
    <row r="2" spans="1:16" ht="27" thickBot="1">
      <c r="A2" s="8">
        <v>1</v>
      </c>
      <c r="B2" s="9">
        <v>1.8</v>
      </c>
      <c r="C2" s="10" t="s">
        <v>11</v>
      </c>
      <c r="D2" s="32">
        <v>0</v>
      </c>
      <c r="E2" s="11" t="s">
        <v>12</v>
      </c>
      <c r="F2" s="9">
        <f>SUM(N3:N7)</f>
        <v>0.10199999999999999</v>
      </c>
      <c r="G2" s="11" t="s">
        <v>13</v>
      </c>
      <c r="H2" s="9">
        <v>1E-3</v>
      </c>
      <c r="I2" s="11" t="s">
        <v>14</v>
      </c>
      <c r="J2" s="125"/>
      <c r="K2" s="4" t="s">
        <v>15</v>
      </c>
      <c r="L2" s="5" t="s">
        <v>16</v>
      </c>
      <c r="M2" s="6" t="s">
        <v>17</v>
      </c>
      <c r="N2" s="7" t="s">
        <v>18</v>
      </c>
    </row>
    <row r="3" spans="1:16" ht="15.75" thickBot="1">
      <c r="A3" s="102"/>
      <c r="B3" s="17">
        <f>+$A2*B2</f>
        <v>1.8</v>
      </c>
      <c r="C3" s="14">
        <f>IF(A2=0," ",A2+B3)</f>
        <v>2.8</v>
      </c>
      <c r="D3" s="14">
        <f>IF(A2=0," ",(C3)*D2)</f>
        <v>0</v>
      </c>
      <c r="E3" s="15">
        <f>IF(A2=0," ",A2+B3+D3)</f>
        <v>2.8</v>
      </c>
      <c r="F3" s="14">
        <f>IF(A2=0," ",(E3)*F2)</f>
        <v>0.28559999999999997</v>
      </c>
      <c r="G3" s="15">
        <f>IF(A2=0," ",A2+B3+D3+F3)</f>
        <v>3.0855999999999999</v>
      </c>
      <c r="H3" s="15">
        <f>$A2*H2</f>
        <v>1E-3</v>
      </c>
      <c r="I3" s="14">
        <f>G3+H3</f>
        <v>3.0865999999999998</v>
      </c>
      <c r="J3" s="125"/>
      <c r="K3" s="12" t="s">
        <v>19</v>
      </c>
      <c r="L3" s="13">
        <v>0</v>
      </c>
      <c r="M3" s="95" t="str">
        <f>IF($B$2&gt;1.9,N1,"")</f>
        <v/>
      </c>
      <c r="N3" s="99" t="str">
        <f>IF(M3="","",((L3/100)+M3))</f>
        <v/>
      </c>
    </row>
    <row r="4" spans="1:16">
      <c r="A4" s="20" t="s">
        <v>20</v>
      </c>
      <c r="B4" s="75"/>
      <c r="C4" s="21">
        <v>45442</v>
      </c>
      <c r="D4" s="17"/>
      <c r="E4" s="18"/>
      <c r="F4" s="17"/>
      <c r="G4" s="18"/>
      <c r="H4" s="18"/>
      <c r="I4" s="17"/>
      <c r="J4" s="125"/>
      <c r="K4" s="16" t="s">
        <v>21</v>
      </c>
      <c r="L4" s="98">
        <v>0.7</v>
      </c>
      <c r="M4" s="96" t="str">
        <f>IF(AND($B$2&gt;1.8,$B$2&lt;=1.9),$N$1,"")</f>
        <v/>
      </c>
      <c r="N4" s="100" t="str">
        <f t="shared" ref="N4:N7" si="0">IF(M4="","",((L4/100)+M4))</f>
        <v/>
      </c>
    </row>
    <row r="5" spans="1:16" ht="15.75" thickBot="1">
      <c r="A5" s="44" t="s">
        <v>22</v>
      </c>
      <c r="B5" s="17"/>
      <c r="C5" s="17"/>
      <c r="D5" s="17"/>
      <c r="E5" s="18"/>
      <c r="F5" s="17"/>
      <c r="G5" s="18"/>
      <c r="H5" s="19" t="s">
        <v>23</v>
      </c>
      <c r="I5" s="65">
        <f>I3/A2</f>
        <v>3.0865999999999998</v>
      </c>
      <c r="J5" s="126"/>
      <c r="K5" s="16" t="s">
        <v>24</v>
      </c>
      <c r="L5" s="98">
        <v>1.4</v>
      </c>
      <c r="M5" s="96">
        <f>IF(AND($B$2&lt;=1.8,$B$2&gt;1.6),$N$1,"")</f>
        <v>8.7999999999999995E-2</v>
      </c>
      <c r="N5" s="100">
        <f>IF(M5="","",((L5/100)+M5))</f>
        <v>0.10199999999999999</v>
      </c>
    </row>
    <row r="6" spans="1:16" ht="15" customHeight="1">
      <c r="A6" s="46" t="s">
        <v>0</v>
      </c>
      <c r="B6" s="47" t="s">
        <v>1</v>
      </c>
      <c r="C6" s="47" t="s">
        <v>2</v>
      </c>
      <c r="D6" s="47" t="s">
        <v>3</v>
      </c>
      <c r="E6" s="48" t="s">
        <v>4</v>
      </c>
      <c r="F6" s="47" t="s">
        <v>5</v>
      </c>
      <c r="G6" s="47" t="s">
        <v>6</v>
      </c>
      <c r="H6" s="47" t="s">
        <v>7</v>
      </c>
      <c r="I6" s="47" t="s">
        <v>8</v>
      </c>
      <c r="J6" s="121" t="s">
        <v>25</v>
      </c>
      <c r="K6" s="16" t="s">
        <v>26</v>
      </c>
      <c r="L6" s="98">
        <v>2.1</v>
      </c>
      <c r="M6" s="96" t="str">
        <f>IF(AND($B$2&gt;1.2,$B$2&lt;=1.6),$N$1,"")</f>
        <v/>
      </c>
      <c r="N6" s="100" t="str">
        <f t="shared" si="0"/>
        <v/>
      </c>
    </row>
    <row r="7" spans="1:16" ht="15.75" thickBot="1">
      <c r="A7" s="49">
        <v>1</v>
      </c>
      <c r="B7" s="50"/>
      <c r="C7" s="51" t="s">
        <v>11</v>
      </c>
      <c r="D7" s="50">
        <v>0</v>
      </c>
      <c r="E7" s="52" t="s">
        <v>12</v>
      </c>
      <c r="F7" s="50"/>
      <c r="G7" s="52" t="s">
        <v>13</v>
      </c>
      <c r="H7" s="50"/>
      <c r="I7" s="52" t="s">
        <v>14</v>
      </c>
      <c r="J7" s="122"/>
      <c r="K7" s="22" t="s">
        <v>27</v>
      </c>
      <c r="L7" s="23">
        <v>2.8</v>
      </c>
      <c r="M7" s="97" t="str">
        <f>IF($B$2&lt;=1.2,$N$1,"")</f>
        <v/>
      </c>
      <c r="N7" s="101" t="str">
        <f t="shared" si="0"/>
        <v/>
      </c>
    </row>
    <row r="8" spans="1:16" ht="15.75" thickBot="1">
      <c r="A8" s="53"/>
      <c r="B8" s="54">
        <f>+$A7*B7</f>
        <v>0</v>
      </c>
      <c r="C8" s="54">
        <f>IF(A7=0," ",A7+B8)</f>
        <v>1</v>
      </c>
      <c r="D8" s="54">
        <f>IF(A7=0," ",(C8)*D7)</f>
        <v>0</v>
      </c>
      <c r="E8" s="55">
        <f>IF(A7=0," ",A7+B8+D8)</f>
        <v>1</v>
      </c>
      <c r="F8" s="54">
        <f>IF(A7=0," ",(E8)*F7)</f>
        <v>0</v>
      </c>
      <c r="G8" s="55">
        <f>IF(A7=0," ",A7+B8+D8+F8)</f>
        <v>1</v>
      </c>
      <c r="H8" s="55">
        <f>$A7*H7</f>
        <v>0</v>
      </c>
      <c r="I8" s="54">
        <f>G8+H8</f>
        <v>1</v>
      </c>
      <c r="J8" s="122"/>
    </row>
    <row r="9" spans="1:16">
      <c r="A9" s="56" t="s">
        <v>28</v>
      </c>
      <c r="B9" s="57"/>
      <c r="C9" s="57"/>
      <c r="D9" s="57"/>
      <c r="E9" s="58"/>
      <c r="F9" s="57"/>
      <c r="G9" s="58"/>
      <c r="H9" s="59" t="s">
        <v>23</v>
      </c>
      <c r="I9" s="64">
        <f>I8/A7</f>
        <v>1</v>
      </c>
      <c r="J9" s="122"/>
    </row>
    <row r="10" spans="1:16" ht="15.75" thickBot="1">
      <c r="A10" s="60" t="s">
        <v>29</v>
      </c>
      <c r="B10" s="61"/>
      <c r="C10" s="103" t="s">
        <v>30</v>
      </c>
      <c r="D10" s="62"/>
      <c r="E10" s="62"/>
      <c r="F10" s="62"/>
      <c r="G10" s="63"/>
      <c r="H10" s="63"/>
      <c r="I10" s="62"/>
      <c r="J10" s="123"/>
    </row>
    <row r="11" spans="1:16" ht="22.5" customHeight="1" thickBot="1">
      <c r="A11" s="45" t="s">
        <v>31</v>
      </c>
      <c r="B11" s="24"/>
      <c r="C11" s="25"/>
      <c r="D11" s="26">
        <v>85.06</v>
      </c>
      <c r="E11" s="127" t="s">
        <v>32</v>
      </c>
      <c r="F11" s="127"/>
      <c r="G11" s="27">
        <f>D11*I5</f>
        <v>262.54619600000001</v>
      </c>
      <c r="I11" s="25"/>
    </row>
    <row r="12" spans="1:16" ht="54.95" customHeight="1" thickBot="1">
      <c r="A12" s="134" t="s">
        <v>33</v>
      </c>
      <c r="B12" s="135"/>
      <c r="C12" s="136"/>
      <c r="D12" s="115" t="s">
        <v>34</v>
      </c>
      <c r="E12" s="42" t="s">
        <v>35</v>
      </c>
      <c r="F12" s="115" t="s">
        <v>36</v>
      </c>
      <c r="G12" s="115" t="s">
        <v>37</v>
      </c>
      <c r="H12" s="40" t="s">
        <v>38</v>
      </c>
      <c r="I12" s="42" t="s">
        <v>39</v>
      </c>
      <c r="J12" s="43" t="s">
        <v>40</v>
      </c>
      <c r="K12" s="41" t="s">
        <v>41</v>
      </c>
      <c r="L12" s="41" t="s">
        <v>42</v>
      </c>
      <c r="M12" s="42" t="s">
        <v>43</v>
      </c>
      <c r="N12" s="43" t="s">
        <v>40</v>
      </c>
    </row>
    <row r="13" spans="1:16">
      <c r="A13" s="137" t="s">
        <v>44</v>
      </c>
      <c r="B13" s="138"/>
      <c r="C13" s="139"/>
      <c r="D13" s="105">
        <v>38</v>
      </c>
      <c r="E13" s="35"/>
      <c r="F13" s="33" t="s">
        <v>45</v>
      </c>
      <c r="G13" s="28">
        <f>IF(A13=""," ",I$5)</f>
        <v>3.0865999999999998</v>
      </c>
      <c r="H13" s="38">
        <f>IF(D13=0," ",IF(D13&lt;=$D$11,D13*G13,IF(F13="Y",D13*G13,$D$11*G13)))</f>
        <v>117.29079999999999</v>
      </c>
      <c r="I13" s="35" t="str">
        <f>IF($E13=0," ",IF($E13&lt;=$D$11,$E13*$I$9,IF($F13="Y",$E13*$I$9,$D$11*$I$9)))</f>
        <v xml:space="preserve"> </v>
      </c>
      <c r="J13" s="106" t="str">
        <f>IF(I13=" "," ",H13-I13)</f>
        <v xml:space="preserve"> </v>
      </c>
      <c r="K13" s="33" t="s">
        <v>46</v>
      </c>
      <c r="L13" s="37">
        <f>IF(K13="Y",H13+(D13*0.5),"")</f>
        <v>136.29079999999999</v>
      </c>
      <c r="M13" s="35" t="str">
        <f>IF(I13=" "," ",IF(K13="Y",I13+(E13*0.5),""))</f>
        <v xml:space="preserve"> </v>
      </c>
      <c r="N13" s="106" t="str">
        <f>IF(OR(I13=" ",K13=" ",K13="N")," ",L13-M13)</f>
        <v xml:space="preserve"> </v>
      </c>
      <c r="P13" s="66"/>
    </row>
    <row r="14" spans="1:16">
      <c r="A14" s="118" t="s">
        <v>47</v>
      </c>
      <c r="B14" s="119"/>
      <c r="C14" s="120"/>
      <c r="D14" s="29">
        <v>20</v>
      </c>
      <c r="E14" s="36"/>
      <c r="F14" s="34" t="s">
        <v>45</v>
      </c>
      <c r="G14" s="28">
        <f t="shared" ref="G14:G15" si="1">IF(A14=""," ",I$5)</f>
        <v>3.0865999999999998</v>
      </c>
      <c r="H14" s="38">
        <f t="shared" ref="H14:H16" si="2">IF(D14=0," ",IF(D14&lt;=$D$11,D14*G14,IF(F14="Y",D14*G14,$D$11*G14)))</f>
        <v>61.731999999999999</v>
      </c>
      <c r="I14" s="35" t="str">
        <f t="shared" ref="I14:I15" si="3">IF($E14=0," ",IF($E14&lt;=$D$11,$E14*$I$9,IF($F14="Y",$E14*$I$9,$D$11*$I$9)))</f>
        <v xml:space="preserve"> </v>
      </c>
      <c r="J14" s="104" t="str">
        <f t="shared" ref="J14:J27" si="4">IF(I14=" "," ",H14-I14)</f>
        <v xml:space="preserve"> </v>
      </c>
      <c r="K14" s="34" t="s">
        <v>46</v>
      </c>
      <c r="L14" s="37">
        <f t="shared" ref="L14:L27" si="5">IF(K14="Y",H14+(D14*0.5),"")</f>
        <v>71.731999999999999</v>
      </c>
      <c r="M14" s="35" t="str">
        <f t="shared" ref="M14:M27" si="6">IF(I14=" "," ",IF(K14="Y",I14+(E14*0.5),""))</f>
        <v xml:space="preserve"> </v>
      </c>
      <c r="N14" s="104" t="str">
        <f t="shared" ref="N14:N27" si="7">IF(OR(I14=" ",K14=" ",K14="N")," ",L14-M14)</f>
        <v xml:space="preserve"> </v>
      </c>
    </row>
    <row r="15" spans="1:16">
      <c r="A15" s="118" t="s">
        <v>48</v>
      </c>
      <c r="B15" s="119"/>
      <c r="C15" s="120"/>
      <c r="D15" s="29">
        <v>35</v>
      </c>
      <c r="E15" s="36"/>
      <c r="F15" s="34" t="s">
        <v>45</v>
      </c>
      <c r="G15" s="28">
        <f t="shared" si="1"/>
        <v>3.0865999999999998</v>
      </c>
      <c r="H15" s="38">
        <f t="shared" si="2"/>
        <v>108.03099999999999</v>
      </c>
      <c r="I15" s="35" t="str">
        <f t="shared" si="3"/>
        <v xml:space="preserve"> </v>
      </c>
      <c r="J15" s="104" t="str">
        <f t="shared" si="4"/>
        <v xml:space="preserve"> </v>
      </c>
      <c r="K15" s="34" t="s">
        <v>45</v>
      </c>
      <c r="L15" s="37" t="str">
        <f t="shared" si="5"/>
        <v/>
      </c>
      <c r="M15" s="35" t="str">
        <f t="shared" si="6"/>
        <v xml:space="preserve"> </v>
      </c>
      <c r="N15" s="104" t="str">
        <f t="shared" si="7"/>
        <v xml:space="preserve"> </v>
      </c>
    </row>
    <row r="16" spans="1:16" ht="26.25" customHeight="1">
      <c r="A16" s="128" t="s">
        <v>49</v>
      </c>
      <c r="B16" s="129"/>
      <c r="C16" s="130"/>
      <c r="D16" s="29">
        <v>53</v>
      </c>
      <c r="E16" s="36"/>
      <c r="F16" s="34" t="s">
        <v>45</v>
      </c>
      <c r="G16" s="28">
        <f>IF(A16=""," ",I$5)</f>
        <v>3.0865999999999998</v>
      </c>
      <c r="H16" s="38">
        <f t="shared" si="2"/>
        <v>163.5898</v>
      </c>
      <c r="I16" s="35" t="str">
        <f>IF($E16=0," ",IF($E16&lt;=$D$11,$E16*$I$9,IF($F16="Y",$E16*$I$9,$D$11*$I$9)))</f>
        <v xml:space="preserve"> </v>
      </c>
      <c r="J16" s="104" t="str">
        <f>IF(I16=" "," ",H16-I16)</f>
        <v xml:space="preserve"> </v>
      </c>
      <c r="K16" s="34" t="s">
        <v>46</v>
      </c>
      <c r="L16" s="37">
        <f t="shared" si="5"/>
        <v>190.0898</v>
      </c>
      <c r="M16" s="35" t="str">
        <f t="shared" si="6"/>
        <v xml:space="preserve"> </v>
      </c>
      <c r="N16" s="104" t="str">
        <f t="shared" si="7"/>
        <v xml:space="preserve"> </v>
      </c>
    </row>
    <row r="17" spans="1:14">
      <c r="A17" s="118"/>
      <c r="B17" s="119"/>
      <c r="C17" s="120"/>
      <c r="D17" s="29"/>
      <c r="E17" s="36"/>
      <c r="F17" s="34"/>
      <c r="G17" s="28" t="str">
        <f>IF(A17=""," ",I$5)</f>
        <v xml:space="preserve"> </v>
      </c>
      <c r="H17" s="38" t="str">
        <f t="shared" ref="H17:H27" si="8">IF(D17=0," ",IF(D17&lt;=$D$11,D17*G17,IF(F17="Y",D17*G17,$D$11*G17)))</f>
        <v xml:space="preserve"> </v>
      </c>
      <c r="I17" s="35" t="str">
        <f t="shared" ref="I17:I27" si="9">IF($E17=0," ",IF($E17&lt;=$D$11,$E17*$I$9,IF($F17="Y",$E17*$I$9,$D$11*$I$9)))</f>
        <v xml:space="preserve"> </v>
      </c>
      <c r="J17" s="104" t="str">
        <f>IF(I17=" "," ",H17-I17)</f>
        <v xml:space="preserve"> </v>
      </c>
      <c r="K17" s="34"/>
      <c r="L17" s="37" t="str">
        <f t="shared" si="5"/>
        <v/>
      </c>
      <c r="M17" s="35" t="str">
        <f t="shared" si="6"/>
        <v xml:space="preserve"> </v>
      </c>
      <c r="N17" s="104" t="str">
        <f t="shared" si="7"/>
        <v xml:space="preserve"> </v>
      </c>
    </row>
    <row r="18" spans="1:14">
      <c r="A18" s="118"/>
      <c r="B18" s="119"/>
      <c r="C18" s="120"/>
      <c r="D18" s="29"/>
      <c r="E18" s="36"/>
      <c r="F18" s="34"/>
      <c r="G18" s="28" t="str">
        <f t="shared" ref="G18:G27" si="10">IF(A18=""," ",I$5)</f>
        <v xml:space="preserve"> </v>
      </c>
      <c r="H18" s="38" t="str">
        <f t="shared" si="8"/>
        <v xml:space="preserve"> </v>
      </c>
      <c r="I18" s="35" t="str">
        <f t="shared" si="9"/>
        <v xml:space="preserve"> </v>
      </c>
      <c r="J18" s="104" t="str">
        <f>IF(I18=" "," ",H18-I18)</f>
        <v xml:space="preserve"> </v>
      </c>
      <c r="K18" s="34"/>
      <c r="L18" s="37" t="str">
        <f t="shared" si="5"/>
        <v/>
      </c>
      <c r="M18" s="35" t="str">
        <f t="shared" si="6"/>
        <v xml:space="preserve"> </v>
      </c>
      <c r="N18" s="104" t="str">
        <f t="shared" si="7"/>
        <v xml:space="preserve"> </v>
      </c>
    </row>
    <row r="19" spans="1:14">
      <c r="A19" s="118"/>
      <c r="B19" s="119"/>
      <c r="C19" s="120"/>
      <c r="D19" s="29"/>
      <c r="E19" s="36"/>
      <c r="F19" s="34"/>
      <c r="G19" s="28" t="str">
        <f t="shared" si="10"/>
        <v xml:space="preserve"> </v>
      </c>
      <c r="H19" s="38" t="str">
        <f t="shared" si="8"/>
        <v xml:space="preserve"> </v>
      </c>
      <c r="I19" s="35" t="str">
        <f t="shared" si="9"/>
        <v xml:space="preserve"> </v>
      </c>
      <c r="J19" s="104" t="str">
        <f t="shared" si="4"/>
        <v xml:space="preserve"> </v>
      </c>
      <c r="K19" s="34"/>
      <c r="L19" s="37" t="str">
        <f t="shared" si="5"/>
        <v/>
      </c>
      <c r="M19" s="35" t="str">
        <f t="shared" si="6"/>
        <v xml:space="preserve"> </v>
      </c>
      <c r="N19" s="104" t="str">
        <f t="shared" si="7"/>
        <v xml:space="preserve"> </v>
      </c>
    </row>
    <row r="20" spans="1:14">
      <c r="A20" s="118"/>
      <c r="B20" s="119"/>
      <c r="C20" s="120"/>
      <c r="D20" s="29"/>
      <c r="E20" s="36"/>
      <c r="F20" s="34"/>
      <c r="G20" s="28" t="str">
        <f t="shared" si="10"/>
        <v xml:space="preserve"> </v>
      </c>
      <c r="H20" s="38" t="str">
        <f t="shared" si="8"/>
        <v xml:space="preserve"> </v>
      </c>
      <c r="I20" s="35" t="str">
        <f t="shared" si="9"/>
        <v xml:space="preserve"> </v>
      </c>
      <c r="J20" s="104" t="str">
        <f t="shared" si="4"/>
        <v xml:space="preserve"> </v>
      </c>
      <c r="K20" s="34"/>
      <c r="L20" s="37" t="str">
        <f t="shared" si="5"/>
        <v/>
      </c>
      <c r="M20" s="35" t="str">
        <f t="shared" si="6"/>
        <v xml:space="preserve"> </v>
      </c>
      <c r="N20" s="104" t="str">
        <f t="shared" si="7"/>
        <v xml:space="preserve"> </v>
      </c>
    </row>
    <row r="21" spans="1:14">
      <c r="A21" s="118"/>
      <c r="B21" s="119"/>
      <c r="C21" s="120"/>
      <c r="D21" s="29"/>
      <c r="E21" s="36"/>
      <c r="F21" s="34"/>
      <c r="G21" s="28" t="str">
        <f t="shared" si="10"/>
        <v xml:space="preserve"> </v>
      </c>
      <c r="H21" s="38" t="str">
        <f t="shared" si="8"/>
        <v xml:space="preserve"> </v>
      </c>
      <c r="I21" s="35" t="str">
        <f t="shared" si="9"/>
        <v xml:space="preserve"> </v>
      </c>
      <c r="J21" s="104" t="str">
        <f t="shared" si="4"/>
        <v xml:space="preserve"> </v>
      </c>
      <c r="K21" s="34"/>
      <c r="L21" s="37" t="str">
        <f t="shared" si="5"/>
        <v/>
      </c>
      <c r="M21" s="35" t="str">
        <f t="shared" si="6"/>
        <v xml:space="preserve"> </v>
      </c>
      <c r="N21" s="104" t="str">
        <f t="shared" si="7"/>
        <v xml:space="preserve"> </v>
      </c>
    </row>
    <row r="22" spans="1:14">
      <c r="A22" s="118"/>
      <c r="B22" s="119"/>
      <c r="C22" s="120"/>
      <c r="D22" s="29"/>
      <c r="E22" s="36"/>
      <c r="F22" s="34"/>
      <c r="G22" s="28" t="str">
        <f t="shared" si="10"/>
        <v xml:space="preserve"> </v>
      </c>
      <c r="H22" s="38" t="str">
        <f t="shared" si="8"/>
        <v xml:space="preserve"> </v>
      </c>
      <c r="I22" s="35" t="str">
        <f t="shared" si="9"/>
        <v xml:space="preserve"> </v>
      </c>
      <c r="J22" s="104" t="str">
        <f t="shared" si="4"/>
        <v xml:space="preserve"> </v>
      </c>
      <c r="K22" s="34"/>
      <c r="L22" s="37" t="str">
        <f t="shared" si="5"/>
        <v/>
      </c>
      <c r="M22" s="35" t="str">
        <f t="shared" si="6"/>
        <v xml:space="preserve"> </v>
      </c>
      <c r="N22" s="104" t="str">
        <f t="shared" si="7"/>
        <v xml:space="preserve"> </v>
      </c>
    </row>
    <row r="23" spans="1:14">
      <c r="A23" s="118"/>
      <c r="B23" s="119"/>
      <c r="C23" s="120"/>
      <c r="D23" s="29"/>
      <c r="E23" s="36"/>
      <c r="F23" s="34"/>
      <c r="G23" s="28" t="str">
        <f t="shared" si="10"/>
        <v xml:space="preserve"> </v>
      </c>
      <c r="H23" s="38" t="str">
        <f t="shared" si="8"/>
        <v xml:space="preserve"> </v>
      </c>
      <c r="I23" s="35" t="str">
        <f t="shared" si="9"/>
        <v xml:space="preserve"> </v>
      </c>
      <c r="J23" s="104" t="str">
        <f t="shared" si="4"/>
        <v xml:space="preserve"> </v>
      </c>
      <c r="K23" s="34"/>
      <c r="L23" s="37" t="str">
        <f t="shared" si="5"/>
        <v/>
      </c>
      <c r="M23" s="35" t="str">
        <f t="shared" si="6"/>
        <v xml:space="preserve"> </v>
      </c>
      <c r="N23" s="104" t="str">
        <f t="shared" si="7"/>
        <v xml:space="preserve"> </v>
      </c>
    </row>
    <row r="24" spans="1:14">
      <c r="A24" s="118"/>
      <c r="B24" s="119"/>
      <c r="C24" s="120"/>
      <c r="D24" s="29"/>
      <c r="E24" s="36"/>
      <c r="F24" s="34"/>
      <c r="G24" s="28" t="str">
        <f t="shared" si="10"/>
        <v xml:space="preserve"> </v>
      </c>
      <c r="H24" s="38" t="str">
        <f t="shared" si="8"/>
        <v xml:space="preserve"> </v>
      </c>
      <c r="I24" s="35" t="str">
        <f t="shared" si="9"/>
        <v xml:space="preserve"> </v>
      </c>
      <c r="J24" s="104" t="str">
        <f t="shared" si="4"/>
        <v xml:space="preserve"> </v>
      </c>
      <c r="K24" s="34"/>
      <c r="L24" s="37" t="str">
        <f t="shared" si="5"/>
        <v/>
      </c>
      <c r="M24" s="35" t="str">
        <f t="shared" si="6"/>
        <v xml:space="preserve"> </v>
      </c>
      <c r="N24" s="104" t="str">
        <f t="shared" si="7"/>
        <v xml:space="preserve"> </v>
      </c>
    </row>
    <row r="25" spans="1:14">
      <c r="A25" s="118"/>
      <c r="B25" s="119"/>
      <c r="C25" s="120"/>
      <c r="D25" s="29"/>
      <c r="E25" s="36"/>
      <c r="F25" s="34"/>
      <c r="G25" s="28" t="str">
        <f t="shared" si="10"/>
        <v xml:space="preserve"> </v>
      </c>
      <c r="H25" s="38" t="str">
        <f t="shared" si="8"/>
        <v xml:space="preserve"> </v>
      </c>
      <c r="I25" s="35" t="str">
        <f t="shared" si="9"/>
        <v xml:space="preserve"> </v>
      </c>
      <c r="J25" s="104" t="str">
        <f t="shared" si="4"/>
        <v xml:space="preserve"> </v>
      </c>
      <c r="K25" s="34"/>
      <c r="L25" s="37" t="str">
        <f t="shared" si="5"/>
        <v/>
      </c>
      <c r="M25" s="35" t="str">
        <f t="shared" si="6"/>
        <v xml:space="preserve"> </v>
      </c>
      <c r="N25" s="104" t="str">
        <f t="shared" si="7"/>
        <v xml:space="preserve"> </v>
      </c>
    </row>
    <row r="26" spans="1:14">
      <c r="A26" s="118"/>
      <c r="B26" s="119"/>
      <c r="C26" s="120"/>
      <c r="D26" s="29"/>
      <c r="E26" s="36"/>
      <c r="F26" s="34"/>
      <c r="G26" s="28" t="str">
        <f t="shared" si="10"/>
        <v xml:space="preserve"> </v>
      </c>
      <c r="H26" s="38" t="str">
        <f t="shared" si="8"/>
        <v xml:space="preserve"> </v>
      </c>
      <c r="I26" s="35" t="str">
        <f t="shared" si="9"/>
        <v xml:space="preserve"> </v>
      </c>
      <c r="J26" s="104" t="str">
        <f t="shared" si="4"/>
        <v xml:space="preserve"> </v>
      </c>
      <c r="K26" s="34"/>
      <c r="L26" s="37" t="str">
        <f t="shared" si="5"/>
        <v/>
      </c>
      <c r="M26" s="35" t="str">
        <f t="shared" si="6"/>
        <v xml:space="preserve"> </v>
      </c>
      <c r="N26" s="104" t="str">
        <f t="shared" si="7"/>
        <v xml:space="preserve"> </v>
      </c>
    </row>
    <row r="27" spans="1:14">
      <c r="A27" s="118"/>
      <c r="B27" s="119"/>
      <c r="C27" s="120"/>
      <c r="D27" s="29"/>
      <c r="E27" s="36"/>
      <c r="F27" s="34"/>
      <c r="G27" s="28" t="str">
        <f t="shared" si="10"/>
        <v xml:space="preserve"> </v>
      </c>
      <c r="H27" s="38" t="str">
        <f t="shared" si="8"/>
        <v xml:space="preserve"> </v>
      </c>
      <c r="I27" s="35" t="str">
        <f t="shared" si="9"/>
        <v xml:space="preserve"> </v>
      </c>
      <c r="J27" s="104" t="str">
        <f t="shared" si="4"/>
        <v xml:space="preserve"> </v>
      </c>
      <c r="K27" s="34"/>
      <c r="L27" s="37" t="str">
        <f t="shared" si="5"/>
        <v/>
      </c>
      <c r="M27" s="35" t="str">
        <f t="shared" si="6"/>
        <v xml:space="preserve"> </v>
      </c>
      <c r="N27" s="104" t="str">
        <f t="shared" si="7"/>
        <v xml:space="preserve"> </v>
      </c>
    </row>
    <row r="28" spans="1:14" ht="15.75" thickBot="1">
      <c r="A28" s="25" t="s">
        <v>50</v>
      </c>
      <c r="B28" s="25"/>
      <c r="C28" s="25"/>
      <c r="D28" s="25"/>
      <c r="G28" s="25"/>
      <c r="H28" s="39"/>
      <c r="J28" s="30">
        <f>SUM(J13:J27)</f>
        <v>0</v>
      </c>
      <c r="N28" s="30">
        <f>SUM(N13:N27)</f>
        <v>0</v>
      </c>
    </row>
    <row r="29" spans="1:14" ht="15.75" thickTop="1">
      <c r="A29" s="31" t="s">
        <v>51</v>
      </c>
      <c r="B29" s="25"/>
      <c r="C29" s="25"/>
      <c r="D29" s="25"/>
      <c r="E29" s="25"/>
      <c r="F29" s="18"/>
    </row>
    <row r="31" spans="1:14" ht="15" customHeight="1">
      <c r="A31" s="131" t="s">
        <v>52</v>
      </c>
      <c r="B31" s="131"/>
      <c r="C31" s="131"/>
      <c r="D31" s="131"/>
      <c r="E31" s="131"/>
      <c r="F31" s="131"/>
      <c r="G31" s="131"/>
      <c r="H31" s="131"/>
      <c r="I31" s="131"/>
      <c r="J31" s="131"/>
      <c r="K31" s="131"/>
    </row>
    <row r="33" spans="1:11" ht="29.25" customHeight="1">
      <c r="A33" s="131" t="s">
        <v>53</v>
      </c>
      <c r="B33" s="131"/>
      <c r="C33" s="131"/>
      <c r="D33" s="131"/>
      <c r="E33" s="131"/>
      <c r="F33" s="131"/>
      <c r="G33" s="131"/>
      <c r="H33" s="131"/>
      <c r="I33" s="131"/>
      <c r="J33" s="131"/>
      <c r="K33" s="131"/>
    </row>
    <row r="35" spans="1:11" ht="29.25" customHeight="1">
      <c r="A35" s="131" t="s">
        <v>54</v>
      </c>
      <c r="B35" s="131"/>
      <c r="C35" s="131"/>
      <c r="D35" s="131"/>
      <c r="E35" s="131"/>
      <c r="F35" s="131"/>
      <c r="G35" s="131"/>
      <c r="H35" s="131"/>
      <c r="I35" s="131"/>
      <c r="J35" s="131"/>
      <c r="K35" s="131"/>
    </row>
    <row r="37" spans="1:11" ht="15" customHeight="1">
      <c r="A37" s="131" t="s">
        <v>55</v>
      </c>
      <c r="B37" s="131"/>
      <c r="C37" s="131"/>
      <c r="D37" s="131"/>
      <c r="E37" s="131"/>
      <c r="F37" s="131"/>
      <c r="G37" s="131"/>
      <c r="H37" s="131"/>
      <c r="I37" s="131"/>
      <c r="J37" s="131"/>
      <c r="K37" s="131"/>
    </row>
    <row r="39" spans="1:11" ht="15" customHeight="1">
      <c r="A39" s="131" t="s">
        <v>56</v>
      </c>
      <c r="B39" s="131"/>
      <c r="C39" s="131"/>
      <c r="D39" s="131"/>
      <c r="E39" s="131"/>
      <c r="F39" s="131"/>
      <c r="G39" s="131"/>
      <c r="H39" s="131"/>
      <c r="I39" s="131"/>
      <c r="J39" s="131"/>
      <c r="K39" s="131"/>
    </row>
    <row r="42" spans="1:11">
      <c r="A42" s="132"/>
      <c r="B42" s="133"/>
      <c r="C42" s="133"/>
      <c r="D42" s="133"/>
      <c r="E42" s="133"/>
    </row>
  </sheetData>
  <mergeCells count="26">
    <mergeCell ref="A31:K31"/>
    <mergeCell ref="A42:E42"/>
    <mergeCell ref="A12:C12"/>
    <mergeCell ref="A13:C13"/>
    <mergeCell ref="A33:K33"/>
    <mergeCell ref="A35:K35"/>
    <mergeCell ref="A37:K37"/>
    <mergeCell ref="A39:K39"/>
    <mergeCell ref="A25:C25"/>
    <mergeCell ref="A27:C27"/>
    <mergeCell ref="A26:C26"/>
    <mergeCell ref="A21:C21"/>
    <mergeCell ref="A22:C22"/>
    <mergeCell ref="A23:C23"/>
    <mergeCell ref="A24:C24"/>
    <mergeCell ref="A15:C15"/>
    <mergeCell ref="K1:M1"/>
    <mergeCell ref="A17:C17"/>
    <mergeCell ref="A18:C18"/>
    <mergeCell ref="A19:C19"/>
    <mergeCell ref="A20:C20"/>
    <mergeCell ref="A14:C14"/>
    <mergeCell ref="J6:J10"/>
    <mergeCell ref="J1:J5"/>
    <mergeCell ref="E11:F11"/>
    <mergeCell ref="A16:C16"/>
  </mergeCells>
  <pageMargins left="0.25" right="0.25" top="1.0416666666666667" bottom="0.75" header="0.3" footer="0.3"/>
  <pageSetup paperSize="5" orientation="landscape" r:id="rId1"/>
  <headerFooter>
    <oddHeader>&amp;CFirm
Contract description
Contract number, Des#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34685-9976-4CC0-BD02-9215A40DEA2F}">
  <dimension ref="A1:D61"/>
  <sheetViews>
    <sheetView topLeftCell="A36" workbookViewId="0">
      <selection activeCell="A62" sqref="A62"/>
    </sheetView>
  </sheetViews>
  <sheetFormatPr defaultRowHeight="15"/>
  <cols>
    <col min="1" max="1" width="22.85546875" style="68" customWidth="1"/>
    <col min="2" max="2" width="11.85546875" style="68" customWidth="1"/>
    <col min="3" max="3" width="21.28515625" style="68" customWidth="1"/>
  </cols>
  <sheetData>
    <row r="1" spans="1:4">
      <c r="A1" s="88" t="s">
        <v>57</v>
      </c>
    </row>
    <row r="2" spans="1:4">
      <c r="A2" s="113" t="s">
        <v>52</v>
      </c>
    </row>
    <row r="3" spans="1:4">
      <c r="A3" s="90" t="s">
        <v>56</v>
      </c>
    </row>
    <row r="4" spans="1:4" ht="15.75" thickBot="1">
      <c r="A4" s="90" t="s">
        <v>58</v>
      </c>
    </row>
    <row r="5" spans="1:4">
      <c r="A5" s="93" t="s">
        <v>59</v>
      </c>
      <c r="B5" s="93" t="s">
        <v>60</v>
      </c>
      <c r="C5" s="93" t="s">
        <v>61</v>
      </c>
    </row>
    <row r="6" spans="1:4">
      <c r="A6" s="69" t="s">
        <v>62</v>
      </c>
      <c r="B6" s="107">
        <v>76</v>
      </c>
      <c r="C6" s="70">
        <f>IF(B6&gt;85.06,85.06,B6)</f>
        <v>76</v>
      </c>
      <c r="D6" s="67"/>
    </row>
    <row r="7" spans="1:4">
      <c r="A7" s="69" t="s">
        <v>62</v>
      </c>
      <c r="B7" s="107">
        <v>71.5</v>
      </c>
      <c r="C7" s="70">
        <f t="shared" ref="C7:C61" si="0">IF(B7&gt;85.06,85.06,B7)</f>
        <v>71.5</v>
      </c>
      <c r="D7" s="67"/>
    </row>
    <row r="8" spans="1:4">
      <c r="A8" s="69" t="s">
        <v>63</v>
      </c>
      <c r="B8" s="107">
        <v>101</v>
      </c>
      <c r="C8" s="70">
        <f t="shared" si="0"/>
        <v>85.06</v>
      </c>
      <c r="D8" s="67"/>
    </row>
    <row r="9" spans="1:4">
      <c r="A9" s="69" t="s">
        <v>64</v>
      </c>
      <c r="B9" s="107">
        <v>77</v>
      </c>
      <c r="C9" s="70">
        <f t="shared" si="0"/>
        <v>77</v>
      </c>
      <c r="D9" s="67"/>
    </row>
    <row r="10" spans="1:4">
      <c r="A10" s="69" t="s">
        <v>65</v>
      </c>
      <c r="B10" s="107">
        <v>80</v>
      </c>
      <c r="C10" s="70">
        <f t="shared" si="0"/>
        <v>80</v>
      </c>
      <c r="D10" s="67"/>
    </row>
    <row r="11" spans="1:4">
      <c r="A11" s="69" t="s">
        <v>66</v>
      </c>
      <c r="B11" s="107">
        <v>75.5</v>
      </c>
      <c r="C11" s="70">
        <f t="shared" si="0"/>
        <v>75.5</v>
      </c>
      <c r="D11" s="67"/>
    </row>
    <row r="12" spans="1:4">
      <c r="A12" s="69" t="s">
        <v>67</v>
      </c>
      <c r="B12" s="107">
        <v>71</v>
      </c>
      <c r="C12" s="70">
        <f t="shared" si="0"/>
        <v>71</v>
      </c>
      <c r="D12" s="67"/>
    </row>
    <row r="13" spans="1:4">
      <c r="A13" s="69" t="s">
        <v>68</v>
      </c>
      <c r="B13" s="107">
        <v>55</v>
      </c>
      <c r="C13" s="70">
        <f t="shared" si="0"/>
        <v>55</v>
      </c>
      <c r="D13" s="67"/>
    </row>
    <row r="14" spans="1:4">
      <c r="A14" s="69" t="s">
        <v>68</v>
      </c>
      <c r="B14" s="107">
        <v>70</v>
      </c>
      <c r="C14" s="70">
        <f t="shared" si="0"/>
        <v>70</v>
      </c>
      <c r="D14" s="67"/>
    </row>
    <row r="15" spans="1:4">
      <c r="A15" s="69" t="s">
        <v>69</v>
      </c>
      <c r="B15" s="107">
        <v>101</v>
      </c>
      <c r="C15" s="70">
        <f t="shared" si="0"/>
        <v>85.06</v>
      </c>
      <c r="D15" s="67"/>
    </row>
    <row r="16" spans="1:4">
      <c r="A16" s="69" t="s">
        <v>70</v>
      </c>
      <c r="B16" s="107">
        <v>92</v>
      </c>
      <c r="C16" s="70">
        <f t="shared" si="0"/>
        <v>85.06</v>
      </c>
      <c r="D16" s="67"/>
    </row>
    <row r="17" spans="1:4">
      <c r="A17" s="69" t="s">
        <v>70</v>
      </c>
      <c r="B17" s="107">
        <v>95</v>
      </c>
      <c r="C17" s="70">
        <f t="shared" si="0"/>
        <v>85.06</v>
      </c>
      <c r="D17" s="67"/>
    </row>
    <row r="18" spans="1:4">
      <c r="A18" s="69" t="s">
        <v>71</v>
      </c>
      <c r="B18" s="107">
        <v>98.5</v>
      </c>
      <c r="C18" s="70">
        <f t="shared" si="0"/>
        <v>85.06</v>
      </c>
      <c r="D18" s="67"/>
    </row>
    <row r="19" spans="1:4">
      <c r="A19" s="69" t="s">
        <v>72</v>
      </c>
      <c r="B19" s="107">
        <v>63.44</v>
      </c>
      <c r="C19" s="70">
        <f t="shared" si="0"/>
        <v>63.44</v>
      </c>
      <c r="D19" s="67"/>
    </row>
    <row r="20" spans="1:4">
      <c r="A20" s="69" t="s">
        <v>73</v>
      </c>
      <c r="B20" s="107">
        <v>95</v>
      </c>
      <c r="C20" s="70">
        <f t="shared" si="0"/>
        <v>85.06</v>
      </c>
      <c r="D20" s="67"/>
    </row>
    <row r="21" spans="1:4">
      <c r="A21" s="69" t="s">
        <v>74</v>
      </c>
      <c r="B21" s="107">
        <v>84</v>
      </c>
      <c r="C21" s="70">
        <f t="shared" si="0"/>
        <v>84</v>
      </c>
      <c r="D21" s="67"/>
    </row>
    <row r="22" spans="1:4">
      <c r="A22" s="69" t="s">
        <v>75</v>
      </c>
      <c r="B22" s="107">
        <v>95</v>
      </c>
      <c r="C22" s="70">
        <f t="shared" si="0"/>
        <v>85.06</v>
      </c>
      <c r="D22" s="67"/>
    </row>
    <row r="23" spans="1:4">
      <c r="A23" s="69" t="s">
        <v>76</v>
      </c>
      <c r="B23" s="107">
        <v>101</v>
      </c>
      <c r="C23" s="70">
        <f t="shared" si="0"/>
        <v>85.06</v>
      </c>
      <c r="D23" s="67"/>
    </row>
    <row r="24" spans="1:4">
      <c r="A24" s="69" t="s">
        <v>77</v>
      </c>
      <c r="B24" s="107">
        <v>92</v>
      </c>
      <c r="C24" s="70">
        <f t="shared" si="0"/>
        <v>85.06</v>
      </c>
      <c r="D24" s="67"/>
    </row>
    <row r="25" spans="1:4">
      <c r="A25" s="69" t="s">
        <v>78</v>
      </c>
      <c r="B25" s="107">
        <v>96</v>
      </c>
      <c r="C25" s="70">
        <f t="shared" si="0"/>
        <v>85.06</v>
      </c>
      <c r="D25" s="67"/>
    </row>
    <row r="26" spans="1:4">
      <c r="A26" s="69" t="s">
        <v>78</v>
      </c>
      <c r="B26" s="107">
        <v>71</v>
      </c>
      <c r="C26" s="70">
        <f t="shared" si="0"/>
        <v>71</v>
      </c>
      <c r="D26" s="67"/>
    </row>
    <row r="27" spans="1:4">
      <c r="A27" s="69" t="s">
        <v>79</v>
      </c>
      <c r="B27" s="107">
        <v>93</v>
      </c>
      <c r="C27" s="70">
        <f t="shared" si="0"/>
        <v>85.06</v>
      </c>
      <c r="D27" s="67"/>
    </row>
    <row r="28" spans="1:4">
      <c r="A28" s="69" t="s">
        <v>80</v>
      </c>
      <c r="B28" s="107">
        <v>93</v>
      </c>
      <c r="C28" s="70">
        <f t="shared" si="0"/>
        <v>85.06</v>
      </c>
      <c r="D28" s="67"/>
    </row>
    <row r="29" spans="1:4">
      <c r="A29" s="69" t="s">
        <v>81</v>
      </c>
      <c r="B29" s="107">
        <v>85.75</v>
      </c>
      <c r="C29" s="70">
        <f t="shared" si="0"/>
        <v>85.06</v>
      </c>
      <c r="D29" s="67"/>
    </row>
    <row r="30" spans="1:4">
      <c r="A30" s="69" t="s">
        <v>81</v>
      </c>
      <c r="B30" s="107">
        <v>84.5</v>
      </c>
      <c r="C30" s="70">
        <f t="shared" si="0"/>
        <v>84.5</v>
      </c>
      <c r="D30" s="67"/>
    </row>
    <row r="31" spans="1:4">
      <c r="A31" s="69" t="s">
        <v>82</v>
      </c>
      <c r="B31" s="107">
        <v>51.5</v>
      </c>
      <c r="C31" s="70">
        <f t="shared" si="0"/>
        <v>51.5</v>
      </c>
      <c r="D31" s="67"/>
    </row>
    <row r="32" spans="1:4">
      <c r="A32" s="69" t="s">
        <v>82</v>
      </c>
      <c r="B32" s="107">
        <v>70.5</v>
      </c>
      <c r="C32" s="70">
        <f t="shared" si="0"/>
        <v>70.5</v>
      </c>
      <c r="D32" s="67"/>
    </row>
    <row r="33" spans="1:4">
      <c r="A33" s="69" t="s">
        <v>83</v>
      </c>
      <c r="B33" s="107">
        <v>80.5</v>
      </c>
      <c r="C33" s="70">
        <f t="shared" si="0"/>
        <v>80.5</v>
      </c>
      <c r="D33" s="67"/>
    </row>
    <row r="34" spans="1:4">
      <c r="A34" s="69" t="s">
        <v>84</v>
      </c>
      <c r="B34" s="107">
        <v>61.5</v>
      </c>
      <c r="C34" s="70">
        <f t="shared" si="0"/>
        <v>61.5</v>
      </c>
      <c r="D34" s="67"/>
    </row>
    <row r="35" spans="1:4">
      <c r="A35" s="69" t="s">
        <v>85</v>
      </c>
      <c r="B35" s="107">
        <v>79</v>
      </c>
      <c r="C35" s="70">
        <f t="shared" si="0"/>
        <v>79</v>
      </c>
      <c r="D35" s="67"/>
    </row>
    <row r="36" spans="1:4">
      <c r="A36" s="69" t="s">
        <v>85</v>
      </c>
      <c r="B36" s="107">
        <v>70.25</v>
      </c>
      <c r="C36" s="70">
        <f t="shared" si="0"/>
        <v>70.25</v>
      </c>
      <c r="D36" s="67"/>
    </row>
    <row r="37" spans="1:4">
      <c r="A37" s="69" t="s">
        <v>86</v>
      </c>
      <c r="B37" s="107">
        <v>82.15</v>
      </c>
      <c r="C37" s="70">
        <f t="shared" si="0"/>
        <v>82.15</v>
      </c>
      <c r="D37" s="67"/>
    </row>
    <row r="38" spans="1:4">
      <c r="A38" s="69" t="s">
        <v>86</v>
      </c>
      <c r="B38" s="107">
        <v>95</v>
      </c>
      <c r="C38" s="70">
        <f t="shared" si="0"/>
        <v>85.06</v>
      </c>
      <c r="D38" s="67"/>
    </row>
    <row r="39" spans="1:4">
      <c r="A39" s="69" t="s">
        <v>86</v>
      </c>
      <c r="B39" s="107">
        <v>98.5</v>
      </c>
      <c r="C39" s="70">
        <f t="shared" si="0"/>
        <v>85.06</v>
      </c>
      <c r="D39" s="67"/>
    </row>
    <row r="40" spans="1:4">
      <c r="A40" s="69" t="s">
        <v>87</v>
      </c>
      <c r="B40" s="107">
        <v>83</v>
      </c>
      <c r="C40" s="70">
        <f t="shared" si="0"/>
        <v>83</v>
      </c>
      <c r="D40" s="67"/>
    </row>
    <row r="41" spans="1:4">
      <c r="A41" s="69" t="s">
        <v>88</v>
      </c>
      <c r="B41" s="107">
        <v>101</v>
      </c>
      <c r="C41" s="70">
        <f t="shared" si="0"/>
        <v>85.06</v>
      </c>
      <c r="D41" s="67"/>
    </row>
    <row r="42" spans="1:4">
      <c r="A42" s="69" t="s">
        <v>89</v>
      </c>
      <c r="B42" s="107">
        <v>73</v>
      </c>
      <c r="C42" s="70">
        <f t="shared" si="0"/>
        <v>73</v>
      </c>
      <c r="D42" s="67"/>
    </row>
    <row r="43" spans="1:4">
      <c r="A43" s="69" t="s">
        <v>89</v>
      </c>
      <c r="B43" s="107">
        <v>71.5</v>
      </c>
      <c r="C43" s="70">
        <f t="shared" si="0"/>
        <v>71.5</v>
      </c>
      <c r="D43" s="67"/>
    </row>
    <row r="44" spans="1:4">
      <c r="A44" s="69" t="s">
        <v>90</v>
      </c>
      <c r="B44" s="107">
        <v>87.36</v>
      </c>
      <c r="C44" s="70">
        <f t="shared" si="0"/>
        <v>85.06</v>
      </c>
      <c r="D44" s="67"/>
    </row>
    <row r="45" spans="1:4">
      <c r="A45" s="69" t="s">
        <v>91</v>
      </c>
      <c r="B45" s="107">
        <v>81</v>
      </c>
      <c r="C45" s="70">
        <f t="shared" si="0"/>
        <v>81</v>
      </c>
      <c r="D45" s="67"/>
    </row>
    <row r="46" spans="1:4">
      <c r="A46" s="69" t="s">
        <v>92</v>
      </c>
      <c r="B46" s="107">
        <v>97.25</v>
      </c>
      <c r="C46" s="70">
        <f t="shared" si="0"/>
        <v>85.06</v>
      </c>
      <c r="D46" s="67"/>
    </row>
    <row r="47" spans="1:4">
      <c r="A47" s="69" t="s">
        <v>93</v>
      </c>
      <c r="B47" s="107">
        <v>69.5</v>
      </c>
      <c r="C47" s="70">
        <f t="shared" si="0"/>
        <v>69.5</v>
      </c>
      <c r="D47" s="67"/>
    </row>
    <row r="48" spans="1:4">
      <c r="A48" s="69" t="s">
        <v>94</v>
      </c>
      <c r="B48" s="107">
        <v>85.25</v>
      </c>
      <c r="C48" s="70">
        <f t="shared" si="0"/>
        <v>85.06</v>
      </c>
      <c r="D48" s="67"/>
    </row>
    <row r="49" spans="1:4">
      <c r="A49" s="69" t="s">
        <v>95</v>
      </c>
      <c r="B49" s="107">
        <v>110</v>
      </c>
      <c r="C49" s="70">
        <f t="shared" si="0"/>
        <v>85.06</v>
      </c>
      <c r="D49" s="67"/>
    </row>
    <row r="50" spans="1:4">
      <c r="A50" s="69" t="s">
        <v>95</v>
      </c>
      <c r="B50" s="107">
        <v>101</v>
      </c>
      <c r="C50" s="70">
        <f t="shared" si="0"/>
        <v>85.06</v>
      </c>
      <c r="D50" s="67"/>
    </row>
    <row r="51" spans="1:4">
      <c r="A51" s="69" t="s">
        <v>96</v>
      </c>
      <c r="B51" s="107">
        <v>92</v>
      </c>
      <c r="C51" s="70">
        <f t="shared" si="0"/>
        <v>85.06</v>
      </c>
      <c r="D51" s="67"/>
    </row>
    <row r="52" spans="1:4">
      <c r="A52" s="69" t="s">
        <v>97</v>
      </c>
      <c r="B52" s="107">
        <v>89</v>
      </c>
      <c r="C52" s="70">
        <f t="shared" si="0"/>
        <v>85.06</v>
      </c>
      <c r="D52" s="67"/>
    </row>
    <row r="53" spans="1:4">
      <c r="A53" s="69" t="s">
        <v>98</v>
      </c>
      <c r="B53" s="107">
        <v>87.75</v>
      </c>
      <c r="C53" s="70">
        <f t="shared" si="0"/>
        <v>85.06</v>
      </c>
      <c r="D53" s="67"/>
    </row>
    <row r="54" spans="1:4">
      <c r="A54" s="69" t="s">
        <v>99</v>
      </c>
      <c r="B54" s="107">
        <v>72</v>
      </c>
      <c r="C54" s="70">
        <f t="shared" si="0"/>
        <v>72</v>
      </c>
      <c r="D54" s="67"/>
    </row>
    <row r="55" spans="1:4">
      <c r="A55" s="69" t="s">
        <v>100</v>
      </c>
      <c r="B55" s="107">
        <v>75</v>
      </c>
      <c r="C55" s="70">
        <f t="shared" si="0"/>
        <v>75</v>
      </c>
      <c r="D55" s="67"/>
    </row>
    <row r="56" spans="1:4">
      <c r="A56" s="69" t="s">
        <v>101</v>
      </c>
      <c r="B56" s="107">
        <v>101</v>
      </c>
      <c r="C56" s="70">
        <f t="shared" si="0"/>
        <v>85.06</v>
      </c>
      <c r="D56" s="67"/>
    </row>
    <row r="57" spans="1:4">
      <c r="A57" s="69" t="s">
        <v>101</v>
      </c>
      <c r="B57" s="107">
        <v>74.5</v>
      </c>
      <c r="C57" s="70">
        <f t="shared" si="0"/>
        <v>74.5</v>
      </c>
      <c r="D57" s="67"/>
    </row>
    <row r="58" spans="1:4">
      <c r="A58" s="69" t="s">
        <v>102</v>
      </c>
      <c r="B58" s="107">
        <v>93</v>
      </c>
      <c r="C58" s="70">
        <f t="shared" si="0"/>
        <v>85.06</v>
      </c>
      <c r="D58" s="67"/>
    </row>
    <row r="59" spans="1:4">
      <c r="A59" s="69" t="s">
        <v>103</v>
      </c>
      <c r="B59" s="107">
        <v>101</v>
      </c>
      <c r="C59" s="70">
        <f t="shared" si="0"/>
        <v>85.06</v>
      </c>
      <c r="D59" s="67"/>
    </row>
    <row r="60" spans="1:4">
      <c r="A60" s="69" t="s">
        <v>104</v>
      </c>
      <c r="B60" s="107">
        <v>101</v>
      </c>
      <c r="C60" s="70">
        <f t="shared" si="0"/>
        <v>85.06</v>
      </c>
      <c r="D60" s="67"/>
    </row>
    <row r="61" spans="1:4">
      <c r="A61" s="69" t="s">
        <v>105</v>
      </c>
      <c r="B61" s="107">
        <v>101</v>
      </c>
      <c r="C61" s="70">
        <f t="shared" si="0"/>
        <v>85.06</v>
      </c>
      <c r="D61" s="94">
        <f>AVERAGE(C6:C61)</f>
        <v>79.296071428571423</v>
      </c>
    </row>
  </sheetData>
  <autoFilter ref="A5:C61" xr:uid="{6EB34685-9976-4CC0-BD02-9215A40DEA2F}"/>
  <conditionalFormatting sqref="C6:C61">
    <cfRule type="cellIs" dxfId="0" priority="1" operator="equal">
      <formula>82.34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1F2E-9F05-4EEB-A69A-C3C984D60D9C}">
  <dimension ref="A1:G46"/>
  <sheetViews>
    <sheetView workbookViewId="0">
      <selection activeCell="B16" sqref="B16"/>
    </sheetView>
  </sheetViews>
  <sheetFormatPr defaultRowHeight="15"/>
  <cols>
    <col min="1" max="1" width="30" customWidth="1"/>
    <col min="2" max="2" width="23.5703125" customWidth="1"/>
    <col min="3" max="3" width="26.7109375" customWidth="1"/>
    <col min="4" max="4" width="24.85546875" customWidth="1"/>
    <col min="5" max="5" width="27" customWidth="1"/>
    <col min="6" max="6" width="14.7109375" customWidth="1"/>
  </cols>
  <sheetData>
    <row r="1" spans="1:7">
      <c r="A1" s="88" t="s">
        <v>106</v>
      </c>
    </row>
    <row r="2" spans="1:7">
      <c r="A2" s="91" t="s">
        <v>107</v>
      </c>
    </row>
    <row r="3" spans="1:7">
      <c r="A3" t="s">
        <v>108</v>
      </c>
      <c r="C3" s="108">
        <v>46903</v>
      </c>
      <c r="D3" t="s">
        <v>109</v>
      </c>
    </row>
    <row r="4" spans="1:7">
      <c r="A4" t="s">
        <v>110</v>
      </c>
      <c r="C4" s="109">
        <v>3.3000000000000002E-2</v>
      </c>
      <c r="D4" s="89" t="s">
        <v>111</v>
      </c>
    </row>
    <row r="5" spans="1:7">
      <c r="C5" s="74"/>
    </row>
    <row r="6" spans="1:7">
      <c r="C6" s="74"/>
    </row>
    <row r="7" spans="1:7">
      <c r="A7" s="73" t="s">
        <v>112</v>
      </c>
      <c r="C7" s="72">
        <v>46385</v>
      </c>
      <c r="D7" s="73"/>
    </row>
    <row r="8" spans="1:7" ht="15.75" thickBot="1">
      <c r="C8" s="74"/>
    </row>
    <row r="9" spans="1:7">
      <c r="A9" s="79" t="s">
        <v>113</v>
      </c>
      <c r="B9" s="80"/>
      <c r="C9" s="81">
        <f>C4</f>
        <v>3.3000000000000002E-2</v>
      </c>
      <c r="D9" s="81">
        <f>C4</f>
        <v>3.3000000000000002E-2</v>
      </c>
      <c r="E9" s="81">
        <f>C4</f>
        <v>3.3000000000000002E-2</v>
      </c>
      <c r="F9" s="82" t="s">
        <v>114</v>
      </c>
    </row>
    <row r="10" spans="1:7">
      <c r="A10" s="83" t="s">
        <v>115</v>
      </c>
      <c r="B10" s="110">
        <v>0.1</v>
      </c>
      <c r="C10" s="110">
        <v>0.3</v>
      </c>
      <c r="D10" s="110">
        <v>0.3</v>
      </c>
      <c r="E10" s="110">
        <v>0.3</v>
      </c>
      <c r="F10" s="84" t="s">
        <v>116</v>
      </c>
    </row>
    <row r="11" spans="1:7" ht="15.75" thickBot="1">
      <c r="A11" s="85" t="s">
        <v>117</v>
      </c>
      <c r="B11" s="86" t="s">
        <v>118</v>
      </c>
      <c r="C11" s="86" t="s">
        <v>119</v>
      </c>
      <c r="D11" s="86" t="s">
        <v>120</v>
      </c>
      <c r="E11" s="86" t="s">
        <v>121</v>
      </c>
      <c r="F11" s="87" t="s">
        <v>122</v>
      </c>
    </row>
    <row r="12" spans="1:7">
      <c r="A12" s="77" t="s">
        <v>123</v>
      </c>
      <c r="B12" s="111">
        <f>Rates!H13</f>
        <v>117.29079999999999</v>
      </c>
      <c r="C12" s="78">
        <f>B12*3.9%+B12</f>
        <v>121.86514119999998</v>
      </c>
      <c r="D12" s="78">
        <f>C12*3.9%+C12</f>
        <v>126.61788170679998</v>
      </c>
      <c r="E12" s="78">
        <f t="shared" ref="E12" si="0">D12*3.9%+D12</f>
        <v>131.55597909336518</v>
      </c>
      <c r="F12" s="37">
        <f>SUMPRODUCT(B12:E12,$B$10:$E$10)/SUM($B$10:$E$10)</f>
        <v>125.74078060004953</v>
      </c>
      <c r="G12" s="66"/>
    </row>
    <row r="13" spans="1:7">
      <c r="A13" s="20" t="s">
        <v>47</v>
      </c>
      <c r="B13" s="112">
        <f>Rates!H14</f>
        <v>61.731999999999999</v>
      </c>
      <c r="C13" s="76">
        <f t="shared" ref="C13:E13" si="1">B13*3.9%+B13</f>
        <v>64.139548000000005</v>
      </c>
      <c r="D13" s="76">
        <f t="shared" si="1"/>
        <v>66.640990372000005</v>
      </c>
      <c r="E13" s="76">
        <f t="shared" si="1"/>
        <v>69.239988996508004</v>
      </c>
      <c r="F13" s="37">
        <f t="shared" ref="F13:F15" si="2">SUMPRODUCT(B13:E13,$B$10:$E$10)/SUM($B$10:$E$10)</f>
        <v>66.179358210552408</v>
      </c>
    </row>
    <row r="14" spans="1:7">
      <c r="A14" s="20" t="s">
        <v>49</v>
      </c>
      <c r="B14" s="112">
        <f>Rates!H15</f>
        <v>108.03099999999999</v>
      </c>
      <c r="C14" s="76">
        <f t="shared" ref="C14:E15" si="3">B14*3.9%+B14</f>
        <v>112.244209</v>
      </c>
      <c r="D14" s="76">
        <f t="shared" si="3"/>
        <v>116.621733151</v>
      </c>
      <c r="E14" s="76">
        <f t="shared" si="3"/>
        <v>121.169980743889</v>
      </c>
      <c r="F14" s="37">
        <f t="shared" si="2"/>
        <v>115.81387686846671</v>
      </c>
    </row>
    <row r="15" spans="1:7" ht="39">
      <c r="A15" s="92" t="s">
        <v>48</v>
      </c>
      <c r="B15" s="112">
        <f>Rates!H16</f>
        <v>163.5898</v>
      </c>
      <c r="C15" s="76">
        <f t="shared" si="3"/>
        <v>169.9698022</v>
      </c>
      <c r="D15" s="76">
        <f t="shared" si="3"/>
        <v>176.5986244858</v>
      </c>
      <c r="E15" s="76">
        <f t="shared" si="3"/>
        <v>183.48597084074621</v>
      </c>
      <c r="F15" s="37">
        <f t="shared" si="2"/>
        <v>175.37529925796386</v>
      </c>
    </row>
    <row r="16" spans="1:7">
      <c r="A16" s="75"/>
      <c r="B16" s="75"/>
      <c r="C16" s="75"/>
      <c r="D16" s="75"/>
      <c r="E16" s="75"/>
      <c r="F16" s="75"/>
    </row>
    <row r="17" spans="1:6">
      <c r="A17" s="75"/>
      <c r="B17" s="75"/>
      <c r="C17" s="75"/>
      <c r="D17" s="75"/>
      <c r="E17" s="75"/>
      <c r="F17" s="75"/>
    </row>
    <row r="18" spans="1:6">
      <c r="A18" s="75"/>
      <c r="B18" s="75"/>
      <c r="C18" s="75"/>
      <c r="D18" s="75"/>
      <c r="E18" s="75"/>
      <c r="F18" s="75"/>
    </row>
    <row r="20" spans="1:6">
      <c r="A20" s="73" t="s">
        <v>124</v>
      </c>
      <c r="D20" s="71">
        <v>46397</v>
      </c>
    </row>
    <row r="21" spans="1:6" ht="15.75" thickBot="1"/>
    <row r="22" spans="1:6">
      <c r="A22" s="79" t="s">
        <v>113</v>
      </c>
      <c r="B22" s="80"/>
      <c r="C22" s="81">
        <f>C4</f>
        <v>3.3000000000000002E-2</v>
      </c>
      <c r="D22" s="81">
        <f>C4</f>
        <v>3.3000000000000002E-2</v>
      </c>
      <c r="E22" s="82" t="s">
        <v>114</v>
      </c>
    </row>
    <row r="23" spans="1:6">
      <c r="A23" s="83" t="s">
        <v>115</v>
      </c>
      <c r="B23" s="110">
        <v>0.4</v>
      </c>
      <c r="C23" s="110">
        <v>0.3</v>
      </c>
      <c r="D23" s="110">
        <v>0.3</v>
      </c>
      <c r="E23" s="84" t="s">
        <v>116</v>
      </c>
    </row>
    <row r="24" spans="1:6" ht="15.75" thickBot="1">
      <c r="A24" s="85" t="s">
        <v>117</v>
      </c>
      <c r="B24" s="86" t="s">
        <v>119</v>
      </c>
      <c r="C24" s="86" t="s">
        <v>120</v>
      </c>
      <c r="D24" s="86" t="s">
        <v>121</v>
      </c>
      <c r="E24" s="87" t="s">
        <v>122</v>
      </c>
    </row>
    <row r="25" spans="1:6">
      <c r="A25" s="77" t="s">
        <v>123</v>
      </c>
      <c r="B25" s="111">
        <f>B12</f>
        <v>117.29079999999999</v>
      </c>
      <c r="C25" s="78">
        <f>B25*3.9%+B25</f>
        <v>121.86514119999998</v>
      </c>
      <c r="D25" s="78">
        <f t="shared" ref="D25" si="4">C25*3.9%+C25</f>
        <v>126.61788170679998</v>
      </c>
      <c r="E25" s="37">
        <f>SUMPRODUCT(B25:D25,$B$23:$D$23)/SUM($B$23:$D$23)</f>
        <v>121.46122687203999</v>
      </c>
    </row>
    <row r="26" spans="1:6">
      <c r="A26" s="20" t="s">
        <v>47</v>
      </c>
      <c r="B26" s="111">
        <f>B13</f>
        <v>61.731999999999999</v>
      </c>
      <c r="C26" s="76">
        <f t="shared" ref="C26:D26" si="5">B26*3.9%+B26</f>
        <v>64.139548000000005</v>
      </c>
      <c r="D26" s="76">
        <f t="shared" si="5"/>
        <v>66.640990372000005</v>
      </c>
      <c r="E26" s="37">
        <f t="shared" ref="E26:E28" si="6">SUMPRODUCT(B26:D26,$B$23:$D$23)/SUM($B$23:$D$23)</f>
        <v>63.926961511599998</v>
      </c>
    </row>
    <row r="27" spans="1:6">
      <c r="A27" s="20" t="s">
        <v>49</v>
      </c>
      <c r="B27" s="111">
        <f>B14</f>
        <v>108.03099999999999</v>
      </c>
      <c r="C27" s="76">
        <f t="shared" ref="C27:D27" si="7">B27*3.9%+B27</f>
        <v>112.244209</v>
      </c>
      <c r="D27" s="76">
        <f t="shared" si="7"/>
        <v>116.621733151</v>
      </c>
      <c r="E27" s="37">
        <f t="shared" si="6"/>
        <v>111.8721826453</v>
      </c>
    </row>
    <row r="28" spans="1:6" ht="39">
      <c r="A28" s="92" t="s">
        <v>48</v>
      </c>
      <c r="B28" s="111">
        <f>B15</f>
        <v>163.5898</v>
      </c>
      <c r="C28" s="76">
        <f t="shared" ref="C28:D28" si="8">B28*3.9%+B28</f>
        <v>169.9698022</v>
      </c>
      <c r="D28" s="76">
        <f t="shared" si="8"/>
        <v>176.5986244858</v>
      </c>
      <c r="E28" s="37">
        <f t="shared" si="6"/>
        <v>169.40644800574</v>
      </c>
    </row>
    <row r="29" spans="1:6">
      <c r="A29" s="75"/>
      <c r="B29" s="75"/>
      <c r="C29" s="75"/>
      <c r="D29" s="75"/>
      <c r="E29" s="75"/>
    </row>
    <row r="30" spans="1:6">
      <c r="A30" s="75"/>
      <c r="B30" s="75"/>
      <c r="C30" s="75"/>
      <c r="D30" s="75"/>
      <c r="E30" s="75"/>
    </row>
    <row r="31" spans="1:6">
      <c r="A31" s="75"/>
      <c r="B31" s="75"/>
      <c r="C31" s="75"/>
      <c r="D31" s="75"/>
      <c r="E31" s="75"/>
    </row>
    <row r="34" spans="1:1">
      <c r="A34" t="s">
        <v>51</v>
      </c>
    </row>
    <row r="36" spans="1:1">
      <c r="A36" t="s">
        <v>125</v>
      </c>
    </row>
    <row r="37" spans="1:1">
      <c r="A37" t="s">
        <v>126</v>
      </c>
    </row>
    <row r="38" spans="1:1">
      <c r="A38" t="s">
        <v>127</v>
      </c>
    </row>
    <row r="39" spans="1:1">
      <c r="A39" t="s">
        <v>128</v>
      </c>
    </row>
    <row r="40" spans="1:1">
      <c r="A40" t="s">
        <v>129</v>
      </c>
    </row>
    <row r="41" spans="1:1">
      <c r="A41" s="89" t="s">
        <v>130</v>
      </c>
    </row>
    <row r="43" spans="1:1">
      <c r="A43" s="114" t="s">
        <v>131</v>
      </c>
    </row>
    <row r="44" spans="1:1">
      <c r="A44" t="s">
        <v>132</v>
      </c>
    </row>
    <row r="45" spans="1:1">
      <c r="A45" t="s">
        <v>133</v>
      </c>
    </row>
    <row r="46" spans="1:1">
      <c r="A46" t="s">
        <v>134</v>
      </c>
    </row>
  </sheetData>
  <hyperlinks>
    <hyperlink ref="A41" r:id="rId1" xr:uid="{74BE2CDB-C70E-48DD-B9BE-7FBDADBAEB8E}"/>
    <hyperlink ref="D4" r:id="rId2" xr:uid="{D97F6CC7-4166-40BB-A02F-E0D09C48AAD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DFC6A8-BD53-47B8-92BA-3810F2E032D4}"/>
</file>

<file path=customXml/itemProps2.xml><?xml version="1.0" encoding="utf-8"?>
<ds:datastoreItem xmlns:ds="http://schemas.openxmlformats.org/officeDocument/2006/customXml" ds:itemID="{CE06BE0C-A3F1-4904-BD06-A66213460397}"/>
</file>

<file path=customXml/itemProps3.xml><?xml version="1.0" encoding="utf-8"?>
<ds:datastoreItem xmlns:ds="http://schemas.openxmlformats.org/officeDocument/2006/customXml" ds:itemID="{3818B5B4-4F36-4AEE-98DF-5D8763642FD9}"/>
</file>

<file path=docProps/app.xml><?xml version="1.0" encoding="utf-8"?>
<Properties xmlns="http://schemas.openxmlformats.org/officeDocument/2006/extended-properties" xmlns:vt="http://schemas.openxmlformats.org/officeDocument/2006/docPropsVTypes">
  <Application>Microsoft Excel Online</Application>
  <Manager/>
  <Company>Indiana Office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 Gretchen</dc:creator>
  <cp:keywords/>
  <dc:description/>
  <cp:lastModifiedBy/>
  <cp:revision/>
  <dcterms:created xsi:type="dcterms:W3CDTF">2023-06-23T18:05:39Z</dcterms:created>
  <dcterms:modified xsi:type="dcterms:W3CDTF">2026-07-06T18:31:04Z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0x0101005F612CBFCD29024E819FD045922278B2</vt:lpwstr>
  </property>
</Properties>
</file>